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uam-my.sharepoint.com/personal/alfonso_santos_uam_es/Documents/Cursos Python/microcredencial-carteras-python-2023/Tema_4_CAPM/data/"/>
    </mc:Choice>
  </mc:AlternateContent>
  <xr:revisionPtr revIDLastSave="0" documentId="11_2FFD4FF80E06237FCDDE5A9C490C6ECC68E934E8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Characteristics!$A$1:$O$1784</definedName>
    <definedName name="_xlnm._FilterDatabase" localSheetId="1" hidden="1">Performance!$A$1:$I$1784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4" i="2" l="1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<sst xmlns="http://schemas.openxmlformats.org/spreadsheetml/2006/main" count="8975" uniqueCount="1819">
  <si>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</si>
  <si>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</si>
  <si>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</si>
  <si>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</si>
  <si>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</si>
  <si>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</si>
  <si>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</si>
  <si>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</si>
  <si>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</si>
  <si>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</si>
  <si>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</si>
  <si>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</si>
  <si>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</si>
  <si>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</si>
  <si>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AADI</t>
  </si>
  <si>
    <t>AAN</t>
  </si>
  <si>
    <t>AAON</t>
  </si>
  <si>
    <t>AAT</t>
  </si>
  <si>
    <t>ABCB</t>
  </si>
  <si>
    <t>ABCL</t>
  </si>
  <si>
    <t>ABG</t>
  </si>
  <si>
    <t>ABM</t>
  </si>
  <si>
    <t>ABR</t>
  </si>
  <si>
    <t>ABSI</t>
  </si>
  <si>
    <t>ABUS</t>
  </si>
  <si>
    <t>AC</t>
  </si>
  <si>
    <t>ACA</t>
  </si>
  <si>
    <t>ACAD</t>
  </si>
  <si>
    <t>ACCD</t>
  </si>
  <si>
    <t>ACCO</t>
  </si>
  <si>
    <t>ACEL</t>
  </si>
  <si>
    <t>ACET</t>
  </si>
  <si>
    <t>ACHR</t>
  </si>
  <si>
    <t>ACIW</t>
  </si>
  <si>
    <t>ACLS</t>
  </si>
  <si>
    <t>ACLX</t>
  </si>
  <si>
    <t>ACMR</t>
  </si>
  <si>
    <t>ACNB</t>
  </si>
  <si>
    <t>ACRE</t>
  </si>
  <si>
    <t>ACRS</t>
  </si>
  <si>
    <t>ACRV</t>
  </si>
  <si>
    <t>ACT</t>
  </si>
  <si>
    <t>ACVA</t>
  </si>
  <si>
    <t>ADC</t>
  </si>
  <si>
    <t>ADEA</t>
  </si>
  <si>
    <t>ADMA</t>
  </si>
  <si>
    <t>ADNT</t>
  </si>
  <si>
    <t>ADPT</t>
  </si>
  <si>
    <t>ADTH</t>
  </si>
  <si>
    <t>ADTN</t>
  </si>
  <si>
    <t>ADUS</t>
  </si>
  <si>
    <t>ADV</t>
  </si>
  <si>
    <t>AEIS</t>
  </si>
  <si>
    <t>AEL</t>
  </si>
  <si>
    <t>AEO</t>
  </si>
  <si>
    <t>AEVA</t>
  </si>
  <si>
    <t>AFCG</t>
  </si>
  <si>
    <t>AFMD</t>
  </si>
  <si>
    <t>AGEN</t>
  </si>
  <si>
    <t>AGIO</t>
  </si>
  <si>
    <t>AGM</t>
  </si>
  <si>
    <t>AGTI</t>
  </si>
  <si>
    <t>AGX</t>
  </si>
  <si>
    <t>AGYS</t>
  </si>
  <si>
    <t>AHCO</t>
  </si>
  <si>
    <t>AHH</t>
  </si>
  <si>
    <t>AHT</t>
  </si>
  <si>
    <t>AI</t>
  </si>
  <si>
    <t>AIN</t>
  </si>
  <si>
    <t>AIP</t>
  </si>
  <si>
    <t>AIR</t>
  </si>
  <si>
    <t>AIRS</t>
  </si>
  <si>
    <t>AIT</t>
  </si>
  <si>
    <t>AIV</t>
  </si>
  <si>
    <t>AJRD</t>
  </si>
  <si>
    <t>AKA</t>
  </si>
  <si>
    <t>AKR</t>
  </si>
  <si>
    <t>AKRO</t>
  </si>
  <si>
    <t>AKTS</t>
  </si>
  <si>
    <t>AKYA</t>
  </si>
  <si>
    <t>ALCO</t>
  </si>
  <si>
    <t>ALE</t>
  </si>
  <si>
    <t>ALEC</t>
  </si>
  <si>
    <t>ALEX</t>
  </si>
  <si>
    <t>ALG</t>
  </si>
  <si>
    <t>ALGT</t>
  </si>
  <si>
    <t>ALHC</t>
  </si>
  <si>
    <t>ALIT</t>
  </si>
  <si>
    <t>ALKS</t>
  </si>
  <si>
    <t>ALKT</t>
  </si>
  <si>
    <t>ALLO</t>
  </si>
  <si>
    <t>ALPN</t>
  </si>
  <si>
    <t>ALRM</t>
  </si>
  <si>
    <t>ALRS</t>
  </si>
  <si>
    <t>ALTG</t>
  </si>
  <si>
    <t>ALTO</t>
  </si>
  <si>
    <t>ALTR</t>
  </si>
  <si>
    <t>ALVR</t>
  </si>
  <si>
    <t>ALX</t>
  </si>
  <si>
    <t>ALXO</t>
  </si>
  <si>
    <t>AMAL</t>
  </si>
  <si>
    <t>AMBA</t>
  </si>
  <si>
    <t>AMBC</t>
  </si>
  <si>
    <t>AMCX</t>
  </si>
  <si>
    <t>AMEH</t>
  </si>
  <si>
    <t>AMK</t>
  </si>
  <si>
    <t>AMKR</t>
  </si>
  <si>
    <t>AMLX</t>
  </si>
  <si>
    <t>AMN</t>
  </si>
  <si>
    <t>AMNB</t>
  </si>
  <si>
    <t>AMPH</t>
  </si>
  <si>
    <t>AMPL</t>
  </si>
  <si>
    <t>AMPS</t>
  </si>
  <si>
    <t>AMPY</t>
  </si>
  <si>
    <t>AMR</t>
  </si>
  <si>
    <t>AMRC</t>
  </si>
  <si>
    <t>AMRK</t>
  </si>
  <si>
    <t>AMRS</t>
  </si>
  <si>
    <t>AMRX</t>
  </si>
  <si>
    <t>AMSF</t>
  </si>
  <si>
    <t>AMSWA</t>
  </si>
  <si>
    <t>AMTB</t>
  </si>
  <si>
    <t>AMTX</t>
  </si>
  <si>
    <t>AMWD</t>
  </si>
  <si>
    <t>AMWL</t>
  </si>
  <si>
    <t>ANAB</t>
  </si>
  <si>
    <t>ANDE</t>
  </si>
  <si>
    <t>ANF</t>
  </si>
  <si>
    <t>ANGO</t>
  </si>
  <si>
    <t>ANIK</t>
  </si>
  <si>
    <t>ANIP</t>
  </si>
  <si>
    <t>ANTX</t>
  </si>
  <si>
    <t>AOMR</t>
  </si>
  <si>
    <t>AORT</t>
  </si>
  <si>
    <t>AOSL</t>
  </si>
  <si>
    <t>APAM</t>
  </si>
  <si>
    <t>APEI</t>
  </si>
  <si>
    <t>APG</t>
  </si>
  <si>
    <t>APLD</t>
  </si>
  <si>
    <t>APLE</t>
  </si>
  <si>
    <t>APLS</t>
  </si>
  <si>
    <t>APOG</t>
  </si>
  <si>
    <t>APPF</t>
  </si>
  <si>
    <t>APPH</t>
  </si>
  <si>
    <t>APPN</t>
  </si>
  <si>
    <t>APPS</t>
  </si>
  <si>
    <t>ARCB</t>
  </si>
  <si>
    <t>ARCH</t>
  </si>
  <si>
    <t>ARCT</t>
  </si>
  <si>
    <t>AREN</t>
  </si>
  <si>
    <t>ARGO</t>
  </si>
  <si>
    <t>ARI</t>
  </si>
  <si>
    <t>ARIS</t>
  </si>
  <si>
    <t>ARKO</t>
  </si>
  <si>
    <t>ARL</t>
  </si>
  <si>
    <t>ARLO</t>
  </si>
  <si>
    <t>ARNC</t>
  </si>
  <si>
    <t>AROC</t>
  </si>
  <si>
    <t>AROW</t>
  </si>
  <si>
    <t>ARQT</t>
  </si>
  <si>
    <t>ARR</t>
  </si>
  <si>
    <t>ARRY</t>
  </si>
  <si>
    <t>ARTNA</t>
  </si>
  <si>
    <t>ARVN</t>
  </si>
  <si>
    <t>ARWR</t>
  </si>
  <si>
    <t>ASAN</t>
  </si>
  <si>
    <t>ASB</t>
  </si>
  <si>
    <t>ASC</t>
  </si>
  <si>
    <t>ASGN</t>
  </si>
  <si>
    <t>ASIX</t>
  </si>
  <si>
    <t>ASLE</t>
  </si>
  <si>
    <t>ASO</t>
  </si>
  <si>
    <t>ASPN</t>
  </si>
  <si>
    <t>ASTE</t>
  </si>
  <si>
    <t>ASTR</t>
  </si>
  <si>
    <t>ATEC</t>
  </si>
  <si>
    <t>ATEN</t>
  </si>
  <si>
    <t>ATER</t>
  </si>
  <si>
    <t>ATEX</t>
  </si>
  <si>
    <t>ATGE</t>
  </si>
  <si>
    <t>ATHA</t>
  </si>
  <si>
    <t>ATI</t>
  </si>
  <si>
    <t>ATIP</t>
  </si>
  <si>
    <t>ATKR</t>
  </si>
  <si>
    <t>ATLC</t>
  </si>
  <si>
    <t>ATNI</t>
  </si>
  <si>
    <t>ATOM</t>
  </si>
  <si>
    <t>ATRA</t>
  </si>
  <si>
    <t>ATRC</t>
  </si>
  <si>
    <t>ATRI</t>
  </si>
  <si>
    <t>ATRO</t>
  </si>
  <si>
    <t>ATSG</t>
  </si>
  <si>
    <t>AUB</t>
  </si>
  <si>
    <t>AUPH</t>
  </si>
  <si>
    <t>AURA</t>
  </si>
  <si>
    <t>AVA</t>
  </si>
  <si>
    <t>AVAH</t>
  </si>
  <si>
    <t>AVAV</t>
  </si>
  <si>
    <t>AVD</t>
  </si>
  <si>
    <t>AVDX</t>
  </si>
  <si>
    <t>AVID</t>
  </si>
  <si>
    <t>AVIR</t>
  </si>
  <si>
    <t>AVNS</t>
  </si>
  <si>
    <t>AVNT</t>
  </si>
  <si>
    <t>AVNW</t>
  </si>
  <si>
    <t>AVO</t>
  </si>
  <si>
    <t>AVPT</t>
  </si>
  <si>
    <t>AVTA</t>
  </si>
  <si>
    <t>AVTE</t>
  </si>
  <si>
    <t>AVXL</t>
  </si>
  <si>
    <t>AWR</t>
  </si>
  <si>
    <t>AX</t>
  </si>
  <si>
    <t>BTAI</t>
  </si>
  <si>
    <t>BTU</t>
  </si>
  <si>
    <t>BUSE</t>
  </si>
  <si>
    <t>BV</t>
  </si>
  <si>
    <t>BVH</t>
  </si>
  <si>
    <t>BVS</t>
  </si>
  <si>
    <t>BW</t>
  </si>
  <si>
    <t>BWB</t>
  </si>
  <si>
    <t>BWFG</t>
  </si>
  <si>
    <t>BXC</t>
  </si>
  <si>
    <t>BXMT</t>
  </si>
  <si>
    <t>BY</t>
  </si>
  <si>
    <t>BYND</t>
  </si>
  <si>
    <t>BZH</t>
  </si>
  <si>
    <t>CAC</t>
  </si>
  <si>
    <t>CADE</t>
  </si>
  <si>
    <t>CAKE</t>
  </si>
  <si>
    <t>CAL</t>
  </si>
  <si>
    <t>CALM</t>
  </si>
  <si>
    <t>CALX</t>
  </si>
  <si>
    <t>CANO</t>
  </si>
  <si>
    <t>CARA</t>
  </si>
  <si>
    <t>CARE</t>
  </si>
  <si>
    <t>CARG</t>
  </si>
  <si>
    <t>CARS</t>
  </si>
  <si>
    <t>CASA</t>
  </si>
  <si>
    <t>CASH</t>
  </si>
  <si>
    <t>CASS</t>
  </si>
  <si>
    <t>CATC</t>
  </si>
  <si>
    <t>CATO</t>
  </si>
  <si>
    <t>CATY</t>
  </si>
  <si>
    <t>CBAN</t>
  </si>
  <si>
    <t>CBL</t>
  </si>
  <si>
    <t>CBNK</t>
  </si>
  <si>
    <t>CBRL</t>
  </si>
  <si>
    <t>CBT</t>
  </si>
  <si>
    <t>CBU</t>
  </si>
  <si>
    <t>CBZ</t>
  </si>
  <si>
    <t>CCB</t>
  </si>
  <si>
    <t>CCBG</t>
  </si>
  <si>
    <t>CCCC</t>
  </si>
  <si>
    <t>CCF</t>
  </si>
  <si>
    <t>CCNE</t>
  </si>
  <si>
    <t>CCO</t>
  </si>
  <si>
    <t>CCOI</t>
  </si>
  <si>
    <t>CCRN</t>
  </si>
  <si>
    <t>CCS</t>
  </si>
  <si>
    <t>CCSI</t>
  </si>
  <si>
    <t>CDE</t>
  </si>
  <si>
    <t>CDLX</t>
  </si>
  <si>
    <t>CDMO</t>
  </si>
  <si>
    <t>CDNA</t>
  </si>
  <si>
    <t>CDRE</t>
  </si>
  <si>
    <t>CDXS</t>
  </si>
  <si>
    <t>CEIX</t>
  </si>
  <si>
    <t>CELH</t>
  </si>
  <si>
    <t>CELL</t>
  </si>
  <si>
    <t>CELU</t>
  </si>
  <si>
    <t>CENN</t>
  </si>
  <si>
    <t>CENT</t>
  </si>
  <si>
    <t>CENTA</t>
  </si>
  <si>
    <t>CENX</t>
  </si>
  <si>
    <t>CERE</t>
  </si>
  <si>
    <t>CERS</t>
  </si>
  <si>
    <t>CEVA</t>
  </si>
  <si>
    <t>CFB</t>
  </si>
  <si>
    <t>CFFN</t>
  </si>
  <si>
    <t>CGEM</t>
  </si>
  <si>
    <t>CHCO</t>
  </si>
  <si>
    <t>CHCT</t>
  </si>
  <si>
    <t>CHEF</t>
  </si>
  <si>
    <t>CHGG</t>
  </si>
  <si>
    <t>CHRD</t>
  </si>
  <si>
    <t>CHRS</t>
  </si>
  <si>
    <t>CHS</t>
  </si>
  <si>
    <t>CHUY</t>
  </si>
  <si>
    <t>CHX</t>
  </si>
  <si>
    <t>CIFR</t>
  </si>
  <si>
    <t>CIM</t>
  </si>
  <si>
    <t>CIO</t>
  </si>
  <si>
    <t>CIR</t>
  </si>
  <si>
    <t>CISO</t>
  </si>
  <si>
    <t>CIVB</t>
  </si>
  <si>
    <t>CIVI</t>
  </si>
  <si>
    <t>CIX</t>
  </si>
  <si>
    <t>CLAR</t>
  </si>
  <si>
    <t>CLBK</t>
  </si>
  <si>
    <t>CLDT</t>
  </si>
  <si>
    <t>CLDX</t>
  </si>
  <si>
    <t>CLFD</t>
  </si>
  <si>
    <t>CLNE</t>
  </si>
  <si>
    <t>CLOV</t>
  </si>
  <si>
    <t>CLPR</t>
  </si>
  <si>
    <t>CLSK</t>
  </si>
  <si>
    <t>CLW</t>
  </si>
  <si>
    <t>CMAX</t>
  </si>
  <si>
    <t>CMBM</t>
  </si>
  <si>
    <t>CMC</t>
  </si>
  <si>
    <t>CMCO</t>
  </si>
  <si>
    <t>CMLS</t>
  </si>
  <si>
    <t>CMP</t>
  </si>
  <si>
    <t>CMPO</t>
  </si>
  <si>
    <t>CMPR</t>
  </si>
  <si>
    <t>CMRE</t>
  </si>
  <si>
    <t>CMRX</t>
  </si>
  <si>
    <t>CMTG</t>
  </si>
  <si>
    <t>CMTL</t>
  </si>
  <si>
    <t>CNDT</t>
  </si>
  <si>
    <t>CNK</t>
  </si>
  <si>
    <t>CNMD</t>
  </si>
  <si>
    <t>CNNE</t>
  </si>
  <si>
    <t>CNO</t>
  </si>
  <si>
    <t>CNOB</t>
  </si>
  <si>
    <t>CNS</t>
  </si>
  <si>
    <t>CNSL</t>
  </si>
  <si>
    <t>CNTY</t>
  </si>
  <si>
    <t>CNX</t>
  </si>
  <si>
    <t>CNXN</t>
  </si>
  <si>
    <t>COCO</t>
  </si>
  <si>
    <t>CODI</t>
  </si>
  <si>
    <t>COGT</t>
  </si>
  <si>
    <t>COHU</t>
  </si>
  <si>
    <t>COKE</t>
  </si>
  <si>
    <t>COLL</t>
  </si>
  <si>
    <t>COMM</t>
  </si>
  <si>
    <t>COMP</t>
  </si>
  <si>
    <t>CONN</t>
  </si>
  <si>
    <t>COOK</t>
  </si>
  <si>
    <t>COOP</t>
  </si>
  <si>
    <t>CORT</t>
  </si>
  <si>
    <t>COUR</t>
  </si>
  <si>
    <t>CPE</t>
  </si>
  <si>
    <t>CPF</t>
  </si>
  <si>
    <t>CPK</t>
  </si>
  <si>
    <t>CPRX</t>
  </si>
  <si>
    <t>CPSI</t>
  </si>
  <si>
    <t>CPSS</t>
  </si>
  <si>
    <t>CPTN</t>
  </si>
  <si>
    <t>CRAI</t>
  </si>
  <si>
    <t>CRBU</t>
  </si>
  <si>
    <t>CRC</t>
  </si>
  <si>
    <t>CRDO</t>
  </si>
  <si>
    <t>CRGE</t>
  </si>
  <si>
    <t>CRGY</t>
  </si>
  <si>
    <t>CRK</t>
  </si>
  <si>
    <t>CRMT</t>
  </si>
  <si>
    <t>CRNC</t>
  </si>
  <si>
    <t>CRNX</t>
  </si>
  <si>
    <t>CROX</t>
  </si>
  <si>
    <t>CRS</t>
  </si>
  <si>
    <t>CRSR</t>
  </si>
  <si>
    <t>CRVL</t>
  </si>
  <si>
    <t>CSGS</t>
  </si>
  <si>
    <t>CSR</t>
  </si>
  <si>
    <t>CSTE</t>
  </si>
  <si>
    <t>CSTL</t>
  </si>
  <si>
    <t>CSTM</t>
  </si>
  <si>
    <t>CSTR</t>
  </si>
  <si>
    <t>CSV</t>
  </si>
  <si>
    <t>CSWI</t>
  </si>
  <si>
    <t>CTBI</t>
  </si>
  <si>
    <t>CTIC</t>
  </si>
  <si>
    <t>CTKB</t>
  </si>
  <si>
    <t>CTLP</t>
  </si>
  <si>
    <t>CTO</t>
  </si>
  <si>
    <t>CTOS</t>
  </si>
  <si>
    <t>CTRE</t>
  </si>
  <si>
    <t>CTRN</t>
  </si>
  <si>
    <t>CTS</t>
  </si>
  <si>
    <t>CTV</t>
  </si>
  <si>
    <t>CUBI</t>
  </si>
  <si>
    <t>CURO</t>
  </si>
  <si>
    <t>CURV</t>
  </si>
  <si>
    <t>CUTR</t>
  </si>
  <si>
    <t>CVBF</t>
  </si>
  <si>
    <t>CVCO</t>
  </si>
  <si>
    <t>CVGW</t>
  </si>
  <si>
    <t>CVI</t>
  </si>
  <si>
    <t>CVLG</t>
  </si>
  <si>
    <t>CVLT</t>
  </si>
  <si>
    <t>CVT</t>
  </si>
  <si>
    <t>CWEN</t>
  </si>
  <si>
    <t>CWH</t>
  </si>
  <si>
    <t>CWK</t>
  </si>
  <si>
    <t>CWST</t>
  </si>
  <si>
    <t>CWT</t>
  </si>
  <si>
    <t>CXW</t>
  </si>
  <si>
    <t>CYH</t>
  </si>
  <si>
    <t>CYRX</t>
  </si>
  <si>
    <t>CYTK</t>
  </si>
  <si>
    <t>CZNC</t>
  </si>
  <si>
    <t>DAN</t>
  </si>
  <si>
    <t>DAWN</t>
  </si>
  <si>
    <t>DBI</t>
  </si>
  <si>
    <t>DBRG</t>
  </si>
  <si>
    <t>DC</t>
  </si>
  <si>
    <t>DCGO</t>
  </si>
  <si>
    <t>DCO</t>
  </si>
  <si>
    <t>DCOM</t>
  </si>
  <si>
    <t>DCPH</t>
  </si>
  <si>
    <t>DDD</t>
  </si>
  <si>
    <t>DDS</t>
  </si>
  <si>
    <t>DEA</t>
  </si>
  <si>
    <t>DEN</t>
  </si>
  <si>
    <t>DENN</t>
  </si>
  <si>
    <t>DFH</t>
  </si>
  <si>
    <t>DFIN</t>
  </si>
  <si>
    <t>DGICA</t>
  </si>
  <si>
    <t>DGII</t>
  </si>
  <si>
    <t>DHC</t>
  </si>
  <si>
    <t>DHIL</t>
  </si>
  <si>
    <t>DHT</t>
  </si>
  <si>
    <t>DHX</t>
  </si>
  <si>
    <t>DIBS</t>
  </si>
  <si>
    <t>DICE</t>
  </si>
  <si>
    <t>DIN</t>
  </si>
  <si>
    <t>DIOD</t>
  </si>
  <si>
    <t>DJCO</t>
  </si>
  <si>
    <t>DK</t>
  </si>
  <si>
    <t>DLTH</t>
  </si>
  <si>
    <t>DLX</t>
  </si>
  <si>
    <t>DM</t>
  </si>
  <si>
    <t>DMRC</t>
  </si>
  <si>
    <t>DNLI</t>
  </si>
  <si>
    <t>DNMR</t>
  </si>
  <si>
    <t>DNOW</t>
  </si>
  <si>
    <t>DNUT</t>
  </si>
  <si>
    <t>DO</t>
  </si>
  <si>
    <t>DOC</t>
  </si>
  <si>
    <t>DOCN</t>
  </si>
  <si>
    <t>DOMA</t>
  </si>
  <si>
    <t>DOMO</t>
  </si>
  <si>
    <t>DOOR</t>
  </si>
  <si>
    <t>DORM</t>
  </si>
  <si>
    <t>DOUG</t>
  </si>
  <si>
    <t>DRH</t>
  </si>
  <si>
    <t>DRQ</t>
  </si>
  <si>
    <t>DSEY</t>
  </si>
  <si>
    <t>DSGN</t>
  </si>
  <si>
    <t>DSGR</t>
  </si>
  <si>
    <t>DSKE</t>
  </si>
  <si>
    <t>DSP</t>
  </si>
  <si>
    <t>DTC</t>
  </si>
  <si>
    <t>DUOL</t>
  </si>
  <si>
    <t>DVAX</t>
  </si>
  <si>
    <t>DX</t>
  </si>
  <si>
    <t>DXLG</t>
  </si>
  <si>
    <t>DXPE</t>
  </si>
  <si>
    <t>DY</t>
  </si>
  <si>
    <t>DYN</t>
  </si>
  <si>
    <t>DZSI</t>
  </si>
  <si>
    <t>EAF</t>
  </si>
  <si>
    <t>EAT</t>
  </si>
  <si>
    <t>EB</t>
  </si>
  <si>
    <t>EBC</t>
  </si>
  <si>
    <t>EBF</t>
  </si>
  <si>
    <t>EBIX</t>
  </si>
  <si>
    <t>EBS</t>
  </si>
  <si>
    <t>EBTC</t>
  </si>
  <si>
    <t>ECPG</t>
  </si>
  <si>
    <t>ECVT</t>
  </si>
  <si>
    <t>EDIT</t>
  </si>
  <si>
    <t>EE</t>
  </si>
  <si>
    <t>EFC</t>
  </si>
  <si>
    <t>EFSC</t>
  </si>
  <si>
    <t>EGAN</t>
  </si>
  <si>
    <t>EGBN</t>
  </si>
  <si>
    <t>EGHT</t>
  </si>
  <si>
    <t>EGIO</t>
  </si>
  <si>
    <t>EGLE</t>
  </si>
  <si>
    <t>EGRX</t>
  </si>
  <si>
    <t>EGY</t>
  </si>
  <si>
    <t>EHTH</t>
  </si>
  <si>
    <t>EIG</t>
  </si>
  <si>
    <t>EIGR</t>
  </si>
  <si>
    <t>ELF</t>
  </si>
  <si>
    <t>ELME</t>
  </si>
  <si>
    <t>EMBC</t>
  </si>
  <si>
    <t>EME</t>
  </si>
  <si>
    <t>ENFN</t>
  </si>
  <si>
    <t>ENOB</t>
  </si>
  <si>
    <t>ENR</t>
  </si>
  <si>
    <t>ENS</t>
  </si>
  <si>
    <t>ENSG</t>
  </si>
  <si>
    <t>ENTA</t>
  </si>
  <si>
    <t>ENV</t>
  </si>
  <si>
    <t>ENVA</t>
  </si>
  <si>
    <t>ENVX</t>
  </si>
  <si>
    <t>EOLS</t>
  </si>
  <si>
    <t>EP</t>
  </si>
  <si>
    <t>EPAC</t>
  </si>
  <si>
    <t>EPC</t>
  </si>
  <si>
    <t>EPRT</t>
  </si>
  <si>
    <t>EQBK</t>
  </si>
  <si>
    <t>EQC</t>
  </si>
  <si>
    <t>EQRX</t>
  </si>
  <si>
    <t>ERAS</t>
  </si>
  <si>
    <t>ERII</t>
  </si>
  <si>
    <t>ESE</t>
  </si>
  <si>
    <t>ESGR</t>
  </si>
  <si>
    <t>ESMT</t>
  </si>
  <si>
    <t>ESNT</t>
  </si>
  <si>
    <t>ESPR</t>
  </si>
  <si>
    <t>ESQ</t>
  </si>
  <si>
    <t>ESRT</t>
  </si>
  <si>
    <t>ESTE</t>
  </si>
  <si>
    <t>ETD</t>
  </si>
  <si>
    <t>ETRN</t>
  </si>
  <si>
    <t>ETWO</t>
  </si>
  <si>
    <t>EVBG</t>
  </si>
  <si>
    <t>EVC</t>
  </si>
  <si>
    <t>EVCM</t>
  </si>
  <si>
    <t>EVER</t>
  </si>
  <si>
    <t>EVGO</t>
  </si>
  <si>
    <t>EVH</t>
  </si>
  <si>
    <t>EVLV</t>
  </si>
  <si>
    <t>EVRI</t>
  </si>
  <si>
    <t>EVTC</t>
  </si>
  <si>
    <t>EWCZ</t>
  </si>
  <si>
    <t>EWTX</t>
  </si>
  <si>
    <t>EXLS</t>
  </si>
  <si>
    <t>EXPI</t>
  </si>
  <si>
    <t>EXPO</t>
  </si>
  <si>
    <t>EXPR</t>
  </si>
  <si>
    <t>EXTR</t>
  </si>
  <si>
    <t>EYE</t>
  </si>
  <si>
    <t>EYPT</t>
  </si>
  <si>
    <t>EZPW</t>
  </si>
  <si>
    <t>FA</t>
  </si>
  <si>
    <t>FARO</t>
  </si>
  <si>
    <t>FATE</t>
  </si>
  <si>
    <t>FBIZ</t>
  </si>
  <si>
    <t>FBK</t>
  </si>
  <si>
    <t>FBMS</t>
  </si>
  <si>
    <t>FBNC</t>
  </si>
  <si>
    <t>FBP</t>
  </si>
  <si>
    <t>FBRT</t>
  </si>
  <si>
    <t>FC</t>
  </si>
  <si>
    <t>FCBC</t>
  </si>
  <si>
    <t>FCEL</t>
  </si>
  <si>
    <t>FCF</t>
  </si>
  <si>
    <t>FCFS</t>
  </si>
  <si>
    <t>FCPT</t>
  </si>
  <si>
    <t>FCUV</t>
  </si>
  <si>
    <t>FDMT</t>
  </si>
  <si>
    <t>FDP</t>
  </si>
  <si>
    <t>FEAM</t>
  </si>
  <si>
    <t>FELE</t>
  </si>
  <si>
    <t>FF</t>
  </si>
  <si>
    <t>FFBC</t>
  </si>
  <si>
    <t>FFIC</t>
  </si>
  <si>
    <t>FFIE</t>
  </si>
  <si>
    <t>FFIN</t>
  </si>
  <si>
    <t>FFWM</t>
  </si>
  <si>
    <t>FGBI</t>
  </si>
  <si>
    <t>FGEN</t>
  </si>
  <si>
    <t>FHI</t>
  </si>
  <si>
    <t>FHTX</t>
  </si>
  <si>
    <t>FIBK</t>
  </si>
  <si>
    <t>FIGS</t>
  </si>
  <si>
    <t>FISI</t>
  </si>
  <si>
    <t>FIX</t>
  </si>
  <si>
    <t>FIZZ</t>
  </si>
  <si>
    <t>FL</t>
  </si>
  <si>
    <t>FLGT</t>
  </si>
  <si>
    <t>FLIC</t>
  </si>
  <si>
    <t>FLL</t>
  </si>
  <si>
    <t>FLNC</t>
  </si>
  <si>
    <t>FLNG</t>
  </si>
  <si>
    <t>FLR</t>
  </si>
  <si>
    <t>FLWS</t>
  </si>
  <si>
    <t>FLYW</t>
  </si>
  <si>
    <t>FMAO</t>
  </si>
  <si>
    <t>FMBH</t>
  </si>
  <si>
    <t>FMNB</t>
  </si>
  <si>
    <t>FN</t>
  </si>
  <si>
    <t>FNA</t>
  </si>
  <si>
    <t>FNKO</t>
  </si>
  <si>
    <t>FNLC</t>
  </si>
  <si>
    <t>FOA</t>
  </si>
  <si>
    <t>FOCS</t>
  </si>
  <si>
    <t>FOLD</t>
  </si>
  <si>
    <t>FOR</t>
  </si>
  <si>
    <t>FORG</t>
  </si>
  <si>
    <t>FORM</t>
  </si>
  <si>
    <t>FORR</t>
  </si>
  <si>
    <t>FOSL</t>
  </si>
  <si>
    <t>FOXF</t>
  </si>
  <si>
    <t>FPI</t>
  </si>
  <si>
    <t>FRBA</t>
  </si>
  <si>
    <t>FRBK</t>
  </si>
  <si>
    <t>FREE</t>
  </si>
  <si>
    <t>FRG</t>
  </si>
  <si>
    <t>FRME</t>
  </si>
  <si>
    <t>FRO</t>
  </si>
  <si>
    <t>FRPH</t>
  </si>
  <si>
    <t>FRST</t>
  </si>
  <si>
    <t>FSBC</t>
  </si>
  <si>
    <t>FSLY</t>
  </si>
  <si>
    <t>FSP</t>
  </si>
  <si>
    <t>FSR</t>
  </si>
  <si>
    <t>FSS</t>
  </si>
  <si>
    <t>FTCI</t>
  </si>
  <si>
    <t>FTDR</t>
  </si>
  <si>
    <t>FUBO</t>
  </si>
  <si>
    <t>FUL</t>
  </si>
  <si>
    <t>FULC</t>
  </si>
  <si>
    <t>FULT</t>
  </si>
  <si>
    <t>FVCB</t>
  </si>
  <si>
    <t>FWRD</t>
  </si>
  <si>
    <t>FWRG</t>
  </si>
  <si>
    <t>FXLV</t>
  </si>
  <si>
    <t>GABC</t>
  </si>
  <si>
    <t>GAMB</t>
  </si>
  <si>
    <t>GATX</t>
  </si>
  <si>
    <t>GBCI</t>
  </si>
  <si>
    <t>GBIO</t>
  </si>
  <si>
    <t>GBX</t>
  </si>
  <si>
    <t>GCBC</t>
  </si>
  <si>
    <t>GCI</t>
  </si>
  <si>
    <t>GCMG</t>
  </si>
  <si>
    <t>GCO</t>
  </si>
  <si>
    <t>GDEN</t>
  </si>
  <si>
    <t>GDOT</t>
  </si>
  <si>
    <t>GDYN</t>
  </si>
  <si>
    <t>GEF</t>
  </si>
  <si>
    <t>GEO</t>
  </si>
  <si>
    <t>GERN</t>
  </si>
  <si>
    <t>GES</t>
  </si>
  <si>
    <t>GEVO</t>
  </si>
  <si>
    <t>GFF</t>
  </si>
  <si>
    <t>GHC</t>
  </si>
  <si>
    <t>GIC</t>
  </si>
  <si>
    <t>GIII</t>
  </si>
  <si>
    <t>GKOS</t>
  </si>
  <si>
    <t>GLDD</t>
  </si>
  <si>
    <t>GLNG</t>
  </si>
  <si>
    <t>GLRE</t>
  </si>
  <si>
    <t>GLT</t>
  </si>
  <si>
    <t>GLUE</t>
  </si>
  <si>
    <t>GMRE</t>
  </si>
  <si>
    <t>GMS</t>
  </si>
  <si>
    <t>GNK</t>
  </si>
  <si>
    <t>GNL</t>
  </si>
  <si>
    <t>GNTY</t>
  </si>
  <si>
    <t>GNW</t>
  </si>
  <si>
    <t>GOEV</t>
  </si>
  <si>
    <t>GOGL</t>
  </si>
  <si>
    <t>GOGO</t>
  </si>
  <si>
    <t>GOLF</t>
  </si>
  <si>
    <t>GOOD</t>
  </si>
  <si>
    <t>GOSS</t>
  </si>
  <si>
    <t>GPI</t>
  </si>
  <si>
    <t>GPMT</t>
  </si>
  <si>
    <t>GPOR</t>
  </si>
  <si>
    <t>GPRE</t>
  </si>
  <si>
    <t>GPRO</t>
  </si>
  <si>
    <t>GRBK</t>
  </si>
  <si>
    <t>GRC</t>
  </si>
  <si>
    <t>GREE</t>
  </si>
  <si>
    <t>GRNA</t>
  </si>
  <si>
    <t>GRPN</t>
  </si>
  <si>
    <t>GRWG</t>
  </si>
  <si>
    <t>GSAT</t>
  </si>
  <si>
    <t>GSBC</t>
  </si>
  <si>
    <t>GSHD</t>
  </si>
  <si>
    <t>GT</t>
  </si>
  <si>
    <t>GTLS</t>
  </si>
  <si>
    <t>GTN</t>
  </si>
  <si>
    <t>GTY</t>
  </si>
  <si>
    <t>GVA</t>
  </si>
  <si>
    <t>GWH</t>
  </si>
  <si>
    <t>GWRS</t>
  </si>
  <si>
    <t>HA</t>
  </si>
  <si>
    <t>HAE</t>
  </si>
  <si>
    <t>HAFC</t>
  </si>
  <si>
    <t>HAIN</t>
  </si>
  <si>
    <t>HALO</t>
  </si>
  <si>
    <t>HASI</t>
  </si>
  <si>
    <t>HAYN</t>
  </si>
  <si>
    <t>HBCP</t>
  </si>
  <si>
    <t>HBNC</t>
  </si>
  <si>
    <t>HBT</t>
  </si>
  <si>
    <t>HCAT</t>
  </si>
  <si>
    <t>HCC</t>
  </si>
  <si>
    <t>HCCI</t>
  </si>
  <si>
    <t>HCI</t>
  </si>
  <si>
    <t>HCKT</t>
  </si>
  <si>
    <t>HCSG</t>
  </si>
  <si>
    <t>HDSN</t>
  </si>
  <si>
    <t>HEAR</t>
  </si>
  <si>
    <t>HEES</t>
  </si>
  <si>
    <t>HELE</t>
  </si>
  <si>
    <t>HFFG</t>
  </si>
  <si>
    <t>HFWA</t>
  </si>
  <si>
    <t>HGV</t>
  </si>
  <si>
    <t>HI</t>
  </si>
  <si>
    <t>HIBB</t>
  </si>
  <si>
    <t>HIFS</t>
  </si>
  <si>
    <t>HIMS</t>
  </si>
  <si>
    <t>HIPO</t>
  </si>
  <si>
    <t>HL</t>
  </si>
  <si>
    <t>HLF</t>
  </si>
  <si>
    <t>HLGN</t>
  </si>
  <si>
    <t>HLI</t>
  </si>
  <si>
    <t>HLIO</t>
  </si>
  <si>
    <t>HLIT</t>
  </si>
  <si>
    <t>HLLY</t>
  </si>
  <si>
    <t>HLMN</t>
  </si>
  <si>
    <t>HLNE</t>
  </si>
  <si>
    <t>HLTH</t>
  </si>
  <si>
    <t>HLVX</t>
  </si>
  <si>
    <t>HLX</t>
  </si>
  <si>
    <t>HMN</t>
  </si>
  <si>
    <t>HMPT</t>
  </si>
  <si>
    <t>HMST</t>
  </si>
  <si>
    <t>HNI</t>
  </si>
  <si>
    <t>HNST</t>
  </si>
  <si>
    <t>HOMB</t>
  </si>
  <si>
    <t>HONE</t>
  </si>
  <si>
    <t>HOPE</t>
  </si>
  <si>
    <t>HOUS</t>
  </si>
  <si>
    <t>HOV</t>
  </si>
  <si>
    <t>HP</t>
  </si>
  <si>
    <t>HPK</t>
  </si>
  <si>
    <t>HQY</t>
  </si>
  <si>
    <t>HRI</t>
  </si>
  <si>
    <t>HRMY</t>
  </si>
  <si>
    <t>HRT</t>
  </si>
  <si>
    <t>HRTX</t>
  </si>
  <si>
    <t>HSII</t>
  </si>
  <si>
    <t>HSTM</t>
  </si>
  <si>
    <t>HT</t>
  </si>
  <si>
    <t>HTBI</t>
  </si>
  <si>
    <t>HTBK</t>
  </si>
  <si>
    <t>HTH</t>
  </si>
  <si>
    <t>HTLD</t>
  </si>
  <si>
    <t>HTLF</t>
  </si>
  <si>
    <t>HUBG</t>
  </si>
  <si>
    <t>HUMA</t>
  </si>
  <si>
    <t>HURN</t>
  </si>
  <si>
    <t>HVT</t>
  </si>
  <si>
    <t>HWC</t>
  </si>
  <si>
    <t>HWKN</t>
  </si>
  <si>
    <t>HY</t>
  </si>
  <si>
    <t>HYFM</t>
  </si>
  <si>
    <t>HYLN</t>
  </si>
  <si>
    <t>HYMC</t>
  </si>
  <si>
    <t>HYZN</t>
  </si>
  <si>
    <t>HZO</t>
  </si>
  <si>
    <t>IAS</t>
  </si>
  <si>
    <t>IBCP</t>
  </si>
  <si>
    <t>IBEX</t>
  </si>
  <si>
    <t>IBOC</t>
  </si>
  <si>
    <t>IBP</t>
  </si>
  <si>
    <t>IBRX</t>
  </si>
  <si>
    <t>IBTX</t>
  </si>
  <si>
    <t>ICFI</t>
  </si>
  <si>
    <t>ICHR</t>
  </si>
  <si>
    <t>ICPT</t>
  </si>
  <si>
    <t>ICVX</t>
  </si>
  <si>
    <t>IDCC</t>
  </si>
  <si>
    <t>IDT</t>
  </si>
  <si>
    <t>IDYA</t>
  </si>
  <si>
    <t>IE</t>
  </si>
  <si>
    <t>IESC</t>
  </si>
  <si>
    <t>IGMS</t>
  </si>
  <si>
    <t>IGT</t>
  </si>
  <si>
    <t>IHRT</t>
  </si>
  <si>
    <t>III</t>
  </si>
  <si>
    <t>IIIN</t>
  </si>
  <si>
    <t>IIIV</t>
  </si>
  <si>
    <t>IIPR</t>
  </si>
  <si>
    <t>ILPT</t>
  </si>
  <si>
    <t>IMAX</t>
  </si>
  <si>
    <t>IMGN</t>
  </si>
  <si>
    <t>IMKTA</t>
  </si>
  <si>
    <t>IMVT</t>
  </si>
  <si>
    <t>IMXI</t>
  </si>
  <si>
    <t>INBK</t>
  </si>
  <si>
    <t>INBX</t>
  </si>
  <si>
    <t>INDB</t>
  </si>
  <si>
    <t>INDI</t>
  </si>
  <si>
    <t>INDT</t>
  </si>
  <si>
    <t>INFN</t>
  </si>
  <si>
    <t>INGN</t>
  </si>
  <si>
    <t>INN</t>
  </si>
  <si>
    <t>INNV</t>
  </si>
  <si>
    <t>INO</t>
  </si>
  <si>
    <t>INSE</t>
  </si>
  <si>
    <t>INSG</t>
  </si>
  <si>
    <t>INSM</t>
  </si>
  <si>
    <t>INSP</t>
  </si>
  <si>
    <t>INST</t>
  </si>
  <si>
    <t>INSW</t>
  </si>
  <si>
    <t>INTA</t>
  </si>
  <si>
    <t>INVA</t>
  </si>
  <si>
    <t>INVE</t>
  </si>
  <si>
    <t>IONQ</t>
  </si>
  <si>
    <t>IOSP</t>
  </si>
  <si>
    <t>IOVA</t>
  </si>
  <si>
    <t>IPAR</t>
  </si>
  <si>
    <t>IPI</t>
  </si>
  <si>
    <t>IPSC</t>
  </si>
  <si>
    <t>IRBT</t>
  </si>
  <si>
    <t>IRDM</t>
  </si>
  <si>
    <t>IRMD</t>
  </si>
  <si>
    <t>IRNT</t>
  </si>
  <si>
    <t>IRT</t>
  </si>
  <si>
    <t>IRTC</t>
  </si>
  <si>
    <t>IRWD</t>
  </si>
  <si>
    <t>ISEE</t>
  </si>
  <si>
    <t>ISPO</t>
  </si>
  <si>
    <t>ITCI</t>
  </si>
  <si>
    <t>ITGR</t>
  </si>
  <si>
    <t>ITIC</t>
  </si>
  <si>
    <t>ITOS</t>
  </si>
  <si>
    <t>ITRI</t>
  </si>
  <si>
    <t>IVR</t>
  </si>
  <si>
    <t>IVT</t>
  </si>
  <si>
    <t>IVVD</t>
  </si>
  <si>
    <t>JACK</t>
  </si>
  <si>
    <t>JANX</t>
  </si>
  <si>
    <t>JBI</t>
  </si>
  <si>
    <t>JBSS</t>
  </si>
  <si>
    <t>JBT</t>
  </si>
  <si>
    <t>JELD</t>
  </si>
  <si>
    <t>JJSF</t>
  </si>
  <si>
    <t>JMSB</t>
  </si>
  <si>
    <t>JOAN</t>
  </si>
  <si>
    <t>JOBY</t>
  </si>
  <si>
    <t>JOE</t>
  </si>
  <si>
    <t>JOUT</t>
  </si>
  <si>
    <t>JRVR</t>
  </si>
  <si>
    <t>JXN</t>
  </si>
  <si>
    <t>JYNT</t>
  </si>
  <si>
    <t>KAI</t>
  </si>
  <si>
    <t>KALU</t>
  </si>
  <si>
    <t>KALV</t>
  </si>
  <si>
    <t>KAMN</t>
  </si>
  <si>
    <t>KAR</t>
  </si>
  <si>
    <t>KBH</t>
  </si>
  <si>
    <t>KDNY</t>
  </si>
  <si>
    <t>KE</t>
  </si>
  <si>
    <t>KELYA</t>
  </si>
  <si>
    <t>KFRC</t>
  </si>
  <si>
    <t>KFY</t>
  </si>
  <si>
    <t>KIDS</t>
  </si>
  <si>
    <t>KLIC</t>
  </si>
  <si>
    <t>KLR</t>
  </si>
  <si>
    <t>KMT</t>
  </si>
  <si>
    <t>KN</t>
  </si>
  <si>
    <t>KNSA</t>
  </si>
  <si>
    <t>KNSL</t>
  </si>
  <si>
    <t>KNTE</t>
  </si>
  <si>
    <t>KNTK</t>
  </si>
  <si>
    <t>KOD</t>
  </si>
  <si>
    <t>KODK</t>
  </si>
  <si>
    <t>KOP</t>
  </si>
  <si>
    <t>KORE</t>
  </si>
  <si>
    <t>KOS</t>
  </si>
  <si>
    <t>KPTI</t>
  </si>
  <si>
    <t>KREF</t>
  </si>
  <si>
    <t>KRG</t>
  </si>
  <si>
    <t>KRNY</t>
  </si>
  <si>
    <t>KRO</t>
  </si>
  <si>
    <t>KRON</t>
  </si>
  <si>
    <t>KROS</t>
  </si>
  <si>
    <t>KRT</t>
  </si>
  <si>
    <t>KRTX</t>
  </si>
  <si>
    <t>KRUS</t>
  </si>
  <si>
    <t>KRYS</t>
  </si>
  <si>
    <t>KTB</t>
  </si>
  <si>
    <t>KTOS</t>
  </si>
  <si>
    <t>KURA</t>
  </si>
  <si>
    <t>KW</t>
  </si>
  <si>
    <t>KWR</t>
  </si>
  <si>
    <t>KYMR</t>
  </si>
  <si>
    <t>KZR</t>
  </si>
  <si>
    <t>LADR</t>
  </si>
  <si>
    <t>LANC</t>
  </si>
  <si>
    <t>LAND</t>
  </si>
  <si>
    <t>LASR</t>
  </si>
  <si>
    <t>LAUR</t>
  </si>
  <si>
    <t>LAW</t>
  </si>
  <si>
    <t>LAZR</t>
  </si>
  <si>
    <t>LBAI</t>
  </si>
  <si>
    <t>LBC</t>
  </si>
  <si>
    <t>LBRT</t>
  </si>
  <si>
    <t>LC</t>
  </si>
  <si>
    <t>LCII</t>
  </si>
  <si>
    <t>LCUT</t>
  </si>
  <si>
    <t>LE</t>
  </si>
  <si>
    <t>LEGH</t>
  </si>
  <si>
    <t>LEU</t>
  </si>
  <si>
    <t>LFCR</t>
  </si>
  <si>
    <t>LFST</t>
  </si>
  <si>
    <t>LGIH</t>
  </si>
  <si>
    <t>LGND</t>
  </si>
  <si>
    <t>LICY</t>
  </si>
  <si>
    <t>LIDR</t>
  </si>
  <si>
    <t>LILA</t>
  </si>
  <si>
    <t>LILAK</t>
  </si>
  <si>
    <t>LIND</t>
  </si>
  <si>
    <t>LIVN</t>
  </si>
  <si>
    <t>LKFN</t>
  </si>
  <si>
    <t>LL</t>
  </si>
  <si>
    <t>LLAP</t>
  </si>
  <si>
    <t>LMAT</t>
  </si>
  <si>
    <t>LMND</t>
  </si>
  <si>
    <t>LNN</t>
  </si>
  <si>
    <t>LNTH</t>
  </si>
  <si>
    <t>LNW</t>
  </si>
  <si>
    <t>LOB</t>
  </si>
  <si>
    <t>LOCL</t>
  </si>
  <si>
    <t>LOCO</t>
  </si>
  <si>
    <t>LOVE</t>
  </si>
  <si>
    <t>LPG</t>
  </si>
  <si>
    <t>LPRO</t>
  </si>
  <si>
    <t>LPSN</t>
  </si>
  <si>
    <t>LQDA</t>
  </si>
  <si>
    <t>LQDT</t>
  </si>
  <si>
    <t>LRN</t>
  </si>
  <si>
    <t>LSEA</t>
  </si>
  <si>
    <t>LTC</t>
  </si>
  <si>
    <t>LTCH</t>
  </si>
  <si>
    <t>LTH</t>
  </si>
  <si>
    <t>LTHM</t>
  </si>
  <si>
    <t>LUNG</t>
  </si>
  <si>
    <t>LVLU</t>
  </si>
  <si>
    <t>LVOX</t>
  </si>
  <si>
    <t>LWLG</t>
  </si>
  <si>
    <t>LXFR</t>
  </si>
  <si>
    <t>LXP</t>
  </si>
  <si>
    <t>LXRX</t>
  </si>
  <si>
    <t>LXU</t>
  </si>
  <si>
    <t>LYEL</t>
  </si>
  <si>
    <t>LZ</t>
  </si>
  <si>
    <t>LZB</t>
  </si>
  <si>
    <t>MAC</t>
  </si>
  <si>
    <t>MAPS</t>
  </si>
  <si>
    <t>MARA</t>
  </si>
  <si>
    <t>MASS</t>
  </si>
  <si>
    <t>MATV</t>
  </si>
  <si>
    <t>MATW</t>
  </si>
  <si>
    <t>MATX</t>
  </si>
  <si>
    <t>MAX</t>
  </si>
  <si>
    <t>MBI</t>
  </si>
  <si>
    <t>MBIN</t>
  </si>
  <si>
    <t>MBUU</t>
  </si>
  <si>
    <t>MBWM</t>
  </si>
  <si>
    <t>MC</t>
  </si>
  <si>
    <t>MCB</t>
  </si>
  <si>
    <t>MCBC</t>
  </si>
  <si>
    <t>MCBS</t>
  </si>
  <si>
    <t>MCFT</t>
  </si>
  <si>
    <t>MCRB</t>
  </si>
  <si>
    <t>MCRI</t>
  </si>
  <si>
    <t>MCS</t>
  </si>
  <si>
    <t>MCY</t>
  </si>
  <si>
    <t>MD</t>
  </si>
  <si>
    <t>MDC</t>
  </si>
  <si>
    <t>MDGL</t>
  </si>
  <si>
    <t>MDRX</t>
  </si>
  <si>
    <t>MDXG</t>
  </si>
  <si>
    <t>ME</t>
  </si>
  <si>
    <t>MED</t>
  </si>
  <si>
    <t>MEDP</t>
  </si>
  <si>
    <t>MEG</t>
  </si>
  <si>
    <t>MEI</t>
  </si>
  <si>
    <t>METC</t>
  </si>
  <si>
    <t>MFA</t>
  </si>
  <si>
    <t>MGEE</t>
  </si>
  <si>
    <t>MGNI</t>
  </si>
  <si>
    <t>MGNX</t>
  </si>
  <si>
    <t>MGPI</t>
  </si>
  <si>
    <t>MGRC</t>
  </si>
  <si>
    <t>MGTX</t>
  </si>
  <si>
    <t>MGY</t>
  </si>
  <si>
    <t>MHO</t>
  </si>
  <si>
    <t>MIR</t>
  </si>
  <si>
    <t>MIRM</t>
  </si>
  <si>
    <t>MITK</t>
  </si>
  <si>
    <t>MKFG</t>
  </si>
  <si>
    <t>MKTW</t>
  </si>
  <si>
    <t>ML</t>
  </si>
  <si>
    <t>MLAB</t>
  </si>
  <si>
    <t>MLI</t>
  </si>
  <si>
    <t>MLKN</t>
  </si>
  <si>
    <t>MLNK</t>
  </si>
  <si>
    <t>MLR</t>
  </si>
  <si>
    <t>MLYS</t>
  </si>
  <si>
    <t>MMI</t>
  </si>
  <si>
    <t>MMS</t>
  </si>
  <si>
    <t>MMSI</t>
  </si>
  <si>
    <t>MNKD</t>
  </si>
  <si>
    <t>MNRO</t>
  </si>
  <si>
    <t>MNTK</t>
  </si>
  <si>
    <t>MNTS</t>
  </si>
  <si>
    <t>MOD</t>
  </si>
  <si>
    <t>MODG</t>
  </si>
  <si>
    <t>MODN</t>
  </si>
  <si>
    <t>MODV</t>
  </si>
  <si>
    <t>MOFG</t>
  </si>
  <si>
    <t>MORF</t>
  </si>
  <si>
    <t>MOV</t>
  </si>
  <si>
    <t>MPAA</t>
  </si>
  <si>
    <t>MPB</t>
  </si>
  <si>
    <t>MPLN</t>
  </si>
  <si>
    <t>MPX</t>
  </si>
  <si>
    <t>MQ</t>
  </si>
  <si>
    <t>MRC</t>
  </si>
  <si>
    <t>MRSN</t>
  </si>
  <si>
    <t>MRTN</t>
  </si>
  <si>
    <t>MSBI</t>
  </si>
  <si>
    <t>MSEX</t>
  </si>
  <si>
    <t>MSGE</t>
  </si>
  <si>
    <t>MSTR</t>
  </si>
  <si>
    <t>MTDR</t>
  </si>
  <si>
    <t>MTH</t>
  </si>
  <si>
    <t>MTRN</t>
  </si>
  <si>
    <t>MTSI</t>
  </si>
  <si>
    <t>MTTR</t>
  </si>
  <si>
    <t>MTW</t>
  </si>
  <si>
    <t>MTX</t>
  </si>
  <si>
    <t>MULN</t>
  </si>
  <si>
    <t>MUR</t>
  </si>
  <si>
    <t>MUSA</t>
  </si>
  <si>
    <t>MVBF</t>
  </si>
  <si>
    <t>MVIS</t>
  </si>
  <si>
    <t>MVST</t>
  </si>
  <si>
    <t>MWA</t>
  </si>
  <si>
    <t>MXCT</t>
  </si>
  <si>
    <t>MXL</t>
  </si>
  <si>
    <t>MYE</t>
  </si>
  <si>
    <t>MYFW</t>
  </si>
  <si>
    <t>MYGN</t>
  </si>
  <si>
    <t>MYPS</t>
  </si>
  <si>
    <t>MYRG</t>
  </si>
  <si>
    <t>NABL</t>
  </si>
  <si>
    <t>NAPA</t>
  </si>
  <si>
    <t>NARI</t>
  </si>
  <si>
    <t>NAT</t>
  </si>
  <si>
    <t>NATR</t>
  </si>
  <si>
    <t>NAUT</t>
  </si>
  <si>
    <t>NAVI</t>
  </si>
  <si>
    <t>NBHC</t>
  </si>
  <si>
    <t>NBN</t>
  </si>
  <si>
    <t>NBR</t>
  </si>
  <si>
    <t>NBTB</t>
  </si>
  <si>
    <t>NC</t>
  </si>
  <si>
    <t>NDLS</t>
  </si>
  <si>
    <t>NE</t>
  </si>
  <si>
    <t>NEO</t>
  </si>
  <si>
    <t>NEOG</t>
  </si>
  <si>
    <t>NETI</t>
  </si>
  <si>
    <t>NEX</t>
  </si>
  <si>
    <t>NEXT</t>
  </si>
  <si>
    <t>NFBK</t>
  </si>
  <si>
    <t>NG</t>
  </si>
  <si>
    <t>NGM</t>
  </si>
  <si>
    <t>NGMS</t>
  </si>
  <si>
    <t>NGVC</t>
  </si>
  <si>
    <t>NGVT</t>
  </si>
  <si>
    <t>NHC</t>
  </si>
  <si>
    <t>NHI</t>
  </si>
  <si>
    <t>NIC</t>
  </si>
  <si>
    <t>NJR</t>
  </si>
  <si>
    <t>NKLA</t>
  </si>
  <si>
    <t>NKTR</t>
  </si>
  <si>
    <t>NKTX</t>
  </si>
  <si>
    <t>NL</t>
  </si>
  <si>
    <t>NMIH</t>
  </si>
  <si>
    <t>NMRK</t>
  </si>
  <si>
    <t>NN</t>
  </si>
  <si>
    <t>NNI</t>
  </si>
  <si>
    <t>NNOX</t>
  </si>
  <si>
    <t>NODK</t>
  </si>
  <si>
    <t>NOG</t>
  </si>
  <si>
    <t>NOTV</t>
  </si>
  <si>
    <t>NOVA</t>
  </si>
  <si>
    <t>NOVT</t>
  </si>
  <si>
    <t>NPK</t>
  </si>
  <si>
    <t>NPO</t>
  </si>
  <si>
    <t>NR</t>
  </si>
  <si>
    <t>NRC</t>
  </si>
  <si>
    <t>NRDS</t>
  </si>
  <si>
    <t>NRDY</t>
  </si>
  <si>
    <t>NREF</t>
  </si>
  <si>
    <t>NRGV</t>
  </si>
  <si>
    <t>NRIX</t>
  </si>
  <si>
    <t>NSIT</t>
  </si>
  <si>
    <t>NSP</t>
  </si>
  <si>
    <t>NSSC</t>
  </si>
  <si>
    <t>NSTG</t>
  </si>
  <si>
    <t>NTB</t>
  </si>
  <si>
    <t>NTCT</t>
  </si>
  <si>
    <t>NTGR</t>
  </si>
  <si>
    <t>NTLA</t>
  </si>
  <si>
    <t>NTST</t>
  </si>
  <si>
    <t>NUS</t>
  </si>
  <si>
    <t>NUTX</t>
  </si>
  <si>
    <t>NUVA</t>
  </si>
  <si>
    <t>NUVB</t>
  </si>
  <si>
    <t>NUVL</t>
  </si>
  <si>
    <t>NVEE</t>
  </si>
  <si>
    <t>NVRO</t>
  </si>
  <si>
    <t>NVTA</t>
  </si>
  <si>
    <t>NWBI</t>
  </si>
  <si>
    <t>NWE</t>
  </si>
  <si>
    <t>NWLI</t>
  </si>
  <si>
    <t>NWN</t>
  </si>
  <si>
    <t>NWPX</t>
  </si>
  <si>
    <t>NX</t>
  </si>
  <si>
    <t>NXGN</t>
  </si>
  <si>
    <t>NXRT</t>
  </si>
  <si>
    <t>NXT</t>
  </si>
  <si>
    <t>NYMT</t>
  </si>
  <si>
    <t>OABI</t>
  </si>
  <si>
    <t>OB</t>
  </si>
  <si>
    <t>OBK</t>
  </si>
  <si>
    <t>OCFC</t>
  </si>
  <si>
    <t>OCGN</t>
  </si>
  <si>
    <t>OCTO</t>
  </si>
  <si>
    <t>OCUL</t>
  </si>
  <si>
    <t>ODP</t>
  </si>
  <si>
    <t>OEC</t>
  </si>
  <si>
    <t>OFG</t>
  </si>
  <si>
    <t>OFIX</t>
  </si>
  <si>
    <t>OFLX</t>
  </si>
  <si>
    <t>OGS</t>
  </si>
  <si>
    <t>OI</t>
  </si>
  <si>
    <t>OII</t>
  </si>
  <si>
    <t>OIS</t>
  </si>
  <si>
    <t>OLO</t>
  </si>
  <si>
    <t>OLP</t>
  </si>
  <si>
    <t>OM</t>
  </si>
  <si>
    <t>OMCL</t>
  </si>
  <si>
    <t>OMI</t>
  </si>
  <si>
    <t>OMIC</t>
  </si>
  <si>
    <t>ONB</t>
  </si>
  <si>
    <t>ONDS</t>
  </si>
  <si>
    <t>ONEW</t>
  </si>
  <si>
    <t>ONL</t>
  </si>
  <si>
    <t>ONTF</t>
  </si>
  <si>
    <t>ONTO</t>
  </si>
  <si>
    <t>OOMA</t>
  </si>
  <si>
    <t>OPAD</t>
  </si>
  <si>
    <t>OPCH</t>
  </si>
  <si>
    <t>OPFI</t>
  </si>
  <si>
    <t>OPI</t>
  </si>
  <si>
    <t>OPK</t>
  </si>
  <si>
    <t>OPRT</t>
  </si>
  <si>
    <t>OPRX</t>
  </si>
  <si>
    <t>OPY</t>
  </si>
  <si>
    <t>ORA</t>
  </si>
  <si>
    <t>ORC</t>
  </si>
  <si>
    <t>ORGN</t>
  </si>
  <si>
    <t>ORGO</t>
  </si>
  <si>
    <t>ORRF</t>
  </si>
  <si>
    <t>OSBC</t>
  </si>
  <si>
    <t>OSCR</t>
  </si>
  <si>
    <t>OSIS</t>
  </si>
  <si>
    <t>OSPN</t>
  </si>
  <si>
    <t>OSTK</t>
  </si>
  <si>
    <t>OSUR</t>
  </si>
  <si>
    <t>OSW</t>
  </si>
  <si>
    <t>OTLK</t>
  </si>
  <si>
    <t>OTTR</t>
  </si>
  <si>
    <t>OUST</t>
  </si>
  <si>
    <t>OUT</t>
  </si>
  <si>
    <t>OXM</t>
  </si>
  <si>
    <t>PACB</t>
  </si>
  <si>
    <t>PACK</t>
  </si>
  <si>
    <t>PAHC</t>
  </si>
  <si>
    <t>PAR</t>
  </si>
  <si>
    <t>PARR</t>
  </si>
  <si>
    <t>PATK</t>
  </si>
  <si>
    <t>PAYO</t>
  </si>
  <si>
    <t>PBF</t>
  </si>
  <si>
    <t>PBFS</t>
  </si>
  <si>
    <t>PBH</t>
  </si>
  <si>
    <t>PBI</t>
  </si>
  <si>
    <t>PCB</t>
  </si>
  <si>
    <t>PCH</t>
  </si>
  <si>
    <t>PCRX</t>
  </si>
  <si>
    <t>PCT</t>
  </si>
  <si>
    <t>PCVX</t>
  </si>
  <si>
    <t>PCYO</t>
  </si>
  <si>
    <t>PD</t>
  </si>
  <si>
    <t>PDCO</t>
  </si>
  <si>
    <t>PDFS</t>
  </si>
  <si>
    <t>PDLI</t>
  </si>
  <si>
    <t>PDM</t>
  </si>
  <si>
    <t>PEB</t>
  </si>
  <si>
    <t>PEBO</t>
  </si>
  <si>
    <t>PECO</t>
  </si>
  <si>
    <t>PEPG</t>
  </si>
  <si>
    <t>PETQ</t>
  </si>
  <si>
    <t>PETS</t>
  </si>
  <si>
    <t>PFBC</t>
  </si>
  <si>
    <t>PFC</t>
  </si>
  <si>
    <t>PFIS</t>
  </si>
  <si>
    <t>PFS</t>
  </si>
  <si>
    <t>PFSI</t>
  </si>
  <si>
    <t>PFSW</t>
  </si>
  <si>
    <t>PGC</t>
  </si>
  <si>
    <t>PGEN</t>
  </si>
  <si>
    <t>PGNY</t>
  </si>
  <si>
    <t>PGRE</t>
  </si>
  <si>
    <t>PGTI</t>
  </si>
  <si>
    <t>PHAT</t>
  </si>
  <si>
    <t>PHR</t>
  </si>
  <si>
    <t>PI</t>
  </si>
  <si>
    <t>PIII</t>
  </si>
  <si>
    <t>PIPR</t>
  </si>
  <si>
    <t>PJT</t>
  </si>
  <si>
    <t>PKBK</t>
  </si>
  <si>
    <t>PKE</t>
  </si>
  <si>
    <t>PL</t>
  </si>
  <si>
    <t>PLAB</t>
  </si>
  <si>
    <t>PLAY</t>
  </si>
  <si>
    <t>PLBY</t>
  </si>
  <si>
    <t>PLCE</t>
  </si>
  <si>
    <t>PLL</t>
  </si>
  <si>
    <t>PLM</t>
  </si>
  <si>
    <t>PLMR</t>
  </si>
  <si>
    <t>PLOW</t>
  </si>
  <si>
    <t>PLPC</t>
  </si>
  <si>
    <t>PLUS</t>
  </si>
  <si>
    <t>PLXS</t>
  </si>
  <si>
    <t>PLYM</t>
  </si>
  <si>
    <t>PMT</t>
  </si>
  <si>
    <t>PMVP</t>
  </si>
  <si>
    <t>PNM</t>
  </si>
  <si>
    <t>PNT</t>
  </si>
  <si>
    <t>PNTG</t>
  </si>
  <si>
    <t>POR</t>
  </si>
  <si>
    <t>POWI</t>
  </si>
  <si>
    <t>POWL</t>
  </si>
  <si>
    <t>POWW</t>
  </si>
  <si>
    <t>PPBI</t>
  </si>
  <si>
    <t>PR</t>
  </si>
  <si>
    <t>PRA</t>
  </si>
  <si>
    <t>PRAA</t>
  </si>
  <si>
    <t>PRAX</t>
  </si>
  <si>
    <t>PRCH</t>
  </si>
  <si>
    <t>PRCT</t>
  </si>
  <si>
    <t>PRDO</t>
  </si>
  <si>
    <t>PRDS</t>
  </si>
  <si>
    <t>PRFT</t>
  </si>
  <si>
    <t>PRG</t>
  </si>
  <si>
    <t>PRGS</t>
  </si>
  <si>
    <t>PRIM</t>
  </si>
  <si>
    <t>PRK</t>
  </si>
  <si>
    <t>PRLB</t>
  </si>
  <si>
    <t>PRM</t>
  </si>
  <si>
    <t>PRME</t>
  </si>
  <si>
    <t>PRMW</t>
  </si>
  <si>
    <t>PRO</t>
  </si>
  <si>
    <t>PRPL</t>
  </si>
  <si>
    <t>PRTA</t>
  </si>
  <si>
    <t>PRTH</t>
  </si>
  <si>
    <t>PRTS</t>
  </si>
  <si>
    <t>PRVA</t>
  </si>
  <si>
    <t>PSFE</t>
  </si>
  <si>
    <t>PSMT</t>
  </si>
  <si>
    <t>PSN</t>
  </si>
  <si>
    <t>PSTL</t>
  </si>
  <si>
    <t>PTCT</t>
  </si>
  <si>
    <t>PTEN</t>
  </si>
  <si>
    <t>PTGX</t>
  </si>
  <si>
    <t>PTLO</t>
  </si>
  <si>
    <t>PTRA</t>
  </si>
  <si>
    <t>PTSI</t>
  </si>
  <si>
    <t>PTVE</t>
  </si>
  <si>
    <t>PUBM</t>
  </si>
  <si>
    <t>PUMP</t>
  </si>
  <si>
    <t>PVBC</t>
  </si>
  <si>
    <t>PWP</t>
  </si>
  <si>
    <t>PWSC</t>
  </si>
  <si>
    <t>PZZA</t>
  </si>
  <si>
    <t>QCRH</t>
  </si>
  <si>
    <t>QLYS</t>
  </si>
  <si>
    <t>QNST</t>
  </si>
  <si>
    <t>QRTEA</t>
  </si>
  <si>
    <t>QSI</t>
  </si>
  <si>
    <t>QTRX</t>
  </si>
  <si>
    <t>QTWO</t>
  </si>
  <si>
    <t>QUAD</t>
  </si>
  <si>
    <t>QUOT</t>
  </si>
  <si>
    <t>RAD</t>
  </si>
  <si>
    <t>RADI</t>
  </si>
  <si>
    <t>RAMP</t>
  </si>
  <si>
    <t>RAPT</t>
  </si>
  <si>
    <t>RBB</t>
  </si>
  <si>
    <t>RBBN</t>
  </si>
  <si>
    <t>RBC</t>
  </si>
  <si>
    <t>RBCAA</t>
  </si>
  <si>
    <t>RBOT</t>
  </si>
  <si>
    <t>RC</t>
  </si>
  <si>
    <t>RCKT</t>
  </si>
  <si>
    <t>RCKY</t>
  </si>
  <si>
    <t>RCM</t>
  </si>
  <si>
    <t>RCUS</t>
  </si>
  <si>
    <t>RDFN</t>
  </si>
  <si>
    <t>RDN</t>
  </si>
  <si>
    <t>RDNT</t>
  </si>
  <si>
    <t>RDVT</t>
  </si>
  <si>
    <t>RDW</t>
  </si>
  <si>
    <t>REAL</t>
  </si>
  <si>
    <t>REFI</t>
  </si>
  <si>
    <t>REI</t>
  </si>
  <si>
    <t>RELY</t>
  </si>
  <si>
    <t>RENT</t>
  </si>
  <si>
    <t>REPL</t>
  </si>
  <si>
    <t>REPX</t>
  </si>
  <si>
    <t>RES</t>
  </si>
  <si>
    <t>RETA</t>
  </si>
  <si>
    <t>REVG</t>
  </si>
  <si>
    <t>REX</t>
  </si>
  <si>
    <t>REZI</t>
  </si>
  <si>
    <t>RGNX</t>
  </si>
  <si>
    <t>RGP</t>
  </si>
  <si>
    <t>RGR</t>
  </si>
  <si>
    <t>RGTI</t>
  </si>
  <si>
    <t>RHP</t>
  </si>
  <si>
    <t>RICK</t>
  </si>
  <si>
    <t>RIDE</t>
  </si>
  <si>
    <t>RIGL</t>
  </si>
  <si>
    <t>RILY</t>
  </si>
  <si>
    <t>RIOT</t>
  </si>
  <si>
    <t>RKLB</t>
  </si>
  <si>
    <t>RLAY</t>
  </si>
  <si>
    <t>RLGT</t>
  </si>
  <si>
    <t>RLI</t>
  </si>
  <si>
    <t>RLJ</t>
  </si>
  <si>
    <t>RLMD</t>
  </si>
  <si>
    <t>RLYB</t>
  </si>
  <si>
    <t>RM</t>
  </si>
  <si>
    <t>RMAX</t>
  </si>
  <si>
    <t>RMBL</t>
  </si>
  <si>
    <t>RMBS</t>
  </si>
  <si>
    <t>RMNI</t>
  </si>
  <si>
    <t>RMR</t>
  </si>
  <si>
    <t>RNA</t>
  </si>
  <si>
    <t>RNST</t>
  </si>
  <si>
    <t>ROAD</t>
  </si>
  <si>
    <t>ROCC</t>
  </si>
  <si>
    <t>ROCK</t>
  </si>
  <si>
    <t>ROG</t>
  </si>
  <si>
    <t>ROIC</t>
  </si>
  <si>
    <t>ROOT</t>
  </si>
  <si>
    <t>ROVR</t>
  </si>
  <si>
    <t>RPAY</t>
  </si>
  <si>
    <t>RPD</t>
  </si>
  <si>
    <t>RPT</t>
  </si>
  <si>
    <t>RRBI</t>
  </si>
  <si>
    <t>RRR</t>
  </si>
  <si>
    <t>RSI</t>
  </si>
  <si>
    <t>RSVR</t>
  </si>
  <si>
    <t>RTL</t>
  </si>
  <si>
    <t>RUSHA</t>
  </si>
  <si>
    <t>RUSHB</t>
  </si>
  <si>
    <t>RVLV</t>
  </si>
  <si>
    <t>RVMD</t>
  </si>
  <si>
    <t>RVNC</t>
  </si>
  <si>
    <t>RWT</t>
  </si>
  <si>
    <t>RXDX</t>
  </si>
  <si>
    <t>RXRX</t>
  </si>
  <si>
    <t>RXST</t>
  </si>
  <si>
    <t>RXT</t>
  </si>
  <si>
    <t>RYAM</t>
  </si>
  <si>
    <t>RYI</t>
  </si>
  <si>
    <t>SABR</t>
  </si>
  <si>
    <t>SAFE</t>
  </si>
  <si>
    <t>SAFT</t>
  </si>
  <si>
    <t>SAGE</t>
  </si>
  <si>
    <t>SAH</t>
  </si>
  <si>
    <t>SAIA</t>
  </si>
  <si>
    <t>SAMG</t>
  </si>
  <si>
    <t>SANA</t>
  </si>
  <si>
    <t>SANM</t>
  </si>
  <si>
    <t>SASR</t>
  </si>
  <si>
    <t>SATS</t>
  </si>
  <si>
    <t>SAVA</t>
  </si>
  <si>
    <t>SAVE</t>
  </si>
  <si>
    <t>SB</t>
  </si>
  <si>
    <t>SBCF</t>
  </si>
  <si>
    <t>SBGI</t>
  </si>
  <si>
    <t>SBH</t>
  </si>
  <si>
    <t>SBOW</t>
  </si>
  <si>
    <t>SBRA</t>
  </si>
  <si>
    <t>SBSI</t>
  </si>
  <si>
    <t>SBT</t>
  </si>
  <si>
    <t>SCHL</t>
  </si>
  <si>
    <t>SCL</t>
  </si>
  <si>
    <t>SCS</t>
  </si>
  <si>
    <t>SCSC</t>
  </si>
  <si>
    <t>SCU</t>
  </si>
  <si>
    <t>SCVL</t>
  </si>
  <si>
    <t>SCWX</t>
  </si>
  <si>
    <t>SD</t>
  </si>
  <si>
    <t>SDGR</t>
  </si>
  <si>
    <t>SEAS</t>
  </si>
  <si>
    <t>SEAT</t>
  </si>
  <si>
    <t>SEER</t>
  </si>
  <si>
    <t>SEM</t>
  </si>
  <si>
    <t>SENEA</t>
  </si>
  <si>
    <t>SENS</t>
  </si>
  <si>
    <t>SFBS</t>
  </si>
  <si>
    <t>SFIX</t>
  </si>
  <si>
    <t>SFL</t>
  </si>
  <si>
    <t>SFM</t>
  </si>
  <si>
    <t>SFNC</t>
  </si>
  <si>
    <t>SFST</t>
  </si>
  <si>
    <t>SG</t>
  </si>
  <si>
    <t>SGC</t>
  </si>
  <si>
    <t>SGH</t>
  </si>
  <si>
    <t>SGHT</t>
  </si>
  <si>
    <t>SGMO</t>
  </si>
  <si>
    <t>SGRY</t>
  </si>
  <si>
    <t>SHAK</t>
  </si>
  <si>
    <t>SHBI</t>
  </si>
  <si>
    <t>SHCR</t>
  </si>
  <si>
    <t>SHEN</t>
  </si>
  <si>
    <t>SHLS</t>
  </si>
  <si>
    <t>SHO</t>
  </si>
  <si>
    <t>SHOO</t>
  </si>
  <si>
    <t>SHYF</t>
  </si>
  <si>
    <t>SIBN</t>
  </si>
  <si>
    <t>SIG</t>
  </si>
  <si>
    <t>SIGA</t>
  </si>
  <si>
    <t>SIGI</t>
  </si>
  <si>
    <t>SILK</t>
  </si>
  <si>
    <t>SITC</t>
  </si>
  <si>
    <t>SITM</t>
  </si>
  <si>
    <t>SJW</t>
  </si>
  <si>
    <t>SKIL</t>
  </si>
  <si>
    <t>SKIN</t>
  </si>
  <si>
    <t>SKLZ</t>
  </si>
  <si>
    <t>SKT</t>
  </si>
  <si>
    <t>SKWD</t>
  </si>
  <si>
    <t>SKY</t>
  </si>
  <si>
    <t>SKYT</t>
  </si>
  <si>
    <t>SKYW</t>
  </si>
  <si>
    <t>SLAB</t>
  </si>
  <si>
    <t>SLCA</t>
  </si>
  <si>
    <t>SLDP</t>
  </si>
  <si>
    <t>SLGC</t>
  </si>
  <si>
    <t>SLP</t>
  </si>
  <si>
    <t>SLQT</t>
  </si>
  <si>
    <t>SLVM</t>
  </si>
  <si>
    <t>SM</t>
  </si>
  <si>
    <t>SMBC</t>
  </si>
  <si>
    <t>SMBK</t>
  </si>
  <si>
    <t>SMCI</t>
  </si>
  <si>
    <t>SMMF</t>
  </si>
  <si>
    <t>SMP</t>
  </si>
  <si>
    <t>SMPL</t>
  </si>
  <si>
    <t>SMR</t>
  </si>
  <si>
    <t>SMRT</t>
  </si>
  <si>
    <t>SMTC</t>
  </si>
  <si>
    <t>SNBR</t>
  </si>
  <si>
    <t>SNCE</t>
  </si>
  <si>
    <t>SNCY</t>
  </si>
  <si>
    <t>SNDX</t>
  </si>
  <si>
    <t>SNEX</t>
  </si>
  <si>
    <t>SNPO</t>
  </si>
  <si>
    <t>SOI</t>
  </si>
  <si>
    <t>SOND</t>
  </si>
  <si>
    <t>SONO</t>
  </si>
  <si>
    <t>SOVO</t>
  </si>
  <si>
    <t>SP</t>
  </si>
  <si>
    <t>SPCE</t>
  </si>
  <si>
    <t>SPFI</t>
  </si>
  <si>
    <t>SPHR</t>
  </si>
  <si>
    <t>SPIR</t>
  </si>
  <si>
    <t>SPNS</t>
  </si>
  <si>
    <t>SPNT</t>
  </si>
  <si>
    <t>SPSC</t>
  </si>
  <si>
    <t>SPT</t>
  </si>
  <si>
    <t>SPTN</t>
  </si>
  <si>
    <t>SPWH</t>
  </si>
  <si>
    <t>SPWR</t>
  </si>
  <si>
    <t>SPXC</t>
  </si>
  <si>
    <t>SQSP</t>
  </si>
  <si>
    <t>SR</t>
  </si>
  <si>
    <t>SRCE</t>
  </si>
  <si>
    <t>SRDX</t>
  </si>
  <si>
    <t>SRI</t>
  </si>
  <si>
    <t>SSB</t>
  </si>
  <si>
    <t>SSD</t>
  </si>
  <si>
    <t>SSP</t>
  </si>
  <si>
    <t>SSTI</t>
  </si>
  <si>
    <t>SSTK</t>
  </si>
  <si>
    <t>STAA</t>
  </si>
  <si>
    <t>STAG</t>
  </si>
  <si>
    <t>STBA</t>
  </si>
  <si>
    <t>STC</t>
  </si>
  <si>
    <t>STEL</t>
  </si>
  <si>
    <t>STEM</t>
  </si>
  <si>
    <t>STEP</t>
  </si>
  <si>
    <t>STER</t>
  </si>
  <si>
    <t>STGW</t>
  </si>
  <si>
    <t>STHO</t>
  </si>
  <si>
    <t>STKL</t>
  </si>
  <si>
    <t>STKS</t>
  </si>
  <si>
    <t>STNE</t>
  </si>
  <si>
    <t>STNG</t>
  </si>
  <si>
    <t>STOK</t>
  </si>
  <si>
    <t>STR</t>
  </si>
  <si>
    <t>STRA</t>
  </si>
  <si>
    <t>STRC</t>
  </si>
  <si>
    <t>STRL</t>
  </si>
  <si>
    <t>STRO</t>
  </si>
  <si>
    <t>STRS</t>
  </si>
  <si>
    <t>SUM</t>
  </si>
  <si>
    <t>SUNL</t>
  </si>
  <si>
    <t>SUPN</t>
  </si>
  <si>
    <t>SVC</t>
  </si>
  <si>
    <t>SWAV</t>
  </si>
  <si>
    <t>SWBI</t>
  </si>
  <si>
    <t>SWI</t>
  </si>
  <si>
    <t>SWIM</t>
  </si>
  <si>
    <t>SWKH</t>
  </si>
  <si>
    <t>SWTX</t>
  </si>
  <si>
    <t>SWX</t>
  </si>
  <si>
    <t>SXC</t>
  </si>
  <si>
    <t>SXI</t>
  </si>
  <si>
    <t>SXT</t>
  </si>
  <si>
    <t>SYBT</t>
  </si>
  <si>
    <t>SYNA</t>
  </si>
  <si>
    <t>TALO</t>
  </si>
  <si>
    <t>TARS</t>
  </si>
  <si>
    <t>TBBK</t>
  </si>
  <si>
    <t>TBI</t>
  </si>
  <si>
    <t>TBPH</t>
  </si>
  <si>
    <t>TCBI</t>
  </si>
  <si>
    <t>TCBK</t>
  </si>
  <si>
    <t>TCBX</t>
  </si>
  <si>
    <t>TCI</t>
  </si>
  <si>
    <t>TCMD</t>
  </si>
  <si>
    <t>TCS</t>
  </si>
  <si>
    <t>TCX</t>
  </si>
  <si>
    <t>TDS</t>
  </si>
  <si>
    <t>TDUP</t>
  </si>
  <si>
    <t>TDW</t>
  </si>
  <si>
    <t>TELL</t>
  </si>
  <si>
    <t>TENB</t>
  </si>
  <si>
    <t>TEX</t>
  </si>
  <si>
    <t>TFIN</t>
  </si>
  <si>
    <t>TFM</t>
  </si>
  <si>
    <t>TG</t>
  </si>
  <si>
    <t>TGAN</t>
  </si>
  <si>
    <t>TGH</t>
  </si>
  <si>
    <t>TGI</t>
  </si>
  <si>
    <t>TGNA</t>
  </si>
  <si>
    <t>TGTX</t>
  </si>
  <si>
    <t>TH</t>
  </si>
  <si>
    <t>THFF</t>
  </si>
  <si>
    <t>THR</t>
  </si>
  <si>
    <t>THRD</t>
  </si>
  <si>
    <t>THRM</t>
  </si>
  <si>
    <t>THRN</t>
  </si>
  <si>
    <t>THRX</t>
  </si>
  <si>
    <t>THRY</t>
  </si>
  <si>
    <t>THS</t>
  </si>
  <si>
    <t>TIL</t>
  </si>
  <si>
    <t>TILE</t>
  </si>
  <si>
    <t>TIPT</t>
  </si>
  <si>
    <t>TITN</t>
  </si>
  <si>
    <t>TK</t>
  </si>
  <si>
    <t>TKNO</t>
  </si>
  <si>
    <t>TLS</t>
  </si>
  <si>
    <t>TLYS</t>
  </si>
  <si>
    <t>TMCI</t>
  </si>
  <si>
    <t>TMDX</t>
  </si>
  <si>
    <t>TMHC</t>
  </si>
  <si>
    <t>TMP</t>
  </si>
  <si>
    <t>TMST</t>
  </si>
  <si>
    <t>TNC</t>
  </si>
  <si>
    <t>TNET</t>
  </si>
  <si>
    <t>TNGX</t>
  </si>
  <si>
    <t>TNK</t>
  </si>
  <si>
    <t>TNYA</t>
  </si>
  <si>
    <t>TOI</t>
  </si>
  <si>
    <t>TOWN</t>
  </si>
  <si>
    <t>TPB</t>
  </si>
  <si>
    <t>TPC</t>
  </si>
  <si>
    <t>TPH</t>
  </si>
  <si>
    <t>TPIC</t>
  </si>
  <si>
    <t>TR</t>
  </si>
  <si>
    <t>TRC</t>
  </si>
  <si>
    <t>TREE</t>
  </si>
  <si>
    <t>TRMK</t>
  </si>
  <si>
    <t>TRN</t>
  </si>
  <si>
    <t>TRNO</t>
  </si>
  <si>
    <t>TRNS</t>
  </si>
  <si>
    <t>TROX</t>
  </si>
  <si>
    <t>TRS</t>
  </si>
  <si>
    <t>TRST</t>
  </si>
  <si>
    <t>TRTN</t>
  </si>
  <si>
    <t>TRTX</t>
  </si>
  <si>
    <t>TRUE</t>
  </si>
  <si>
    <t>TRUP</t>
  </si>
  <si>
    <t>TSE</t>
  </si>
  <si>
    <t>TSP</t>
  </si>
  <si>
    <t>TSVT</t>
  </si>
  <si>
    <t>TTCF</t>
  </si>
  <si>
    <t>TTEC</t>
  </si>
  <si>
    <t>TTGT</t>
  </si>
  <si>
    <t>TTI</t>
  </si>
  <si>
    <t>TTMI</t>
  </si>
  <si>
    <t>TTSH</t>
  </si>
  <si>
    <t>TUP</t>
  </si>
  <si>
    <t>TVTX</t>
  </si>
  <si>
    <t>TWI</t>
  </si>
  <si>
    <t>TWNK</t>
  </si>
  <si>
    <t>TWO</t>
  </si>
  <si>
    <t>TWOU</t>
  </si>
  <si>
    <t>TWST</t>
  </si>
  <si>
    <t>TXRH</t>
  </si>
  <si>
    <t>TYRA</t>
  </si>
  <si>
    <t>UBA</t>
  </si>
  <si>
    <t>UBSI</t>
  </si>
  <si>
    <t>UCBI</t>
  </si>
  <si>
    <t>UCTT</t>
  </si>
  <si>
    <t>UDMY</t>
  </si>
  <si>
    <t>UE</t>
  </si>
  <si>
    <t>UEC</t>
  </si>
  <si>
    <t>UEIC</t>
  </si>
  <si>
    <t>UFCS</t>
  </si>
  <si>
    <t>UFI</t>
  </si>
  <si>
    <t>UFPI</t>
  </si>
  <si>
    <t>UFPT</t>
  </si>
  <si>
    <t>UHT</t>
  </si>
  <si>
    <t>UIS</t>
  </si>
  <si>
    <t>ULCC</t>
  </si>
  <si>
    <t>ULH</t>
  </si>
  <si>
    <t>UMBF</t>
  </si>
  <si>
    <t>UMH</t>
  </si>
  <si>
    <t>UNF</t>
  </si>
  <si>
    <t>UNFI</t>
  </si>
  <si>
    <t>UNIT</t>
  </si>
  <si>
    <t>UNTY</t>
  </si>
  <si>
    <t>UONE</t>
  </si>
  <si>
    <t>UONEK</t>
  </si>
  <si>
    <t>UP</t>
  </si>
  <si>
    <t>UPBD</t>
  </si>
  <si>
    <t>UPLD</t>
  </si>
  <si>
    <t>UPWK</t>
  </si>
  <si>
    <t>URBN</t>
  </si>
  <si>
    <t>URG</t>
  </si>
  <si>
    <t>USCB</t>
  </si>
  <si>
    <t>USLM</t>
  </si>
  <si>
    <t>USM</t>
  </si>
  <si>
    <t>USNA</t>
  </si>
  <si>
    <t>USPH</t>
  </si>
  <si>
    <t>UTI</t>
  </si>
  <si>
    <t>UTL</t>
  </si>
  <si>
    <t>UTMD</t>
  </si>
  <si>
    <t>UTZ</t>
  </si>
  <si>
    <t>UUUU</t>
  </si>
  <si>
    <t>UVE</t>
  </si>
  <si>
    <t>UVSP</t>
  </si>
  <si>
    <t>UVV</t>
  </si>
  <si>
    <t>VAL</t>
  </si>
  <si>
    <t>VALU</t>
  </si>
  <si>
    <t>VBIV</t>
  </si>
  <si>
    <t>VBTX</t>
  </si>
  <si>
    <t>VC</t>
  </si>
  <si>
    <t>VCEL</t>
  </si>
  <si>
    <t>VCSA</t>
  </si>
  <si>
    <t>VCTR</t>
  </si>
  <si>
    <t>VCYT</t>
  </si>
  <si>
    <t>VECO</t>
  </si>
  <si>
    <t>VEL</t>
  </si>
  <si>
    <t>VERA</t>
  </si>
  <si>
    <t>VERI</t>
  </si>
  <si>
    <t>VERU</t>
  </si>
  <si>
    <t>VERV</t>
  </si>
  <si>
    <t>VGR</t>
  </si>
  <si>
    <t>VHI</t>
  </si>
  <si>
    <t>VIA</t>
  </si>
  <si>
    <t>VIAV</t>
  </si>
  <si>
    <t>VICR</t>
  </si>
  <si>
    <t>VIEW</t>
  </si>
  <si>
    <t>VIR</t>
  </si>
  <si>
    <t>VITL</t>
  </si>
  <si>
    <t>VLD</t>
  </si>
  <si>
    <t>VLGEA</t>
  </si>
  <si>
    <t>VLY</t>
  </si>
  <si>
    <t>VMEO</t>
  </si>
  <si>
    <t>VNDA</t>
  </si>
  <si>
    <t>VPG</t>
  </si>
  <si>
    <t>VRAY</t>
  </si>
  <si>
    <t>VRDN</t>
  </si>
  <si>
    <t>VRE</t>
  </si>
  <si>
    <t>VREX</t>
  </si>
  <si>
    <t>VRNS</t>
  </si>
  <si>
    <t>VRNT</t>
  </si>
  <si>
    <t>VRRM</t>
  </si>
  <si>
    <t>VRTS</t>
  </si>
  <si>
    <t>VRTV</t>
  </si>
  <si>
    <t>VSEC</t>
  </si>
  <si>
    <t>VSH</t>
  </si>
  <si>
    <t>VSTO</t>
  </si>
  <si>
    <t>VTGN</t>
  </si>
  <si>
    <t>VTLE</t>
  </si>
  <si>
    <t>VTNR</t>
  </si>
  <si>
    <t>VTOL</t>
  </si>
  <si>
    <t>VTYX</t>
  </si>
  <si>
    <t>VUZI</t>
  </si>
  <si>
    <t>VVI</t>
  </si>
  <si>
    <t>VVX</t>
  </si>
  <si>
    <t>VWE</t>
  </si>
  <si>
    <t>VXRT</t>
  </si>
  <si>
    <t>VZIO</t>
  </si>
  <si>
    <t>WABC</t>
  </si>
  <si>
    <t>WAFD</t>
  </si>
  <si>
    <t>WASH</t>
  </si>
  <si>
    <t>WD</t>
  </si>
  <si>
    <t>WDFC</t>
  </si>
  <si>
    <t>WEAV</t>
  </si>
  <si>
    <t>WERN</t>
  </si>
  <si>
    <t>WEYS</t>
  </si>
  <si>
    <t>WFRD</t>
  </si>
  <si>
    <t>WGO</t>
  </si>
  <si>
    <t>WGS</t>
  </si>
  <si>
    <t>WHD</t>
  </si>
  <si>
    <t>WINA</t>
  </si>
  <si>
    <t>WING</t>
  </si>
  <si>
    <t>WIRE</t>
  </si>
  <si>
    <t>WISH</t>
  </si>
  <si>
    <t>WK</t>
  </si>
  <si>
    <t>WKHS</t>
  </si>
  <si>
    <t>WLDN</t>
  </si>
  <si>
    <t>WLY</t>
  </si>
  <si>
    <t>WMK</t>
  </si>
  <si>
    <t>WNC</t>
  </si>
  <si>
    <t>WOR</t>
  </si>
  <si>
    <t>WOW</t>
  </si>
  <si>
    <t>WRBY</t>
  </si>
  <si>
    <t>WRLD</t>
  </si>
  <si>
    <t>WSBC</t>
  </si>
  <si>
    <t>WSBF</t>
  </si>
  <si>
    <t>WSFS</t>
  </si>
  <si>
    <t>WSR</t>
  </si>
  <si>
    <t>WT</t>
  </si>
  <si>
    <t>WTBA</t>
  </si>
  <si>
    <t>WTI</t>
  </si>
  <si>
    <t>WTS</t>
  </si>
  <si>
    <t>WTTR</t>
  </si>
  <si>
    <t>WULF</t>
  </si>
  <si>
    <t>WW</t>
  </si>
  <si>
    <t>WWW</t>
  </si>
  <si>
    <t>XERS</t>
  </si>
  <si>
    <t>XHR</t>
  </si>
  <si>
    <t>XMTR</t>
  </si>
  <si>
    <t>XNCR</t>
  </si>
  <si>
    <t>XOS</t>
  </si>
  <si>
    <t>XPEL</t>
  </si>
  <si>
    <t>XPER</t>
  </si>
  <si>
    <t>XPOF</t>
  </si>
  <si>
    <t>XPRO</t>
  </si>
  <si>
    <t>XRX</t>
  </si>
  <si>
    <t>XXII</t>
  </si>
  <si>
    <t>YELP</t>
  </si>
  <si>
    <t>YEXT</t>
  </si>
  <si>
    <t>YMAB</t>
  </si>
  <si>
    <t>YORW</t>
  </si>
  <si>
    <t>YOU</t>
  </si>
  <si>
    <t>ZD</t>
  </si>
  <si>
    <t>ZETA</t>
  </si>
  <si>
    <t>ZEUS</t>
  </si>
  <si>
    <t>ZEV</t>
  </si>
  <si>
    <t>ZGN</t>
  </si>
  <si>
    <t>ZIMV</t>
  </si>
  <si>
    <t>ZIP</t>
  </si>
  <si>
    <t>ZNTL</t>
  </si>
  <si>
    <t>ZUMZ</t>
  </si>
  <si>
    <t>ZUO</t>
  </si>
  <si>
    <t>ZWS</t>
  </si>
  <si>
    <t>ZYXI</t>
  </si>
  <si>
    <t>N/A</t>
  </si>
  <si>
    <t>Industrials</t>
  </si>
  <si>
    <t>Real Estate</t>
  </si>
  <si>
    <t>Financial Services</t>
  </si>
  <si>
    <t>Consumer Cyclical</t>
  </si>
  <si>
    <t>Healthcare</t>
  </si>
  <si>
    <t>Technology</t>
  </si>
  <si>
    <t>Consumer Defensive</t>
  </si>
  <si>
    <t>Utilities</t>
  </si>
  <si>
    <t>Communication Services</t>
  </si>
  <si>
    <t>Energy</t>
  </si>
  <si>
    <t>Basic Materials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</si>
  <si>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</si>
  <si>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</si>
  <si>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</si>
  <si>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</si>
  <si>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</si>
  <si>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</si>
  <si>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</si>
  <si>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</si>
  <si>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</si>
  <si>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2024-01-14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</si>
</sst>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5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4"/>
  <sheetViews>
    <sheetView tabSelected="1" workbookViewId="0">
      <pane xSplit="1" ySplit="1" topLeftCell="B103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10" width="22.7109375" customWidth="1"/>
    <col min="11" max="11" width="20.7109375" customWidth="1"/>
    <col min="12" max="15" width="15.7109375" customWidth="1"/>
  </cols>
  <sheetData>
    <row r="1" spans="1:14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14</v>
      </c>
      <c r="B2" t="str">
        <f>HYPERLINK("https://www.suredividend.com/sure-analysis-research-database/","Aadi Bioscience Inc")</f>
        <v>Aadi Bioscience Inc</v>
      </c>
      <c r="C2" t="s">
        <v>1797</v>
      </c>
      <c r="D2">
        <v>1.72</v>
      </c>
      <c r="E2">
        <v>0</v>
      </c>
      <c r="F2" t="s">
        <v>1797</v>
      </c>
      <c r="G2" t="s">
        <v>1797</v>
      </c>
      <c r="H2">
        <v>0</v>
      </c>
      <c r="I2">
        <v>42.184479000000003</v>
      </c>
      <c r="J2">
        <v>0</v>
      </c>
      <c r="K2" t="s">
        <v>1797</v>
      </c>
      <c r="L2">
        <v>1.1520177675871299</v>
      </c>
      <c r="M2">
        <v>13.45</v>
      </c>
      <c r="N2">
        <v>1.67</v>
      </c>
    </row>
    <row r="3" spans="1:14" x14ac:dyDescent="0.25">
      <c r="A3" s="1" t="s">
        <v>15</v>
      </c>
      <c r="B3" t="str">
        <f>HYPERLINK("https://www.suredividend.com/sure-analysis-research-database/","Aarons Company Inc (The)")</f>
        <v>Aarons Company Inc (The)</v>
      </c>
      <c r="C3" t="s">
        <v>1798</v>
      </c>
      <c r="D3">
        <v>10.46</v>
      </c>
      <c r="E3">
        <v>4.6978370348149001E-2</v>
      </c>
      <c r="F3" t="s">
        <v>1797</v>
      </c>
      <c r="G3" t="s">
        <v>1797</v>
      </c>
      <c r="H3">
        <v>0.49139375384164402</v>
      </c>
      <c r="I3">
        <v>317.24434200000002</v>
      </c>
      <c r="J3">
        <v>34.024489706134709</v>
      </c>
      <c r="K3">
        <v>1.627131635237232</v>
      </c>
      <c r="L3">
        <v>1.1501344384494481</v>
      </c>
      <c r="M3">
        <v>15.77</v>
      </c>
      <c r="N3">
        <v>6.64</v>
      </c>
    </row>
    <row r="4" spans="1:14" x14ac:dyDescent="0.25">
      <c r="A4" s="1" t="s">
        <v>16</v>
      </c>
      <c r="B4" t="str">
        <f>HYPERLINK("https://www.suredividend.com/sure-analysis-research-database/","AAON Inc.")</f>
        <v>AAON Inc.</v>
      </c>
      <c r="C4" t="s">
        <v>1798</v>
      </c>
      <c r="D4">
        <v>70.819999999999993</v>
      </c>
      <c r="E4">
        <v>4.5058839033620002E-3</v>
      </c>
      <c r="F4" t="s">
        <v>1797</v>
      </c>
      <c r="G4" t="s">
        <v>1797</v>
      </c>
      <c r="H4">
        <v>0.31910669803609998</v>
      </c>
      <c r="I4">
        <v>5814.3220000000001</v>
      </c>
      <c r="J4">
        <v>34.308452133685797</v>
      </c>
      <c r="K4">
        <v>0.15642485197848041</v>
      </c>
      <c r="L4">
        <v>1.264953199418164</v>
      </c>
      <c r="M4">
        <v>75.239999999999995</v>
      </c>
      <c r="N4">
        <v>48</v>
      </c>
    </row>
    <row r="5" spans="1:14" x14ac:dyDescent="0.25">
      <c r="A5" s="1" t="s">
        <v>17</v>
      </c>
      <c r="B5" t="str">
        <f>HYPERLINK("https://www.suredividend.com/sure-analysis-AAT/","American Assets Trust Inc")</f>
        <v>American Assets Trust Inc</v>
      </c>
      <c r="C5" t="s">
        <v>1799</v>
      </c>
      <c r="D5">
        <v>23.43</v>
      </c>
      <c r="E5">
        <v>5.6338028169014093E-2</v>
      </c>
      <c r="F5">
        <v>3.125E-2</v>
      </c>
      <c r="G5">
        <v>3.3406482938779243E-2</v>
      </c>
      <c r="H5">
        <v>1.2890700472064069</v>
      </c>
      <c r="I5">
        <v>1426.788266</v>
      </c>
      <c r="J5">
        <v>28.8088734398094</v>
      </c>
      <c r="K5">
        <v>1.986240442536837</v>
      </c>
      <c r="L5">
        <v>1.3314569516736121</v>
      </c>
      <c r="M5">
        <v>27.93</v>
      </c>
      <c r="N5">
        <v>15.28</v>
      </c>
    </row>
    <row r="6" spans="1:14" x14ac:dyDescent="0.25">
      <c r="A6" s="1" t="s">
        <v>18</v>
      </c>
      <c r="B6" t="str">
        <f>HYPERLINK("https://www.suredividend.com/sure-analysis-research-database/","Ameris Bancorp")</f>
        <v>Ameris Bancorp</v>
      </c>
      <c r="C6" t="s">
        <v>1800</v>
      </c>
      <c r="D6">
        <v>50.76</v>
      </c>
      <c r="E6">
        <v>1.1698042015141999E-2</v>
      </c>
      <c r="F6">
        <v>0</v>
      </c>
      <c r="G6">
        <v>8.4471771197698553E-2</v>
      </c>
      <c r="H6">
        <v>0.59379261268861605</v>
      </c>
      <c r="I6">
        <v>3505.0826160000001</v>
      </c>
      <c r="J6">
        <v>12.281642850395251</v>
      </c>
      <c r="K6">
        <v>0.14377545101419281</v>
      </c>
      <c r="L6">
        <v>1.7469566208705749</v>
      </c>
      <c r="M6">
        <v>53.76</v>
      </c>
      <c r="N6">
        <v>27.7</v>
      </c>
    </row>
    <row r="7" spans="1:14" x14ac:dyDescent="0.25">
      <c r="A7" s="1" t="s">
        <v>19</v>
      </c>
      <c r="B7" t="str">
        <f>HYPERLINK("https://www.suredividend.com/sure-analysis-research-database/","AbCellera Biologics Inc")</f>
        <v>AbCellera Biologics Inc</v>
      </c>
      <c r="C7" t="s">
        <v>1797</v>
      </c>
      <c r="D7">
        <v>5.39</v>
      </c>
      <c r="E7">
        <v>0</v>
      </c>
      <c r="F7" t="s">
        <v>1797</v>
      </c>
      <c r="G7" t="s">
        <v>1797</v>
      </c>
      <c r="H7">
        <v>0</v>
      </c>
      <c r="I7">
        <v>1564.017599</v>
      </c>
      <c r="J7" t="s">
        <v>1797</v>
      </c>
      <c r="K7">
        <v>0</v>
      </c>
      <c r="L7">
        <v>1.4224276399221181</v>
      </c>
      <c r="M7">
        <v>11.38</v>
      </c>
      <c r="N7">
        <v>3.87</v>
      </c>
    </row>
    <row r="8" spans="1:14" x14ac:dyDescent="0.25">
      <c r="A8" s="1" t="s">
        <v>20</v>
      </c>
      <c r="B8" t="str">
        <f>HYPERLINK("https://www.suredividend.com/sure-analysis-research-database/","Asbury Automotive Group Inc")</f>
        <v>Asbury Automotive Group Inc</v>
      </c>
      <c r="C8" t="s">
        <v>1801</v>
      </c>
      <c r="D8">
        <v>202.23</v>
      </c>
      <c r="E8">
        <v>0</v>
      </c>
      <c r="F8" t="s">
        <v>1797</v>
      </c>
      <c r="G8" t="s">
        <v>1797</v>
      </c>
      <c r="H8">
        <v>0</v>
      </c>
      <c r="I8">
        <v>4161.3619399999998</v>
      </c>
      <c r="J8">
        <v>4.6227082199066878</v>
      </c>
      <c r="K8">
        <v>0</v>
      </c>
      <c r="L8">
        <v>1.5231575955127661</v>
      </c>
      <c r="M8">
        <v>256.39</v>
      </c>
      <c r="N8">
        <v>178.4</v>
      </c>
    </row>
    <row r="9" spans="1:14" x14ac:dyDescent="0.25">
      <c r="A9" s="1" t="s">
        <v>21</v>
      </c>
      <c r="B9" t="str">
        <f>HYPERLINK("https://www.suredividend.com/sure-analysis-ABM/","ABM Industries Inc.")</f>
        <v>ABM Industries Inc.</v>
      </c>
      <c r="C9" t="s">
        <v>1798</v>
      </c>
      <c r="D9">
        <v>42.07</v>
      </c>
      <c r="E9">
        <v>2.1392916567625389E-2</v>
      </c>
      <c r="F9">
        <v>2.2727272727272711E-2</v>
      </c>
      <c r="G9">
        <v>4.5639552591273169E-2</v>
      </c>
      <c r="H9">
        <v>0.87809571006131604</v>
      </c>
      <c r="I9">
        <v>2644.5672340000001</v>
      </c>
      <c r="J9">
        <v>10.51936051813842</v>
      </c>
      <c r="K9">
        <v>0.23168752244361901</v>
      </c>
      <c r="L9">
        <v>1.048120674839216</v>
      </c>
      <c r="M9">
        <v>52.78</v>
      </c>
      <c r="N9">
        <v>37.21</v>
      </c>
    </row>
    <row r="10" spans="1:14" x14ac:dyDescent="0.25">
      <c r="A10" s="1" t="s">
        <v>22</v>
      </c>
      <c r="B10" t="str">
        <f>HYPERLINK("https://www.suredividend.com/sure-analysis-ABR/","Arbor Realty Trust Inc.")</f>
        <v>Arbor Realty Trust Inc.</v>
      </c>
      <c r="C10" t="s">
        <v>1799</v>
      </c>
      <c r="D10">
        <v>14.71</v>
      </c>
      <c r="E10">
        <v>0.1169272603670972</v>
      </c>
      <c r="F10">
        <v>7.4999999999999956E-2</v>
      </c>
      <c r="G10">
        <v>8.9587431199327661E-2</v>
      </c>
      <c r="H10">
        <v>1.6082382991239881</v>
      </c>
      <c r="I10">
        <v>2772.8591540000002</v>
      </c>
      <c r="J10">
        <v>8.4911169580475256</v>
      </c>
      <c r="K10">
        <v>1.065058476241052</v>
      </c>
      <c r="L10">
        <v>1.5677441799775469</v>
      </c>
      <c r="M10">
        <v>16.739999999999998</v>
      </c>
      <c r="N10">
        <v>9.2200000000000006</v>
      </c>
    </row>
    <row r="11" spans="1:14" x14ac:dyDescent="0.25">
      <c r="A11" s="1" t="s">
        <v>23</v>
      </c>
      <c r="B11" t="str">
        <f>HYPERLINK("https://www.suredividend.com/sure-analysis-research-database/","Absci Corp")</f>
        <v>Absci Corp</v>
      </c>
      <c r="C11" t="s">
        <v>1797</v>
      </c>
      <c r="D11">
        <v>3.99</v>
      </c>
      <c r="E11">
        <v>0</v>
      </c>
      <c r="F11" t="s">
        <v>1797</v>
      </c>
      <c r="G11" t="s">
        <v>1797</v>
      </c>
      <c r="H11">
        <v>0</v>
      </c>
      <c r="I11">
        <v>370.824523</v>
      </c>
      <c r="J11" t="s">
        <v>1797</v>
      </c>
      <c r="K11">
        <v>0</v>
      </c>
      <c r="L11">
        <v>3.0976175020980619</v>
      </c>
      <c r="M11">
        <v>5.47</v>
      </c>
      <c r="N11">
        <v>1.1100000000000001</v>
      </c>
    </row>
    <row r="12" spans="1:14" x14ac:dyDescent="0.25">
      <c r="A12" s="1" t="s">
        <v>24</v>
      </c>
      <c r="B12" t="str">
        <f>HYPERLINK("https://www.suredividend.com/sure-analysis-research-database/","Arbutus Biopharma Corp")</f>
        <v>Arbutus Biopharma Corp</v>
      </c>
      <c r="C12" t="s">
        <v>1802</v>
      </c>
      <c r="D12">
        <v>2.31</v>
      </c>
      <c r="E12">
        <v>0</v>
      </c>
      <c r="F12" t="s">
        <v>1797</v>
      </c>
      <c r="G12" t="s">
        <v>1797</v>
      </c>
      <c r="H12">
        <v>0</v>
      </c>
      <c r="I12">
        <v>387.37602099999998</v>
      </c>
      <c r="J12" t="s">
        <v>1797</v>
      </c>
      <c r="K12">
        <v>0</v>
      </c>
      <c r="L12">
        <v>0.92506439848740707</v>
      </c>
      <c r="M12">
        <v>3.15</v>
      </c>
      <c r="N12">
        <v>1.69</v>
      </c>
    </row>
    <row r="13" spans="1:14" x14ac:dyDescent="0.25">
      <c r="A13" s="1" t="s">
        <v>25</v>
      </c>
      <c r="B13" t="str">
        <f>HYPERLINK("https://www.suredividend.com/sure-analysis-research-database/","Associated Capital Group Inc")</f>
        <v>Associated Capital Group Inc</v>
      </c>
      <c r="C13" t="s">
        <v>1800</v>
      </c>
      <c r="D13">
        <v>34.31</v>
      </c>
      <c r="E13">
        <v>5.8205276526209996E-3</v>
      </c>
      <c r="F13" t="s">
        <v>1797</v>
      </c>
      <c r="G13" t="s">
        <v>1797</v>
      </c>
      <c r="H13">
        <v>0.19970230376143</v>
      </c>
      <c r="I13">
        <v>90.601455999999999</v>
      </c>
      <c r="J13">
        <v>2.6055116417910451</v>
      </c>
      <c r="K13">
        <v>0.1255989331832893</v>
      </c>
      <c r="L13">
        <v>0.56883727742929102</v>
      </c>
      <c r="M13">
        <v>40.32</v>
      </c>
      <c r="N13">
        <v>30.83</v>
      </c>
    </row>
    <row r="14" spans="1:14" x14ac:dyDescent="0.25">
      <c r="A14" s="1" t="s">
        <v>26</v>
      </c>
      <c r="B14" t="str">
        <f>HYPERLINK("https://www.suredividend.com/sure-analysis-research-database/","Arcosa Inc")</f>
        <v>Arcosa Inc</v>
      </c>
      <c r="C14" t="s">
        <v>1798</v>
      </c>
      <c r="D14">
        <v>78.930000000000007</v>
      </c>
      <c r="E14">
        <v>2.5313895973200001E-3</v>
      </c>
      <c r="F14">
        <v>0</v>
      </c>
      <c r="G14">
        <v>0</v>
      </c>
      <c r="H14">
        <v>0.19980258091653899</v>
      </c>
      <c r="I14">
        <v>3848.624116</v>
      </c>
      <c r="J14">
        <v>13.46614456396081</v>
      </c>
      <c r="K14">
        <v>3.3980030768118882E-2</v>
      </c>
      <c r="L14">
        <v>0.92191977459363206</v>
      </c>
      <c r="M14">
        <v>84.16</v>
      </c>
      <c r="N14">
        <v>54.39</v>
      </c>
    </row>
    <row r="15" spans="1:14" x14ac:dyDescent="0.25">
      <c r="A15" s="1" t="s">
        <v>27</v>
      </c>
      <c r="B15" t="str">
        <f>HYPERLINK("https://www.suredividend.com/sure-analysis-research-database/","Acadia Pharmaceuticals Inc")</f>
        <v>Acadia Pharmaceuticals Inc</v>
      </c>
      <c r="C15" t="s">
        <v>1802</v>
      </c>
      <c r="D15">
        <v>28.73</v>
      </c>
      <c r="E15">
        <v>0</v>
      </c>
      <c r="F15" t="s">
        <v>1797</v>
      </c>
      <c r="G15" t="s">
        <v>1797</v>
      </c>
      <c r="H15">
        <v>0</v>
      </c>
      <c r="I15">
        <v>4716.902231</v>
      </c>
      <c r="J15" t="s">
        <v>1797</v>
      </c>
      <c r="K15">
        <v>0</v>
      </c>
      <c r="L15">
        <v>1.230647424465815</v>
      </c>
      <c r="M15">
        <v>33.99</v>
      </c>
      <c r="N15">
        <v>17.71</v>
      </c>
    </row>
    <row r="16" spans="1:14" x14ac:dyDescent="0.25">
      <c r="A16" s="1" t="s">
        <v>28</v>
      </c>
      <c r="B16" t="str">
        <f>HYPERLINK("https://www.suredividend.com/sure-analysis-research-database/","Accolade Inc")</f>
        <v>Accolade Inc</v>
      </c>
      <c r="C16" t="s">
        <v>1797</v>
      </c>
      <c r="D16">
        <v>13.93</v>
      </c>
      <c r="E16">
        <v>0</v>
      </c>
      <c r="F16" t="s">
        <v>1797</v>
      </c>
      <c r="G16" t="s">
        <v>1797</v>
      </c>
      <c r="H16">
        <v>0</v>
      </c>
      <c r="I16">
        <v>1078.2879660000001</v>
      </c>
      <c r="J16" t="s">
        <v>1797</v>
      </c>
      <c r="K16">
        <v>0</v>
      </c>
      <c r="L16">
        <v>2.2598038382674179</v>
      </c>
      <c r="M16">
        <v>17.010000000000002</v>
      </c>
      <c r="N16">
        <v>6.33</v>
      </c>
    </row>
    <row r="17" spans="1:14" x14ac:dyDescent="0.25">
      <c r="A17" s="1" t="s">
        <v>29</v>
      </c>
      <c r="B17" t="str">
        <f>HYPERLINK("https://www.suredividend.com/sure-analysis-research-database/","Acco Brands Corporation")</f>
        <v>Acco Brands Corporation</v>
      </c>
      <c r="C17" t="s">
        <v>1798</v>
      </c>
      <c r="D17">
        <v>6.2</v>
      </c>
      <c r="E17">
        <v>4.7309355511407997E-2</v>
      </c>
      <c r="F17">
        <v>0</v>
      </c>
      <c r="G17">
        <v>4.5639552591273169E-2</v>
      </c>
      <c r="H17">
        <v>0.29331800417073101</v>
      </c>
      <c r="I17">
        <v>588.53904199999999</v>
      </c>
      <c r="J17">
        <v>10.43508940425532</v>
      </c>
      <c r="K17">
        <v>0.49538592158542638</v>
      </c>
      <c r="L17">
        <v>1.1871324569756221</v>
      </c>
      <c r="M17">
        <v>6.53</v>
      </c>
      <c r="N17">
        <v>4.1100000000000003</v>
      </c>
    </row>
    <row r="18" spans="1:14" x14ac:dyDescent="0.25">
      <c r="A18" s="1" t="s">
        <v>30</v>
      </c>
      <c r="B18" t="str">
        <f>HYPERLINK("https://www.suredividend.com/sure-analysis-research-database/","Accel Entertainment Inc")</f>
        <v>Accel Entertainment Inc</v>
      </c>
      <c r="C18" t="s">
        <v>1801</v>
      </c>
      <c r="D18">
        <v>9.9</v>
      </c>
      <c r="E18">
        <v>0</v>
      </c>
      <c r="F18" t="s">
        <v>1797</v>
      </c>
      <c r="G18" t="s">
        <v>1797</v>
      </c>
      <c r="H18">
        <v>0</v>
      </c>
      <c r="I18">
        <v>839.55251199999998</v>
      </c>
      <c r="J18">
        <v>19.51494645870622</v>
      </c>
      <c r="K18">
        <v>0</v>
      </c>
      <c r="L18">
        <v>0.98895409444457405</v>
      </c>
      <c r="M18">
        <v>12.05</v>
      </c>
      <c r="N18">
        <v>8.2799999999999994</v>
      </c>
    </row>
    <row r="19" spans="1:14" x14ac:dyDescent="0.25">
      <c r="A19" s="1" t="s">
        <v>31</v>
      </c>
      <c r="B19" t="str">
        <f>HYPERLINK("https://www.suredividend.com/sure-analysis-research-database/","Adicet Bio Inc")</f>
        <v>Adicet Bio Inc</v>
      </c>
      <c r="C19" t="s">
        <v>1797</v>
      </c>
      <c r="D19">
        <v>3.33</v>
      </c>
      <c r="E19">
        <v>0</v>
      </c>
      <c r="F19" t="s">
        <v>1797</v>
      </c>
      <c r="G19" t="s">
        <v>1797</v>
      </c>
      <c r="H19">
        <v>0</v>
      </c>
      <c r="I19">
        <v>143.73785799999999</v>
      </c>
      <c r="J19">
        <v>0</v>
      </c>
      <c r="K19" t="s">
        <v>1797</v>
      </c>
      <c r="L19">
        <v>1.1354174773912691</v>
      </c>
      <c r="M19">
        <v>9.5299999999999994</v>
      </c>
      <c r="N19">
        <v>1.1000000000000001</v>
      </c>
    </row>
    <row r="20" spans="1:14" x14ac:dyDescent="0.25">
      <c r="A20" s="1" t="s">
        <v>32</v>
      </c>
      <c r="B20" t="str">
        <f>HYPERLINK("https://www.suredividend.com/sure-analysis-research-database/","Archer Aviation Inc")</f>
        <v>Archer Aviation Inc</v>
      </c>
      <c r="C20" t="s">
        <v>1797</v>
      </c>
      <c r="D20">
        <v>5.17</v>
      </c>
      <c r="E20">
        <v>0</v>
      </c>
      <c r="F20" t="s">
        <v>1797</v>
      </c>
      <c r="G20" t="s">
        <v>1797</v>
      </c>
      <c r="H20">
        <v>0</v>
      </c>
      <c r="I20">
        <v>1314.5601879999999</v>
      </c>
      <c r="J20">
        <v>0</v>
      </c>
      <c r="K20" t="s">
        <v>1797</v>
      </c>
      <c r="L20">
        <v>2.4269880725033621</v>
      </c>
      <c r="M20">
        <v>7.49</v>
      </c>
      <c r="N20">
        <v>1.77</v>
      </c>
    </row>
    <row r="21" spans="1:14" x14ac:dyDescent="0.25">
      <c r="A21" s="1" t="s">
        <v>33</v>
      </c>
      <c r="B21" t="str">
        <f>HYPERLINK("https://www.suredividend.com/sure-analysis-research-database/","ACI Worldwide Inc")</f>
        <v>ACI Worldwide Inc</v>
      </c>
      <c r="C21" t="s">
        <v>1803</v>
      </c>
      <c r="D21">
        <v>30.19</v>
      </c>
      <c r="E21">
        <v>0</v>
      </c>
      <c r="F21" t="s">
        <v>1797</v>
      </c>
      <c r="G21" t="s">
        <v>1797</v>
      </c>
      <c r="H21">
        <v>0</v>
      </c>
      <c r="I21">
        <v>3281.6529999999998</v>
      </c>
      <c r="J21">
        <v>36.822443644034507</v>
      </c>
      <c r="K21">
        <v>0</v>
      </c>
      <c r="L21">
        <v>1.3780354198861651</v>
      </c>
      <c r="M21">
        <v>31.12</v>
      </c>
      <c r="N21">
        <v>19.559999999999999</v>
      </c>
    </row>
    <row r="22" spans="1:14" x14ac:dyDescent="0.25">
      <c r="A22" s="1" t="s">
        <v>34</v>
      </c>
      <c r="B22" t="str">
        <f>HYPERLINK("https://www.suredividend.com/sure-analysis-research-database/","Axcelis Technologies Inc")</f>
        <v>Axcelis Technologies Inc</v>
      </c>
      <c r="C22" t="s">
        <v>1803</v>
      </c>
      <c r="D22">
        <v>114.12</v>
      </c>
      <c r="E22">
        <v>0</v>
      </c>
      <c r="F22" t="s">
        <v>1797</v>
      </c>
      <c r="G22" t="s">
        <v>1797</v>
      </c>
      <c r="H22">
        <v>0</v>
      </c>
      <c r="I22">
        <v>3737.1400210000002</v>
      </c>
      <c r="J22">
        <v>16.094487601550391</v>
      </c>
      <c r="K22">
        <v>0</v>
      </c>
      <c r="L22">
        <v>2.0593385314933759</v>
      </c>
      <c r="M22">
        <v>201</v>
      </c>
      <c r="N22">
        <v>95.95</v>
      </c>
    </row>
    <row r="23" spans="1:14" x14ac:dyDescent="0.25">
      <c r="A23" s="1" t="s">
        <v>35</v>
      </c>
      <c r="B23" t="str">
        <f>HYPERLINK("https://www.suredividend.com/sure-analysis-research-database/","Arcellx Inc")</f>
        <v>Arcellx Inc</v>
      </c>
      <c r="C23" t="s">
        <v>1797</v>
      </c>
      <c r="D23">
        <v>55.56</v>
      </c>
      <c r="E23">
        <v>0</v>
      </c>
      <c r="F23" t="s">
        <v>1797</v>
      </c>
      <c r="G23" t="s">
        <v>1797</v>
      </c>
      <c r="H23">
        <v>0</v>
      </c>
      <c r="I23">
        <v>2705.0045500000001</v>
      </c>
      <c r="J23">
        <v>0</v>
      </c>
      <c r="K23" t="s">
        <v>1797</v>
      </c>
      <c r="L23">
        <v>1.2243136332658859</v>
      </c>
      <c r="M23">
        <v>59.1</v>
      </c>
      <c r="N23">
        <v>26.32</v>
      </c>
    </row>
    <row r="24" spans="1:14" x14ac:dyDescent="0.25">
      <c r="A24" s="1" t="s">
        <v>36</v>
      </c>
      <c r="B24" t="str">
        <f>HYPERLINK("https://www.suredividend.com/sure-analysis-research-database/","ACM Research Inc")</f>
        <v>ACM Research Inc</v>
      </c>
      <c r="C24" t="s">
        <v>1803</v>
      </c>
      <c r="D24">
        <v>21.81</v>
      </c>
      <c r="E24">
        <v>0</v>
      </c>
      <c r="F24" t="s">
        <v>1797</v>
      </c>
      <c r="G24" t="s">
        <v>1797</v>
      </c>
      <c r="H24">
        <v>0</v>
      </c>
      <c r="I24">
        <v>1212.3303109999999</v>
      </c>
      <c r="J24">
        <v>16.965634513140589</v>
      </c>
      <c r="K24">
        <v>0</v>
      </c>
      <c r="L24">
        <v>2.5252410208086662</v>
      </c>
      <c r="M24">
        <v>22.24</v>
      </c>
      <c r="N24">
        <v>8.75</v>
      </c>
    </row>
    <row r="25" spans="1:14" x14ac:dyDescent="0.25">
      <c r="A25" s="1" t="s">
        <v>37</v>
      </c>
      <c r="B25" t="str">
        <f>HYPERLINK("https://www.suredividend.com/sure-analysis-research-database/","ACNB Corp.")</f>
        <v>ACNB Corp.</v>
      </c>
      <c r="C25" t="s">
        <v>1800</v>
      </c>
      <c r="D25">
        <v>44.26</v>
      </c>
      <c r="E25">
        <v>2.5145036788742001E-2</v>
      </c>
      <c r="F25">
        <v>7.1428571428571397E-2</v>
      </c>
      <c r="G25">
        <v>5.4577943305794463E-2</v>
      </c>
      <c r="H25">
        <v>1.112919328269754</v>
      </c>
      <c r="I25">
        <v>376.55115599999999</v>
      </c>
      <c r="J25">
        <v>0</v>
      </c>
      <c r="K25" t="s">
        <v>1797</v>
      </c>
      <c r="L25">
        <v>0.91714767839044009</v>
      </c>
      <c r="M25">
        <v>48.55</v>
      </c>
      <c r="N25">
        <v>25.67</v>
      </c>
    </row>
    <row r="26" spans="1:14" x14ac:dyDescent="0.25">
      <c r="A26" s="1" t="s">
        <v>38</v>
      </c>
      <c r="B26" t="str">
        <f>HYPERLINK("https://www.suredividend.com/sure-analysis-ACRE/","Ares Commercial Real Estate Corp")</f>
        <v>Ares Commercial Real Estate Corp</v>
      </c>
      <c r="C26" t="s">
        <v>1799</v>
      </c>
      <c r="D26">
        <v>10.27</v>
      </c>
      <c r="E26">
        <v>0.1285296981499513</v>
      </c>
      <c r="F26">
        <v>15.5</v>
      </c>
      <c r="G26">
        <v>0</v>
      </c>
      <c r="H26">
        <v>1.2960587611347021</v>
      </c>
      <c r="I26">
        <v>556.02353100000005</v>
      </c>
      <c r="J26">
        <v>160.88643826967589</v>
      </c>
      <c r="K26">
        <v>20.507258878713639</v>
      </c>
      <c r="L26">
        <v>1.585362501711344</v>
      </c>
      <c r="M26">
        <v>11.15</v>
      </c>
      <c r="N26">
        <v>6.83</v>
      </c>
    </row>
    <row r="27" spans="1:14" x14ac:dyDescent="0.25">
      <c r="A27" s="1" t="s">
        <v>39</v>
      </c>
      <c r="B27" t="str">
        <f>HYPERLINK("https://www.suredividend.com/sure-analysis-research-database/","Aclaris Therapeutics Inc")</f>
        <v>Aclaris Therapeutics Inc</v>
      </c>
      <c r="C27" t="s">
        <v>1802</v>
      </c>
      <c r="D27">
        <v>0.92400000000000004</v>
      </c>
      <c r="E27">
        <v>0</v>
      </c>
      <c r="F27" t="s">
        <v>1797</v>
      </c>
      <c r="G27" t="s">
        <v>1797</v>
      </c>
      <c r="H27">
        <v>0</v>
      </c>
      <c r="I27">
        <v>65.414248999999998</v>
      </c>
      <c r="J27" t="s">
        <v>1797</v>
      </c>
      <c r="K27">
        <v>0</v>
      </c>
      <c r="L27">
        <v>1.277546829575315</v>
      </c>
      <c r="M27">
        <v>18.54</v>
      </c>
      <c r="N27">
        <v>0.59020000000000006</v>
      </c>
    </row>
    <row r="28" spans="1:14" x14ac:dyDescent="0.25">
      <c r="A28" s="1" t="s">
        <v>40</v>
      </c>
      <c r="B28" t="str">
        <f>HYPERLINK("https://www.suredividend.com/sure-analysis-research-database/","Acrivon Therapeutics Inc")</f>
        <v>Acrivon Therapeutics Inc</v>
      </c>
      <c r="C28" t="s">
        <v>1797</v>
      </c>
      <c r="D28">
        <v>4.79</v>
      </c>
      <c r="E28">
        <v>0</v>
      </c>
      <c r="F28" t="s">
        <v>1797</v>
      </c>
      <c r="G28" t="s">
        <v>1797</v>
      </c>
      <c r="H28">
        <v>0</v>
      </c>
      <c r="I28">
        <v>106.310731</v>
      </c>
      <c r="J28">
        <v>0</v>
      </c>
      <c r="K28" t="s">
        <v>1797</v>
      </c>
      <c r="L28">
        <v>0.78037747781397404</v>
      </c>
      <c r="M28">
        <v>25.47</v>
      </c>
      <c r="N28">
        <v>3.41</v>
      </c>
    </row>
    <row r="29" spans="1:14" x14ac:dyDescent="0.25">
      <c r="A29" s="1" t="s">
        <v>41</v>
      </c>
      <c r="B29" t="str">
        <f>HYPERLINK("https://www.suredividend.com/sure-analysis-research-database/","Enact Holdings Inc")</f>
        <v>Enact Holdings Inc</v>
      </c>
      <c r="D29">
        <v>28.2</v>
      </c>
      <c r="E29">
        <v>2.1344054462692E-2</v>
      </c>
      <c r="F29" t="s">
        <v>1797</v>
      </c>
      <c r="G29" t="s">
        <v>1797</v>
      </c>
      <c r="H29">
        <v>0.60190233584792807</v>
      </c>
      <c r="I29">
        <v>4503.6352310000002</v>
      </c>
      <c r="J29">
        <v>6.9073206526290294</v>
      </c>
      <c r="K29">
        <v>0.1501003331291591</v>
      </c>
      <c r="L29">
        <v>0.67137363497251701</v>
      </c>
      <c r="M29">
        <v>29.49</v>
      </c>
      <c r="N29">
        <v>19.850000000000001</v>
      </c>
    </row>
    <row r="30" spans="1:14" x14ac:dyDescent="0.25">
      <c r="A30" s="1" t="s">
        <v>42</v>
      </c>
      <c r="B30" t="str">
        <f>HYPERLINK("https://www.suredividend.com/sure-analysis-research-database/","ACV Auctions Inc")</f>
        <v>ACV Auctions Inc</v>
      </c>
      <c r="C30" t="s">
        <v>1797</v>
      </c>
      <c r="D30">
        <v>14.01</v>
      </c>
      <c r="E30">
        <v>0</v>
      </c>
      <c r="F30" t="s">
        <v>1797</v>
      </c>
      <c r="G30" t="s">
        <v>1797</v>
      </c>
      <c r="H30">
        <v>0</v>
      </c>
      <c r="I30">
        <v>1907.6991379999999</v>
      </c>
      <c r="J30" t="s">
        <v>1797</v>
      </c>
      <c r="K30">
        <v>0</v>
      </c>
      <c r="L30">
        <v>1.788953179381251</v>
      </c>
      <c r="M30">
        <v>18.68</v>
      </c>
      <c r="N30">
        <v>8.73</v>
      </c>
    </row>
    <row r="31" spans="1:14" x14ac:dyDescent="0.25">
      <c r="A31" s="1" t="s">
        <v>43</v>
      </c>
      <c r="B31" t="str">
        <f>HYPERLINK("https://www.suredividend.com/sure-analysis-ADC/","Agree Realty Corp.")</f>
        <v>Agree Realty Corp.</v>
      </c>
      <c r="C31" t="s">
        <v>1799</v>
      </c>
      <c r="D31">
        <v>62.86</v>
      </c>
      <c r="E31">
        <v>4.6452433980273621E-2</v>
      </c>
      <c r="F31">
        <v>1.646090534979416E-2</v>
      </c>
      <c r="G31">
        <v>1.087212085035083E-2</v>
      </c>
      <c r="H31">
        <v>2.8555574867035691</v>
      </c>
      <c r="I31">
        <v>6318.6694109999999</v>
      </c>
      <c r="J31">
        <v>40.214284236245028</v>
      </c>
      <c r="K31">
        <v>1.6797396980609229</v>
      </c>
      <c r="L31">
        <v>0.58706525864315307</v>
      </c>
      <c r="M31">
        <v>72.540000000000006</v>
      </c>
      <c r="N31">
        <v>52.26</v>
      </c>
    </row>
    <row r="32" spans="1:14" x14ac:dyDescent="0.25">
      <c r="A32" s="1" t="s">
        <v>44</v>
      </c>
      <c r="B32" t="str">
        <f>HYPERLINK("https://www.suredividend.com/sure-analysis-research-database/","Adeia Inc")</f>
        <v>Adeia Inc</v>
      </c>
      <c r="C32" t="s">
        <v>1797</v>
      </c>
      <c r="D32">
        <v>11.29</v>
      </c>
      <c r="E32">
        <v>1.7511264995102999E-2</v>
      </c>
      <c r="F32" t="s">
        <v>1797</v>
      </c>
      <c r="G32" t="s">
        <v>1797</v>
      </c>
      <c r="H32">
        <v>0.19770218179471699</v>
      </c>
      <c r="I32">
        <v>1209.9807880000001</v>
      </c>
      <c r="J32">
        <v>0</v>
      </c>
      <c r="K32" t="s">
        <v>1797</v>
      </c>
      <c r="L32">
        <v>1.376391171697751</v>
      </c>
      <c r="M32">
        <v>12.72</v>
      </c>
      <c r="N32">
        <v>6.94</v>
      </c>
    </row>
    <row r="33" spans="1:14" x14ac:dyDescent="0.25">
      <c r="A33" s="1" t="s">
        <v>45</v>
      </c>
      <c r="B33" t="str">
        <f>HYPERLINK("https://www.suredividend.com/sure-analysis-research-database/","Adma Biologics Inc")</f>
        <v>Adma Biologics Inc</v>
      </c>
      <c r="C33" t="s">
        <v>1802</v>
      </c>
      <c r="D33">
        <v>4.99</v>
      </c>
      <c r="E33">
        <v>0</v>
      </c>
      <c r="F33" t="s">
        <v>1797</v>
      </c>
      <c r="G33" t="s">
        <v>1797</v>
      </c>
      <c r="H33">
        <v>0</v>
      </c>
      <c r="I33">
        <v>1127.578663</v>
      </c>
      <c r="J33">
        <v>0</v>
      </c>
      <c r="K33" t="s">
        <v>1797</v>
      </c>
      <c r="L33">
        <v>1.197739743135124</v>
      </c>
      <c r="M33">
        <v>5.0999999999999996</v>
      </c>
      <c r="N33">
        <v>2.95</v>
      </c>
    </row>
    <row r="34" spans="1:14" x14ac:dyDescent="0.25">
      <c r="A34" s="1" t="s">
        <v>46</v>
      </c>
      <c r="B34" t="str">
        <f>HYPERLINK("https://www.suredividend.com/sure-analysis-research-database/","Adient plc")</f>
        <v>Adient plc</v>
      </c>
      <c r="C34" t="s">
        <v>1801</v>
      </c>
      <c r="D34">
        <v>32.64</v>
      </c>
      <c r="E34">
        <v>0</v>
      </c>
      <c r="F34" t="s">
        <v>1797</v>
      </c>
      <c r="G34" t="s">
        <v>1797</v>
      </c>
      <c r="H34">
        <v>0</v>
      </c>
      <c r="I34">
        <v>3058.2930590000001</v>
      </c>
      <c r="J34">
        <v>14.91850272468292</v>
      </c>
      <c r="K34">
        <v>0</v>
      </c>
      <c r="L34">
        <v>1.4570157692951049</v>
      </c>
      <c r="M34">
        <v>47.5</v>
      </c>
      <c r="N34">
        <v>30.11</v>
      </c>
    </row>
    <row r="35" spans="1:14" x14ac:dyDescent="0.25">
      <c r="A35" s="1" t="s">
        <v>47</v>
      </c>
      <c r="B35" t="str">
        <f>HYPERLINK("https://www.suredividend.com/sure-analysis-research-database/","Adaptive Biotechnologies Corp")</f>
        <v>Adaptive Biotechnologies Corp</v>
      </c>
      <c r="C35" t="s">
        <v>1802</v>
      </c>
      <c r="D35">
        <v>4.4000000000000004</v>
      </c>
      <c r="E35">
        <v>0</v>
      </c>
      <c r="F35" t="s">
        <v>1797</v>
      </c>
      <c r="G35" t="s">
        <v>1797</v>
      </c>
      <c r="H35">
        <v>0</v>
      </c>
      <c r="I35">
        <v>637.00010399999996</v>
      </c>
      <c r="J35" t="s">
        <v>1797</v>
      </c>
      <c r="K35">
        <v>0</v>
      </c>
      <c r="L35">
        <v>2.2795796014003269</v>
      </c>
      <c r="M35">
        <v>10.79</v>
      </c>
      <c r="N35">
        <v>2.61</v>
      </c>
    </row>
    <row r="36" spans="1:14" x14ac:dyDescent="0.25">
      <c r="A36" s="1" t="s">
        <v>48</v>
      </c>
      <c r="B36" t="str">
        <f>HYPERLINK("https://www.suredividend.com/sure-analysis-research-database/","AdTheorent Holding Company Inc")</f>
        <v>AdTheorent Holding Company Inc</v>
      </c>
      <c r="C36" t="s">
        <v>1797</v>
      </c>
      <c r="D36">
        <v>1.89</v>
      </c>
      <c r="E36">
        <v>0</v>
      </c>
      <c r="F36" t="s">
        <v>1797</v>
      </c>
      <c r="G36" t="s">
        <v>1797</v>
      </c>
      <c r="H36">
        <v>0</v>
      </c>
      <c r="I36">
        <v>166.777187</v>
      </c>
      <c r="J36">
        <v>26.722830831597499</v>
      </c>
      <c r="K36">
        <v>0</v>
      </c>
      <c r="L36">
        <v>0.73139239489388008</v>
      </c>
      <c r="M36">
        <v>2.2999999999999998</v>
      </c>
      <c r="N36">
        <v>1.1100000000000001</v>
      </c>
    </row>
    <row r="37" spans="1:14" x14ac:dyDescent="0.25">
      <c r="A37" s="1" t="s">
        <v>49</v>
      </c>
      <c r="B37" t="str">
        <f>HYPERLINK("https://www.suredividend.com/sure-analysis-research-database/","ADTRAN Holdings Inc")</f>
        <v>ADTRAN Holdings Inc</v>
      </c>
      <c r="C37" t="s">
        <v>1803</v>
      </c>
      <c r="D37">
        <v>7.14</v>
      </c>
      <c r="E37">
        <v>3.7282543835504001E-2</v>
      </c>
      <c r="F37" t="s">
        <v>1797</v>
      </c>
      <c r="G37" t="s">
        <v>1797</v>
      </c>
      <c r="H37">
        <v>0.26619736298550201</v>
      </c>
      <c r="I37">
        <v>561.91085299999997</v>
      </c>
      <c r="J37">
        <v>0</v>
      </c>
      <c r="K37" t="s">
        <v>1797</v>
      </c>
      <c r="L37">
        <v>1.247942073564476</v>
      </c>
      <c r="M37">
        <v>19.38</v>
      </c>
      <c r="N37">
        <v>4.91</v>
      </c>
    </row>
    <row r="38" spans="1:14" x14ac:dyDescent="0.25">
      <c r="A38" s="1" t="s">
        <v>50</v>
      </c>
      <c r="B38" t="str">
        <f>HYPERLINK("https://www.suredividend.com/sure-analysis-research-database/","Addus HomeCare Corporation")</f>
        <v>Addus HomeCare Corporation</v>
      </c>
      <c r="C38" t="s">
        <v>1802</v>
      </c>
      <c r="D38">
        <v>86.99</v>
      </c>
      <c r="E38">
        <v>0</v>
      </c>
      <c r="F38" t="s">
        <v>1797</v>
      </c>
      <c r="G38" t="s">
        <v>1797</v>
      </c>
      <c r="H38">
        <v>0</v>
      </c>
      <c r="I38">
        <v>1410.5126640000001</v>
      </c>
      <c r="J38">
        <v>24.44562676724437</v>
      </c>
      <c r="K38">
        <v>0</v>
      </c>
      <c r="L38">
        <v>0.68027480463088807</v>
      </c>
      <c r="M38">
        <v>114.99</v>
      </c>
      <c r="N38">
        <v>77.3</v>
      </c>
    </row>
    <row r="39" spans="1:14" x14ac:dyDescent="0.25">
      <c r="A39" s="1" t="s">
        <v>51</v>
      </c>
      <c r="B39" t="str">
        <f>HYPERLINK("https://www.suredividend.com/sure-analysis-research-database/","Advantage Solutions Inc.")</f>
        <v>Advantage Solutions Inc.</v>
      </c>
      <c r="C39" t="s">
        <v>1797</v>
      </c>
      <c r="D39">
        <v>3.84</v>
      </c>
      <c r="E39">
        <v>0</v>
      </c>
      <c r="F39" t="s">
        <v>1797</v>
      </c>
      <c r="G39" t="s">
        <v>1797</v>
      </c>
      <c r="H39">
        <v>0</v>
      </c>
      <c r="I39">
        <v>1253.351416</v>
      </c>
      <c r="J39" t="s">
        <v>1797</v>
      </c>
      <c r="K39">
        <v>0</v>
      </c>
      <c r="L39">
        <v>1.6983140114656281</v>
      </c>
      <c r="M39">
        <v>4.13</v>
      </c>
      <c r="N39">
        <v>1.1299999999999999</v>
      </c>
    </row>
    <row r="40" spans="1:14" x14ac:dyDescent="0.25">
      <c r="A40" s="1" t="s">
        <v>52</v>
      </c>
      <c r="B40" t="str">
        <f>HYPERLINK("https://www.suredividend.com/sure-analysis-research-database/","Advanced Energy Industries Inc.")</f>
        <v>Advanced Energy Industries Inc.</v>
      </c>
      <c r="C40" t="s">
        <v>1798</v>
      </c>
      <c r="D40">
        <v>102.22</v>
      </c>
      <c r="E40">
        <v>3.9030404491449998E-3</v>
      </c>
      <c r="F40" t="s">
        <v>1797</v>
      </c>
      <c r="G40" t="s">
        <v>1797</v>
      </c>
      <c r="H40">
        <v>0.39896879471169899</v>
      </c>
      <c r="I40">
        <v>3810.828759</v>
      </c>
      <c r="J40">
        <v>28.32761273603068</v>
      </c>
      <c r="K40">
        <v>0.1120698861549716</v>
      </c>
      <c r="L40">
        <v>1.6250581534028401</v>
      </c>
      <c r="M40">
        <v>126</v>
      </c>
      <c r="N40">
        <v>81.69</v>
      </c>
    </row>
    <row r="41" spans="1:14" x14ac:dyDescent="0.25">
      <c r="A41" s="1" t="s">
        <v>53</v>
      </c>
      <c r="B41" t="str">
        <f>HYPERLINK("https://www.suredividend.com/sure-analysis-AEL/","American Equity Investment Life Holding Co")</f>
        <v>American Equity Investment Life Holding Co</v>
      </c>
      <c r="C41" t="s">
        <v>1800</v>
      </c>
      <c r="D41">
        <v>55.39</v>
      </c>
      <c r="E41">
        <v>6.8604441234879944E-3</v>
      </c>
      <c r="F41" t="s">
        <v>1797</v>
      </c>
      <c r="G41" t="s">
        <v>1797</v>
      </c>
      <c r="H41">
        <v>0</v>
      </c>
      <c r="I41">
        <v>4377.1851120000001</v>
      </c>
      <c r="J41">
        <v>7.1360439134907434</v>
      </c>
      <c r="K41">
        <v>0</v>
      </c>
      <c r="L41">
        <v>0.83361241232541305</v>
      </c>
      <c r="M41">
        <v>56.09</v>
      </c>
      <c r="N41">
        <v>31.57</v>
      </c>
    </row>
    <row r="42" spans="1:14" x14ac:dyDescent="0.25">
      <c r="A42" s="1" t="s">
        <v>54</v>
      </c>
      <c r="B42" t="str">
        <f>HYPERLINK("https://www.suredividend.com/sure-analysis-research-database/","American Eagle Outfitters Inc.")</f>
        <v>American Eagle Outfitters Inc.</v>
      </c>
      <c r="C42" t="s">
        <v>1801</v>
      </c>
      <c r="D42">
        <v>20.89</v>
      </c>
      <c r="E42">
        <v>2.0161410526437998E-2</v>
      </c>
      <c r="F42" t="s">
        <v>1797</v>
      </c>
      <c r="G42" t="s">
        <v>1797</v>
      </c>
      <c r="H42">
        <v>0.42117186589730399</v>
      </c>
      <c r="I42">
        <v>4126.5761320000001</v>
      </c>
      <c r="J42">
        <v>18.902109042979571</v>
      </c>
      <c r="K42">
        <v>0.39361856625916258</v>
      </c>
      <c r="L42">
        <v>1.339614891174965</v>
      </c>
      <c r="M42">
        <v>21.68</v>
      </c>
      <c r="N42">
        <v>9.75</v>
      </c>
    </row>
    <row r="43" spans="1:14" x14ac:dyDescent="0.25">
      <c r="A43" s="1" t="s">
        <v>55</v>
      </c>
      <c r="B43" t="str">
        <f>HYPERLINK("https://www.suredividend.com/sure-analysis-research-database/","Aeva Technologies Inc")</f>
        <v>Aeva Technologies Inc</v>
      </c>
      <c r="C43" t="s">
        <v>1797</v>
      </c>
      <c r="D43">
        <v>1.1299999999999999</v>
      </c>
      <c r="E43">
        <v>0</v>
      </c>
      <c r="F43" t="s">
        <v>1797</v>
      </c>
      <c r="G43" t="s">
        <v>1797</v>
      </c>
      <c r="H43">
        <v>0</v>
      </c>
      <c r="I43">
        <v>295.93459100000001</v>
      </c>
      <c r="J43" t="s">
        <v>1797</v>
      </c>
      <c r="K43">
        <v>0</v>
      </c>
      <c r="L43">
        <v>2.6020479325935382</v>
      </c>
      <c r="M43">
        <v>2.1</v>
      </c>
      <c r="N43">
        <v>0.46500000000000002</v>
      </c>
    </row>
    <row r="44" spans="1:14" x14ac:dyDescent="0.25">
      <c r="A44" s="1" t="s">
        <v>56</v>
      </c>
      <c r="B44" t="str">
        <f>HYPERLINK("https://www.suredividend.com/sure-analysis-research-database/","AFC Gamma Inc")</f>
        <v>AFC Gamma Inc</v>
      </c>
      <c r="C44" t="s">
        <v>1797</v>
      </c>
      <c r="D44">
        <v>12.02</v>
      </c>
      <c r="E44">
        <v>0.149913664406813</v>
      </c>
      <c r="F44" t="s">
        <v>1797</v>
      </c>
      <c r="G44" t="s">
        <v>1797</v>
      </c>
      <c r="H44">
        <v>1.8019622461699021</v>
      </c>
      <c r="I44">
        <v>245.90151800000001</v>
      </c>
      <c r="J44">
        <v>7.4338624747559336</v>
      </c>
      <c r="K44">
        <v>1.1123223741789521</v>
      </c>
      <c r="L44">
        <v>1.0235677290906751</v>
      </c>
      <c r="M44">
        <v>13.26</v>
      </c>
      <c r="N44">
        <v>8.2100000000000009</v>
      </c>
    </row>
    <row r="45" spans="1:14" x14ac:dyDescent="0.25">
      <c r="A45" s="1" t="s">
        <v>57</v>
      </c>
      <c r="B45" t="str">
        <f>HYPERLINK("https://www.suredividend.com/sure-analysis-research-database/","Affimed N.V.")</f>
        <v>Affimed N.V.</v>
      </c>
      <c r="C45" t="s">
        <v>1802</v>
      </c>
      <c r="D45">
        <v>0.63400000000000001</v>
      </c>
      <c r="E45">
        <v>0</v>
      </c>
      <c r="F45" t="s">
        <v>1797</v>
      </c>
      <c r="G45" t="s">
        <v>1797</v>
      </c>
      <c r="H45">
        <v>0</v>
      </c>
      <c r="I45">
        <v>94.681138000000004</v>
      </c>
      <c r="J45">
        <v>0</v>
      </c>
      <c r="K45" t="s">
        <v>1797</v>
      </c>
      <c r="L45">
        <v>1.37636600772297</v>
      </c>
      <c r="M45">
        <v>1.35</v>
      </c>
      <c r="N45">
        <v>0.2235</v>
      </c>
    </row>
    <row r="46" spans="1:14" x14ac:dyDescent="0.25">
      <c r="A46" s="1" t="s">
        <v>58</v>
      </c>
      <c r="B46" t="str">
        <f>HYPERLINK("https://www.suredividend.com/sure-analysis-research-database/","Agenus Inc")</f>
        <v>Agenus Inc</v>
      </c>
      <c r="C46" t="s">
        <v>1802</v>
      </c>
      <c r="D46">
        <v>0.64</v>
      </c>
      <c r="E46">
        <v>0</v>
      </c>
      <c r="F46" t="s">
        <v>1797</v>
      </c>
      <c r="G46" t="s">
        <v>1797</v>
      </c>
      <c r="H46">
        <v>0</v>
      </c>
      <c r="I46">
        <v>244.15710100000001</v>
      </c>
      <c r="J46" t="s">
        <v>1797</v>
      </c>
      <c r="K46">
        <v>0</v>
      </c>
      <c r="L46">
        <v>1.467716580616403</v>
      </c>
      <c r="M46">
        <v>2.87</v>
      </c>
      <c r="N46">
        <v>0.61340000000000006</v>
      </c>
    </row>
    <row r="47" spans="1:14" x14ac:dyDescent="0.25">
      <c r="A47" s="1" t="s">
        <v>59</v>
      </c>
      <c r="B47" t="str">
        <f>HYPERLINK("https://www.suredividend.com/sure-analysis-research-database/","Agios Pharmaceuticals Inc")</f>
        <v>Agios Pharmaceuticals Inc</v>
      </c>
      <c r="C47" t="s">
        <v>1802</v>
      </c>
      <c r="D47">
        <v>22.74</v>
      </c>
      <c r="E47">
        <v>0</v>
      </c>
      <c r="F47" t="s">
        <v>1797</v>
      </c>
      <c r="G47" t="s">
        <v>1797</v>
      </c>
      <c r="H47">
        <v>0</v>
      </c>
      <c r="I47">
        <v>1270.9677979999999</v>
      </c>
      <c r="J47">
        <v>0.79351919894361211</v>
      </c>
      <c r="K47">
        <v>0</v>
      </c>
      <c r="L47">
        <v>1.130414419114355</v>
      </c>
      <c r="M47">
        <v>31.56</v>
      </c>
      <c r="N47">
        <v>19.8</v>
      </c>
    </row>
    <row r="48" spans="1:14" x14ac:dyDescent="0.25">
      <c r="A48" s="1" t="s">
        <v>60</v>
      </c>
      <c r="B48" t="str">
        <f>HYPERLINK("https://www.suredividend.com/sure-analysis-AGM/","Federal Agricultural Mortgage Corp.")</f>
        <v>Federal Agricultural Mortgage Corp.</v>
      </c>
      <c r="C48" t="s">
        <v>1800</v>
      </c>
      <c r="D48">
        <v>178.52</v>
      </c>
      <c r="E48">
        <v>2.4647098364328931E-2</v>
      </c>
      <c r="F48">
        <v>0.15789473684210531</v>
      </c>
      <c r="G48">
        <v>9.4608784223157549E-2</v>
      </c>
      <c r="H48">
        <v>4.3571415890340992</v>
      </c>
      <c r="I48">
        <v>1816.592615</v>
      </c>
      <c r="J48">
        <v>10.799423435486171</v>
      </c>
      <c r="K48">
        <v>0.28293127201520119</v>
      </c>
      <c r="L48">
        <v>1.227194679156419</v>
      </c>
      <c r="M48">
        <v>198.17</v>
      </c>
      <c r="N48">
        <v>115.07</v>
      </c>
    </row>
    <row r="49" spans="1:14" x14ac:dyDescent="0.25">
      <c r="A49" s="1" t="s">
        <v>61</v>
      </c>
      <c r="B49" t="str">
        <f>HYPERLINK("https://www.suredividend.com/sure-analysis-research-database/","Agiliti Inc")</f>
        <v>Agiliti Inc</v>
      </c>
      <c r="C49" t="s">
        <v>1797</v>
      </c>
      <c r="D49">
        <v>7.23</v>
      </c>
      <c r="E49">
        <v>0</v>
      </c>
      <c r="F49" t="s">
        <v>1797</v>
      </c>
      <c r="G49" t="s">
        <v>1797</v>
      </c>
      <c r="H49">
        <v>0</v>
      </c>
      <c r="I49">
        <v>974.92528000000004</v>
      </c>
      <c r="J49" t="s">
        <v>1797</v>
      </c>
      <c r="K49">
        <v>0</v>
      </c>
      <c r="L49">
        <v>1.715077188641299</v>
      </c>
      <c r="M49">
        <v>19.68</v>
      </c>
      <c r="N49">
        <v>5.07</v>
      </c>
    </row>
    <row r="50" spans="1:14" x14ac:dyDescent="0.25">
      <c r="A50" s="1" t="s">
        <v>62</v>
      </c>
      <c r="B50" t="str">
        <f>HYPERLINK("https://www.suredividend.com/sure-analysis-research-database/","Argan, Inc.")</f>
        <v>Argan, Inc.</v>
      </c>
      <c r="C50" t="s">
        <v>1798</v>
      </c>
      <c r="D50">
        <v>46.22</v>
      </c>
      <c r="E50">
        <v>2.2506213329631E-2</v>
      </c>
      <c r="F50">
        <v>0.20000000000000021</v>
      </c>
      <c r="G50">
        <v>3.7137289336648172E-2</v>
      </c>
      <c r="H50">
        <v>1.0402371800955581</v>
      </c>
      <c r="I50">
        <v>616.01396699999998</v>
      </c>
      <c r="J50">
        <v>18.132457143025341</v>
      </c>
      <c r="K50">
        <v>0.41609487203822332</v>
      </c>
      <c r="L50">
        <v>0.43514901350927898</v>
      </c>
      <c r="M50">
        <v>48.51</v>
      </c>
      <c r="N50">
        <v>35.85</v>
      </c>
    </row>
    <row r="51" spans="1:14" x14ac:dyDescent="0.25">
      <c r="A51" s="1" t="s">
        <v>63</v>
      </c>
      <c r="B51" t="str">
        <f>HYPERLINK("https://www.suredividend.com/sure-analysis-research-database/","Agilysys, Inc")</f>
        <v>Agilysys, Inc</v>
      </c>
      <c r="C51" t="s">
        <v>1803</v>
      </c>
      <c r="D51">
        <v>75.52</v>
      </c>
      <c r="E51">
        <v>0</v>
      </c>
      <c r="F51" t="s">
        <v>1797</v>
      </c>
      <c r="G51" t="s">
        <v>1797</v>
      </c>
      <c r="H51">
        <v>0</v>
      </c>
      <c r="I51">
        <v>2047.251743</v>
      </c>
      <c r="J51">
        <v>167.47805486910991</v>
      </c>
      <c r="K51">
        <v>0</v>
      </c>
      <c r="L51">
        <v>1.0968744535567621</v>
      </c>
      <c r="M51">
        <v>91.61</v>
      </c>
      <c r="N51">
        <v>62</v>
      </c>
    </row>
    <row r="52" spans="1:14" x14ac:dyDescent="0.25">
      <c r="A52" s="1" t="s">
        <v>64</v>
      </c>
      <c r="B52" t="str">
        <f>HYPERLINK("https://www.suredividend.com/sure-analysis-research-database/","AdaptHealth Corp")</f>
        <v>AdaptHealth Corp</v>
      </c>
      <c r="C52" t="s">
        <v>1802</v>
      </c>
      <c r="D52">
        <v>6.93</v>
      </c>
      <c r="E52">
        <v>0</v>
      </c>
      <c r="F52" t="s">
        <v>1797</v>
      </c>
      <c r="G52" t="s">
        <v>1797</v>
      </c>
      <c r="H52">
        <v>0</v>
      </c>
      <c r="I52">
        <v>945.18030899999997</v>
      </c>
      <c r="J52" t="s">
        <v>1797</v>
      </c>
      <c r="K52">
        <v>0</v>
      </c>
      <c r="L52">
        <v>1.514213029832671</v>
      </c>
      <c r="M52">
        <v>22.94</v>
      </c>
      <c r="N52">
        <v>6.37</v>
      </c>
    </row>
    <row r="53" spans="1:14" x14ac:dyDescent="0.25">
      <c r="A53" s="1" t="s">
        <v>65</v>
      </c>
      <c r="B53" t="str">
        <f>HYPERLINK("https://www.suredividend.com/sure-analysis-research-database/","Armada Hoffler Properties Inc")</f>
        <v>Armada Hoffler Properties Inc</v>
      </c>
      <c r="C53" t="s">
        <v>1799</v>
      </c>
      <c r="D53">
        <v>12.38</v>
      </c>
      <c r="E53">
        <v>6.1084957876285997E-2</v>
      </c>
      <c r="F53" t="s">
        <v>1797</v>
      </c>
      <c r="G53" t="s">
        <v>1797</v>
      </c>
      <c r="H53">
        <v>0.75623177850843004</v>
      </c>
      <c r="I53">
        <v>834.42596500000002</v>
      </c>
      <c r="J53">
        <v>35.236094955449524</v>
      </c>
      <c r="K53">
        <v>2.1662325365466342</v>
      </c>
      <c r="L53">
        <v>1.175395745433186</v>
      </c>
      <c r="M53">
        <v>12.91</v>
      </c>
      <c r="N53">
        <v>9.66</v>
      </c>
    </row>
    <row r="54" spans="1:14" x14ac:dyDescent="0.25">
      <c r="A54" s="1" t="s">
        <v>66</v>
      </c>
      <c r="B54" t="str">
        <f>HYPERLINK("https://www.suredividend.com/sure-analysis-research-database/","Ashford Hospitality Trust Inc")</f>
        <v>Ashford Hospitality Trust Inc</v>
      </c>
      <c r="C54" t="s">
        <v>1799</v>
      </c>
      <c r="D54">
        <v>1.52</v>
      </c>
      <c r="E54">
        <v>0</v>
      </c>
      <c r="F54" t="s">
        <v>1797</v>
      </c>
      <c r="G54" t="s">
        <v>1797</v>
      </c>
      <c r="H54">
        <v>0</v>
      </c>
      <c r="I54">
        <v>52.429882999999997</v>
      </c>
      <c r="J54" t="s">
        <v>1797</v>
      </c>
      <c r="K54">
        <v>0</v>
      </c>
      <c r="L54">
        <v>2.4862994621853032</v>
      </c>
      <c r="M54">
        <v>7.52</v>
      </c>
      <c r="N54">
        <v>1.5</v>
      </c>
    </row>
    <row r="55" spans="1:14" x14ac:dyDescent="0.25">
      <c r="A55" s="1" t="s">
        <v>67</v>
      </c>
      <c r="B55" t="str">
        <f>HYPERLINK("https://www.suredividend.com/sure-analysis-research-database/","C3.ai Inc")</f>
        <v>C3.ai Inc</v>
      </c>
      <c r="C55" t="s">
        <v>1799</v>
      </c>
      <c r="D55">
        <v>26.21</v>
      </c>
      <c r="E55">
        <v>0</v>
      </c>
      <c r="F55" t="s">
        <v>1797</v>
      </c>
      <c r="G55" t="s">
        <v>1797</v>
      </c>
      <c r="H55">
        <v>0</v>
      </c>
      <c r="I55">
        <v>3049.9320229999998</v>
      </c>
      <c r="J55" t="s">
        <v>1797</v>
      </c>
      <c r="K55">
        <v>0</v>
      </c>
      <c r="L55">
        <v>3.4405430439574651</v>
      </c>
      <c r="M55">
        <v>48.87</v>
      </c>
      <c r="N55">
        <v>12.43</v>
      </c>
    </row>
    <row r="56" spans="1:14" x14ac:dyDescent="0.25">
      <c r="A56" s="1" t="s">
        <v>68</v>
      </c>
      <c r="B56" t="str">
        <f>HYPERLINK("https://www.suredividend.com/sure-analysis-research-database/","Albany International Corp.")</f>
        <v>Albany International Corp.</v>
      </c>
      <c r="C56" t="s">
        <v>1801</v>
      </c>
      <c r="D56">
        <v>91.58</v>
      </c>
      <c r="E56">
        <v>1.0983859367636E-2</v>
      </c>
      <c r="F56">
        <v>4.0000000000000042E-2</v>
      </c>
      <c r="G56">
        <v>7.6316922514810814E-2</v>
      </c>
      <c r="H56">
        <v>1.005901840888183</v>
      </c>
      <c r="I56">
        <v>2857.2959999999998</v>
      </c>
      <c r="J56">
        <v>28.92</v>
      </c>
      <c r="K56">
        <v>0.31832336736967809</v>
      </c>
      <c r="L56">
        <v>1.069684415832163</v>
      </c>
      <c r="M56">
        <v>114.12</v>
      </c>
      <c r="N56">
        <v>77.989999999999995</v>
      </c>
    </row>
    <row r="57" spans="1:14" x14ac:dyDescent="0.25">
      <c r="A57" s="1" t="s">
        <v>69</v>
      </c>
      <c r="B57" t="str">
        <f>HYPERLINK("https://www.suredividend.com/sure-analysis-research-database/","Arteris Inc")</f>
        <v>Arteris Inc</v>
      </c>
      <c r="C57" t="s">
        <v>1797</v>
      </c>
      <c r="D57">
        <v>5.23</v>
      </c>
      <c r="E57">
        <v>0</v>
      </c>
      <c r="F57" t="s">
        <v>1797</v>
      </c>
      <c r="G57" t="s">
        <v>1797</v>
      </c>
      <c r="H57">
        <v>0</v>
      </c>
      <c r="I57">
        <v>192.748423</v>
      </c>
      <c r="J57" t="s">
        <v>1797</v>
      </c>
      <c r="K57">
        <v>0</v>
      </c>
      <c r="L57">
        <v>2.1173616824067061</v>
      </c>
      <c r="M57">
        <v>8.08</v>
      </c>
      <c r="N57">
        <v>3.57</v>
      </c>
    </row>
    <row r="58" spans="1:14" x14ac:dyDescent="0.25">
      <c r="A58" s="1" t="s">
        <v>70</v>
      </c>
      <c r="B58" t="str">
        <f>HYPERLINK("https://www.suredividend.com/sure-analysis-research-database/","AAR Corp.")</f>
        <v>AAR Corp.</v>
      </c>
      <c r="C58" t="s">
        <v>1798</v>
      </c>
      <c r="D58">
        <v>59.56</v>
      </c>
      <c r="E58">
        <v>0</v>
      </c>
      <c r="F58" t="s">
        <v>1797</v>
      </c>
      <c r="G58" t="s">
        <v>1797</v>
      </c>
      <c r="H58">
        <v>0</v>
      </c>
      <c r="I58">
        <v>2114.5356900000002</v>
      </c>
      <c r="J58">
        <v>31.004922138416429</v>
      </c>
      <c r="K58">
        <v>0</v>
      </c>
      <c r="L58">
        <v>0.8769969487703011</v>
      </c>
      <c r="M58">
        <v>73.95</v>
      </c>
      <c r="N58">
        <v>47</v>
      </c>
    </row>
    <row r="59" spans="1:14" x14ac:dyDescent="0.25">
      <c r="A59" s="1" t="s">
        <v>71</v>
      </c>
      <c r="B59" t="str">
        <f>HYPERLINK("https://www.suredividend.com/sure-analysis-research-database/","Airsculpt Technologies Inc")</f>
        <v>Airsculpt Technologies Inc</v>
      </c>
      <c r="C59" t="s">
        <v>1797</v>
      </c>
      <c r="D59">
        <v>7.98</v>
      </c>
      <c r="E59">
        <v>0</v>
      </c>
      <c r="F59" t="s">
        <v>1797</v>
      </c>
      <c r="G59" t="s">
        <v>1797</v>
      </c>
      <c r="H59">
        <v>0</v>
      </c>
      <c r="I59">
        <v>457.69829399999998</v>
      </c>
      <c r="J59" t="s">
        <v>1797</v>
      </c>
      <c r="K59">
        <v>0</v>
      </c>
      <c r="L59">
        <v>2.0192086344091611</v>
      </c>
      <c r="M59">
        <v>9.94</v>
      </c>
      <c r="N59">
        <v>4.29</v>
      </c>
    </row>
    <row r="60" spans="1:14" x14ac:dyDescent="0.25">
      <c r="A60" s="1" t="s">
        <v>72</v>
      </c>
      <c r="B60" t="str">
        <f>HYPERLINK("https://www.suredividend.com/sure-analysis-AIT/","Applied Industrial Technologies Inc.")</f>
        <v>Applied Industrial Technologies Inc.</v>
      </c>
      <c r="C60" t="s">
        <v>1798</v>
      </c>
      <c r="D60">
        <v>169.29</v>
      </c>
      <c r="E60">
        <v>8.2698328312363397E-3</v>
      </c>
      <c r="F60">
        <v>2.941176470588247E-2</v>
      </c>
      <c r="G60">
        <v>2.4569138363080611E-2</v>
      </c>
      <c r="H60">
        <v>1.397437527719342</v>
      </c>
      <c r="I60">
        <v>6561.6819240000004</v>
      </c>
      <c r="J60">
        <v>18.042212144053231</v>
      </c>
      <c r="K60">
        <v>0.15091118009928101</v>
      </c>
      <c r="L60">
        <v>1.0909842393229681</v>
      </c>
      <c r="M60">
        <v>176.44</v>
      </c>
      <c r="N60">
        <v>119.01</v>
      </c>
    </row>
    <row r="61" spans="1:14" x14ac:dyDescent="0.25">
      <c r="A61" s="1" t="s">
        <v>73</v>
      </c>
      <c r="B61" t="str">
        <f>HYPERLINK("https://www.suredividend.com/sure-analysis-research-database/","Apartment Investment &amp; Management Co.")</f>
        <v>Apartment Investment &amp; Management Co.</v>
      </c>
      <c r="C61" t="s">
        <v>1799</v>
      </c>
      <c r="D61">
        <v>7.83</v>
      </c>
      <c r="E61">
        <v>0</v>
      </c>
      <c r="F61" t="s">
        <v>1797</v>
      </c>
      <c r="G61" t="s">
        <v>1797</v>
      </c>
      <c r="H61">
        <v>0</v>
      </c>
      <c r="I61">
        <v>1141.2982320000001</v>
      </c>
      <c r="J61" t="s">
        <v>1797</v>
      </c>
      <c r="K61">
        <v>0</v>
      </c>
      <c r="L61">
        <v>1.1436893486433919</v>
      </c>
      <c r="M61">
        <v>8.93</v>
      </c>
      <c r="N61">
        <v>5.63</v>
      </c>
    </row>
    <row r="62" spans="1:14" x14ac:dyDescent="0.25">
      <c r="A62" s="1" t="s">
        <v>74</v>
      </c>
      <c r="B62" t="str">
        <f>HYPERLINK("https://www.suredividend.com/sure-analysis-research-database/","Aerojet Rocketdyne Holdings Inc")</f>
        <v>Aerojet Rocketdyne Holdings Inc</v>
      </c>
      <c r="C62" t="s">
        <v>1798</v>
      </c>
      <c r="D62">
        <v>57.99</v>
      </c>
      <c r="E62">
        <v>0</v>
      </c>
      <c r="F62" t="s">
        <v>1797</v>
      </c>
      <c r="G62" t="s">
        <v>1797</v>
      </c>
      <c r="H62">
        <v>0</v>
      </c>
      <c r="I62">
        <v>4683.2080889999997</v>
      </c>
      <c r="J62">
        <v>63.458104188211379</v>
      </c>
      <c r="K62">
        <v>0</v>
      </c>
      <c r="L62">
        <v>0.46933273692429611</v>
      </c>
      <c r="M62">
        <v>58.01</v>
      </c>
      <c r="N62">
        <v>39.18</v>
      </c>
    </row>
    <row r="63" spans="1:14" x14ac:dyDescent="0.25">
      <c r="A63" s="1" t="s">
        <v>75</v>
      </c>
      <c r="B63" t="str">
        <f>HYPERLINK("https://www.suredividend.com/sure-analysis-research-database/","a.k.a. Brands Holding Corp")</f>
        <v>a.k.a. Brands Holding Corp</v>
      </c>
      <c r="C63" t="s">
        <v>1797</v>
      </c>
      <c r="D63">
        <v>10.130000000000001</v>
      </c>
      <c r="E63">
        <v>0</v>
      </c>
      <c r="F63" t="s">
        <v>1797</v>
      </c>
      <c r="G63" t="s">
        <v>1797</v>
      </c>
      <c r="H63">
        <v>0</v>
      </c>
      <c r="I63">
        <v>107.653637</v>
      </c>
      <c r="J63" t="s">
        <v>1797</v>
      </c>
      <c r="K63">
        <v>0</v>
      </c>
      <c r="L63">
        <v>0.83198903680438607</v>
      </c>
      <c r="M63">
        <v>22.08</v>
      </c>
      <c r="N63">
        <v>3.6</v>
      </c>
    </row>
    <row r="64" spans="1:14" x14ac:dyDescent="0.25">
      <c r="A64" s="1" t="s">
        <v>76</v>
      </c>
      <c r="B64" t="str">
        <f>HYPERLINK("https://www.suredividend.com/sure-analysis-AKR/","Acadia Realty Trust")</f>
        <v>Acadia Realty Trust</v>
      </c>
      <c r="C64" t="s">
        <v>1799</v>
      </c>
      <c r="D64">
        <v>17.170000000000002</v>
      </c>
      <c r="E64">
        <v>4.1933605125218397E-2</v>
      </c>
      <c r="F64" t="s">
        <v>1797</v>
      </c>
      <c r="G64" t="s">
        <v>1797</v>
      </c>
      <c r="H64">
        <v>0.70771903197932007</v>
      </c>
      <c r="I64">
        <v>1637.005932</v>
      </c>
      <c r="J64">
        <v>68.052626544169613</v>
      </c>
      <c r="K64">
        <v>2.800629331140958</v>
      </c>
      <c r="L64">
        <v>1.3213044971568559</v>
      </c>
      <c r="M64">
        <v>17.53</v>
      </c>
      <c r="N64">
        <v>11.94</v>
      </c>
    </row>
    <row r="65" spans="1:14" x14ac:dyDescent="0.25">
      <c r="A65" s="1" t="s">
        <v>77</v>
      </c>
      <c r="B65" t="str">
        <f>HYPERLINK("https://www.suredividend.com/sure-analysis-research-database/","Akero Therapeutics Inc")</f>
        <v>Akero Therapeutics Inc</v>
      </c>
      <c r="C65" t="s">
        <v>1802</v>
      </c>
      <c r="D65">
        <v>22.44</v>
      </c>
      <c r="E65">
        <v>0</v>
      </c>
      <c r="F65" t="s">
        <v>1797</v>
      </c>
      <c r="G65" t="s">
        <v>1797</v>
      </c>
      <c r="H65">
        <v>0</v>
      </c>
      <c r="I65">
        <v>1249.9079999999999</v>
      </c>
      <c r="J65">
        <v>0</v>
      </c>
      <c r="K65" t="s">
        <v>1797</v>
      </c>
      <c r="L65">
        <v>0.93724214373914505</v>
      </c>
      <c r="M65">
        <v>58.38</v>
      </c>
      <c r="N65">
        <v>11.25</v>
      </c>
    </row>
    <row r="66" spans="1:14" x14ac:dyDescent="0.25">
      <c r="A66" s="1" t="s">
        <v>78</v>
      </c>
      <c r="B66" t="str">
        <f>HYPERLINK("https://www.suredividend.com/sure-analysis-research-database/","Akoustis Technologies Inc")</f>
        <v>Akoustis Technologies Inc</v>
      </c>
      <c r="C66" t="s">
        <v>1803</v>
      </c>
      <c r="D66">
        <v>0.65290000000000004</v>
      </c>
      <c r="E66">
        <v>0</v>
      </c>
      <c r="F66" t="s">
        <v>1797</v>
      </c>
      <c r="G66" t="s">
        <v>1797</v>
      </c>
      <c r="H66">
        <v>0</v>
      </c>
      <c r="I66">
        <v>47.324804</v>
      </c>
      <c r="J66" t="s">
        <v>1797</v>
      </c>
      <c r="K66">
        <v>0</v>
      </c>
      <c r="L66">
        <v>3.0330136317049101</v>
      </c>
      <c r="M66">
        <v>4.96</v>
      </c>
      <c r="N66">
        <v>0.46</v>
      </c>
    </row>
    <row r="67" spans="1:14" x14ac:dyDescent="0.25">
      <c r="A67" s="1" t="s">
        <v>79</v>
      </c>
      <c r="B67" t="str">
        <f>HYPERLINK("https://www.suredividend.com/sure-analysis-research-database/","Akoya Biosciences Inc")</f>
        <v>Akoya Biosciences Inc</v>
      </c>
      <c r="C67" t="s">
        <v>1797</v>
      </c>
      <c r="D67">
        <v>5.18</v>
      </c>
      <c r="E67">
        <v>0</v>
      </c>
      <c r="F67" t="s">
        <v>1797</v>
      </c>
      <c r="G67" t="s">
        <v>1797</v>
      </c>
      <c r="H67">
        <v>0</v>
      </c>
      <c r="I67">
        <v>254.21457599999999</v>
      </c>
      <c r="J67" t="s">
        <v>1797</v>
      </c>
      <c r="K67">
        <v>0</v>
      </c>
      <c r="L67">
        <v>1.7482255959133099</v>
      </c>
      <c r="M67">
        <v>12.9</v>
      </c>
      <c r="N67">
        <v>3.04</v>
      </c>
    </row>
    <row r="68" spans="1:14" x14ac:dyDescent="0.25">
      <c r="A68" s="1" t="s">
        <v>80</v>
      </c>
      <c r="B68" t="str">
        <f>HYPERLINK("https://www.suredividend.com/sure-analysis-research-database/","Alico Inc.")</f>
        <v>Alico Inc.</v>
      </c>
      <c r="C68" t="s">
        <v>1804</v>
      </c>
      <c r="D68">
        <v>28.28</v>
      </c>
      <c r="E68">
        <v>7.0321785489370009E-3</v>
      </c>
      <c r="F68">
        <v>0</v>
      </c>
      <c r="G68">
        <v>-3.5807495997372762E-2</v>
      </c>
      <c r="H68">
        <v>0.19887000936395199</v>
      </c>
      <c r="I68">
        <v>215.38277099999999</v>
      </c>
      <c r="J68">
        <v>117.3748069100818</v>
      </c>
      <c r="K68">
        <v>0.82381942569988409</v>
      </c>
      <c r="L68">
        <v>0.64261217788971003</v>
      </c>
      <c r="M68">
        <v>30.89</v>
      </c>
      <c r="N68">
        <v>22.32</v>
      </c>
    </row>
    <row r="69" spans="1:14" x14ac:dyDescent="0.25">
      <c r="A69" s="1" t="s">
        <v>81</v>
      </c>
      <c r="B69" t="str">
        <f>HYPERLINK("https://www.suredividend.com/sure-analysis-ALE/","Allete, Inc.")</f>
        <v>Allete, Inc.</v>
      </c>
      <c r="C69" t="s">
        <v>1805</v>
      </c>
      <c r="D69">
        <v>60.93</v>
      </c>
      <c r="E69">
        <v>4.4477268997209912E-2</v>
      </c>
      <c r="F69">
        <v>4.2307692307692157E-2</v>
      </c>
      <c r="G69">
        <v>2.8916864784077619E-2</v>
      </c>
      <c r="H69">
        <v>2.6613216843579171</v>
      </c>
      <c r="I69">
        <v>3502.0982869999998</v>
      </c>
      <c r="J69">
        <v>14.16133557076426</v>
      </c>
      <c r="K69">
        <v>0.61747602885334507</v>
      </c>
      <c r="L69">
        <v>0.50969395775719406</v>
      </c>
      <c r="M69">
        <v>64.36</v>
      </c>
      <c r="N69">
        <v>48.67</v>
      </c>
    </row>
    <row r="70" spans="1:14" x14ac:dyDescent="0.25">
      <c r="A70" s="1" t="s">
        <v>82</v>
      </c>
      <c r="B70" t="str">
        <f>HYPERLINK("https://www.suredividend.com/sure-analysis-research-database/","Alector Inc")</f>
        <v>Alector Inc</v>
      </c>
      <c r="C70" t="s">
        <v>1802</v>
      </c>
      <c r="D70">
        <v>7.78</v>
      </c>
      <c r="E70">
        <v>0</v>
      </c>
      <c r="F70" t="s">
        <v>1797</v>
      </c>
      <c r="G70" t="s">
        <v>1797</v>
      </c>
      <c r="H70">
        <v>0</v>
      </c>
      <c r="I70">
        <v>654.58104400000002</v>
      </c>
      <c r="J70" t="s">
        <v>1797</v>
      </c>
      <c r="K70">
        <v>0</v>
      </c>
      <c r="L70">
        <v>1.3168874905843531</v>
      </c>
      <c r="M70">
        <v>9.86</v>
      </c>
      <c r="N70">
        <v>3.66</v>
      </c>
    </row>
    <row r="71" spans="1:14" x14ac:dyDescent="0.25">
      <c r="A71" s="1" t="s">
        <v>83</v>
      </c>
      <c r="B71" t="str">
        <f>HYPERLINK("https://www.suredividend.com/sure-analysis-research-database/","Alexander &amp; Baldwin Inc.")</f>
        <v>Alexander &amp; Baldwin Inc.</v>
      </c>
      <c r="C71" t="s">
        <v>1799</v>
      </c>
      <c r="D71">
        <v>18.149999999999999</v>
      </c>
      <c r="E71">
        <v>4.7746484353157002E-2</v>
      </c>
      <c r="F71" t="s">
        <v>1797</v>
      </c>
      <c r="G71" t="s">
        <v>1797</v>
      </c>
      <c r="H71">
        <v>0.86659869100980402</v>
      </c>
      <c r="I71">
        <v>1316.5341169999999</v>
      </c>
      <c r="J71" t="s">
        <v>1797</v>
      </c>
      <c r="K71" t="s">
        <v>1797</v>
      </c>
      <c r="L71">
        <v>0.95496920181028011</v>
      </c>
      <c r="M71">
        <v>19.510000000000002</v>
      </c>
      <c r="N71">
        <v>15.38</v>
      </c>
    </row>
    <row r="72" spans="1:14" x14ac:dyDescent="0.25">
      <c r="A72" s="1" t="s">
        <v>84</v>
      </c>
      <c r="B72" t="str">
        <f>HYPERLINK("https://www.suredividend.com/sure-analysis-research-database/","Alamo Group Inc.")</f>
        <v>Alamo Group Inc.</v>
      </c>
      <c r="C72" t="s">
        <v>1798</v>
      </c>
      <c r="D72">
        <v>203.07</v>
      </c>
      <c r="E72">
        <v>5.6002819520020002E-3</v>
      </c>
      <c r="F72">
        <v>0.18181818181818191</v>
      </c>
      <c r="G72">
        <v>0.16723531932969321</v>
      </c>
      <c r="H72">
        <v>1.13724925599309</v>
      </c>
      <c r="I72">
        <v>2439.232368</v>
      </c>
      <c r="J72">
        <v>18.2300274857066</v>
      </c>
      <c r="K72">
        <v>0.1017217581389168</v>
      </c>
      <c r="L72">
        <v>1.0214558466961501</v>
      </c>
      <c r="M72">
        <v>216.06</v>
      </c>
      <c r="N72">
        <v>145.46</v>
      </c>
    </row>
    <row r="73" spans="1:14" x14ac:dyDescent="0.25">
      <c r="A73" s="1" t="s">
        <v>85</v>
      </c>
      <c r="B73" t="str">
        <f>HYPERLINK("https://www.suredividend.com/sure-analysis-research-database/","Allegiant Travel")</f>
        <v>Allegiant Travel</v>
      </c>
      <c r="C73" t="s">
        <v>1798</v>
      </c>
      <c r="D73">
        <v>76.11</v>
      </c>
      <c r="E73">
        <v>1.5609655366096001E-2</v>
      </c>
      <c r="F73" t="s">
        <v>1797</v>
      </c>
      <c r="G73" t="s">
        <v>1797</v>
      </c>
      <c r="H73">
        <v>1.1880508699136001</v>
      </c>
      <c r="I73">
        <v>1400.5138099999999</v>
      </c>
      <c r="J73">
        <v>8.4030156346749223</v>
      </c>
      <c r="K73">
        <v>0.12706426416188241</v>
      </c>
      <c r="L73">
        <v>1.595023528687906</v>
      </c>
      <c r="M73">
        <v>126.86</v>
      </c>
      <c r="N73">
        <v>53.78</v>
      </c>
    </row>
    <row r="74" spans="1:14" x14ac:dyDescent="0.25">
      <c r="A74" s="1" t="s">
        <v>86</v>
      </c>
      <c r="B74" t="str">
        <f>HYPERLINK("https://www.suredividend.com/sure-analysis-research-database/","Alignment Healthcare Inc")</f>
        <v>Alignment Healthcare Inc</v>
      </c>
      <c r="C74" t="s">
        <v>1797</v>
      </c>
      <c r="D74">
        <v>7.83</v>
      </c>
      <c r="E74">
        <v>0</v>
      </c>
      <c r="F74" t="s">
        <v>1797</v>
      </c>
      <c r="G74" t="s">
        <v>1797</v>
      </c>
      <c r="H74">
        <v>0</v>
      </c>
      <c r="I74">
        <v>1480.6513319999999</v>
      </c>
      <c r="J74" t="s">
        <v>1797</v>
      </c>
      <c r="K74">
        <v>0</v>
      </c>
      <c r="L74">
        <v>1.209562770830366</v>
      </c>
      <c r="M74">
        <v>13.05</v>
      </c>
      <c r="N74">
        <v>4.88</v>
      </c>
    </row>
    <row r="75" spans="1:14" x14ac:dyDescent="0.25">
      <c r="A75" s="1" t="s">
        <v>87</v>
      </c>
      <c r="B75" t="str">
        <f>HYPERLINK("https://www.suredividend.com/sure-analysis-research-database/","Alight Inc.")</f>
        <v>Alight Inc.</v>
      </c>
      <c r="C75" t="s">
        <v>1797</v>
      </c>
      <c r="D75">
        <v>8.3699999999999992</v>
      </c>
      <c r="E75">
        <v>0</v>
      </c>
      <c r="F75" t="s">
        <v>1797</v>
      </c>
      <c r="G75" t="s">
        <v>1797</v>
      </c>
      <c r="H75">
        <v>0</v>
      </c>
      <c r="I75">
        <v>4194.905025</v>
      </c>
      <c r="J75" t="s">
        <v>1797</v>
      </c>
      <c r="K75">
        <v>0</v>
      </c>
      <c r="L75">
        <v>1.382908898214753</v>
      </c>
      <c r="M75">
        <v>10.19</v>
      </c>
      <c r="N75">
        <v>6.33</v>
      </c>
    </row>
    <row r="76" spans="1:14" x14ac:dyDescent="0.25">
      <c r="A76" s="1" t="s">
        <v>88</v>
      </c>
      <c r="B76" t="str">
        <f>HYPERLINK("https://www.suredividend.com/sure-analysis-research-database/","Alkermes plc")</f>
        <v>Alkermes plc</v>
      </c>
      <c r="C76" t="s">
        <v>1802</v>
      </c>
      <c r="D76">
        <v>28.2</v>
      </c>
      <c r="E76">
        <v>0</v>
      </c>
      <c r="F76" t="s">
        <v>1797</v>
      </c>
      <c r="G76" t="s">
        <v>1797</v>
      </c>
      <c r="H76">
        <v>0</v>
      </c>
      <c r="I76">
        <v>4706.0522650000003</v>
      </c>
      <c r="J76">
        <v>21.916750177902799</v>
      </c>
      <c r="K76">
        <v>0</v>
      </c>
      <c r="M76">
        <v>33.71</v>
      </c>
      <c r="N76">
        <v>22.01</v>
      </c>
    </row>
    <row r="77" spans="1:14" x14ac:dyDescent="0.25">
      <c r="A77" s="1" t="s">
        <v>89</v>
      </c>
      <c r="B77" t="str">
        <f>HYPERLINK("https://www.suredividend.com/sure-analysis-research-database/","Alkami Technology Inc")</f>
        <v>Alkami Technology Inc</v>
      </c>
      <c r="C77" t="s">
        <v>1797</v>
      </c>
      <c r="D77">
        <v>24.88</v>
      </c>
      <c r="E77">
        <v>0</v>
      </c>
      <c r="F77" t="s">
        <v>1797</v>
      </c>
      <c r="G77" t="s">
        <v>1797</v>
      </c>
      <c r="H77">
        <v>0</v>
      </c>
      <c r="I77">
        <v>2372.6012609999998</v>
      </c>
      <c r="J77" t="s">
        <v>1797</v>
      </c>
      <c r="K77">
        <v>0</v>
      </c>
      <c r="L77">
        <v>1.5774096168650671</v>
      </c>
      <c r="M77">
        <v>25.65</v>
      </c>
      <c r="N77">
        <v>10.93</v>
      </c>
    </row>
    <row r="78" spans="1:14" x14ac:dyDescent="0.25">
      <c r="A78" s="1" t="s">
        <v>90</v>
      </c>
      <c r="B78" t="str">
        <f>HYPERLINK("https://www.suredividend.com/sure-analysis-research-database/","Allogene Therapeutics Inc")</f>
        <v>Allogene Therapeutics Inc</v>
      </c>
      <c r="C78" t="s">
        <v>1802</v>
      </c>
      <c r="D78">
        <v>3.22</v>
      </c>
      <c r="E78">
        <v>0</v>
      </c>
      <c r="F78" t="s">
        <v>1797</v>
      </c>
      <c r="G78" t="s">
        <v>1797</v>
      </c>
      <c r="H78">
        <v>0</v>
      </c>
      <c r="I78">
        <v>541.85085200000003</v>
      </c>
      <c r="J78" t="s">
        <v>1797</v>
      </c>
      <c r="K78">
        <v>0</v>
      </c>
      <c r="L78">
        <v>1.6464025085637359</v>
      </c>
      <c r="M78">
        <v>8.44</v>
      </c>
      <c r="N78">
        <v>2.23</v>
      </c>
    </row>
    <row r="79" spans="1:14" x14ac:dyDescent="0.25">
      <c r="A79" s="1" t="s">
        <v>91</v>
      </c>
      <c r="B79" t="str">
        <f>HYPERLINK("https://www.suredividend.com/sure-analysis-research-database/","Alpine Immune Sciences Inc")</f>
        <v>Alpine Immune Sciences Inc</v>
      </c>
      <c r="C79" t="s">
        <v>1802</v>
      </c>
      <c r="D79">
        <v>20.45</v>
      </c>
      <c r="E79">
        <v>0</v>
      </c>
      <c r="F79" t="s">
        <v>1797</v>
      </c>
      <c r="G79" t="s">
        <v>1797</v>
      </c>
      <c r="H79">
        <v>0</v>
      </c>
      <c r="I79">
        <v>1188.103302</v>
      </c>
      <c r="J79" t="s">
        <v>1797</v>
      </c>
      <c r="K79">
        <v>0</v>
      </c>
      <c r="L79">
        <v>1.55963435675323</v>
      </c>
      <c r="M79">
        <v>20.94</v>
      </c>
      <c r="N79">
        <v>6.4</v>
      </c>
    </row>
    <row r="80" spans="1:14" x14ac:dyDescent="0.25">
      <c r="A80" s="1" t="s">
        <v>92</v>
      </c>
      <c r="B80" t="str">
        <f>HYPERLINK("https://www.suredividend.com/sure-analysis-research-database/","Alarm.com Holdings Inc")</f>
        <v>Alarm.com Holdings Inc</v>
      </c>
      <c r="C80" t="s">
        <v>1803</v>
      </c>
      <c r="D80">
        <v>62.71</v>
      </c>
      <c r="E80">
        <v>0</v>
      </c>
      <c r="F80" t="s">
        <v>1797</v>
      </c>
      <c r="G80" t="s">
        <v>1797</v>
      </c>
      <c r="H80">
        <v>0</v>
      </c>
      <c r="I80">
        <v>3134.7339350000002</v>
      </c>
      <c r="J80">
        <v>46.218653200047179</v>
      </c>
      <c r="K80">
        <v>0</v>
      </c>
      <c r="L80">
        <v>1.2472916915648771</v>
      </c>
      <c r="M80">
        <v>67.02</v>
      </c>
      <c r="N80">
        <v>44.92</v>
      </c>
    </row>
    <row r="81" spans="1:14" x14ac:dyDescent="0.25">
      <c r="A81" s="1" t="s">
        <v>93</v>
      </c>
      <c r="B81" t="str">
        <f>HYPERLINK("https://www.suredividend.com/sure-analysis-ALRS/","Alerus Financial Corp")</f>
        <v>Alerus Financial Corp</v>
      </c>
      <c r="C81" t="s">
        <v>1800</v>
      </c>
      <c r="D81">
        <v>21.06</v>
      </c>
      <c r="E81">
        <v>3.6087369420702758E-2</v>
      </c>
      <c r="F81">
        <v>5.555555555555558E-2</v>
      </c>
      <c r="G81">
        <v>6.2980048262344379E-2</v>
      </c>
      <c r="H81">
        <v>0.72962465393139209</v>
      </c>
      <c r="I81">
        <v>416.482686</v>
      </c>
      <c r="J81">
        <v>11.14782351070664</v>
      </c>
      <c r="K81">
        <v>0.39439170482777952</v>
      </c>
      <c r="L81">
        <v>1.0930226381560031</v>
      </c>
      <c r="M81">
        <v>22.89</v>
      </c>
      <c r="N81">
        <v>12.37</v>
      </c>
    </row>
    <row r="82" spans="1:14" x14ac:dyDescent="0.25">
      <c r="A82" s="1" t="s">
        <v>94</v>
      </c>
      <c r="B82" t="str">
        <f>HYPERLINK("https://www.suredividend.com/sure-analysis-research-database/","Alta Equipment Group Inc")</f>
        <v>Alta Equipment Group Inc</v>
      </c>
      <c r="C82" t="s">
        <v>1798</v>
      </c>
      <c r="D82">
        <v>11.19</v>
      </c>
      <c r="E82">
        <v>2.0235665141199E-2</v>
      </c>
      <c r="F82" t="s">
        <v>1797</v>
      </c>
      <c r="G82" t="s">
        <v>1797</v>
      </c>
      <c r="H82">
        <v>0.22643709293002001</v>
      </c>
      <c r="I82">
        <v>362.19917299999997</v>
      </c>
      <c r="J82">
        <v>51.013968067605632</v>
      </c>
      <c r="K82">
        <v>1.0401336377125401</v>
      </c>
      <c r="L82">
        <v>1.4952251598640569</v>
      </c>
      <c r="M82">
        <v>20.329999999999998</v>
      </c>
      <c r="N82">
        <v>8.7100000000000009</v>
      </c>
    </row>
    <row r="83" spans="1:14" x14ac:dyDescent="0.25">
      <c r="A83" s="1" t="s">
        <v>95</v>
      </c>
      <c r="B83" t="str">
        <f>HYPERLINK("https://www.suredividend.com/sure-analysis-research-database/","Alto Ingredients Inc")</f>
        <v>Alto Ingredients Inc</v>
      </c>
      <c r="C83" t="s">
        <v>1797</v>
      </c>
      <c r="D83">
        <v>2.1800000000000002</v>
      </c>
      <c r="E83">
        <v>0</v>
      </c>
      <c r="F83" t="s">
        <v>1797</v>
      </c>
      <c r="G83" t="s">
        <v>1797</v>
      </c>
      <c r="H83">
        <v>0</v>
      </c>
      <c r="I83">
        <v>165.983238</v>
      </c>
      <c r="J83" t="s">
        <v>1797</v>
      </c>
      <c r="K83">
        <v>0</v>
      </c>
      <c r="L83">
        <v>2.0393771999655912</v>
      </c>
      <c r="M83">
        <v>4.97</v>
      </c>
      <c r="N83">
        <v>1.2</v>
      </c>
    </row>
    <row r="84" spans="1:14" x14ac:dyDescent="0.25">
      <c r="A84" s="1" t="s">
        <v>96</v>
      </c>
      <c r="B84" t="str">
        <f>HYPERLINK("https://www.suredividend.com/sure-analysis-research-database/","Altair Engineering Inc")</f>
        <v>Altair Engineering Inc</v>
      </c>
      <c r="C84" t="s">
        <v>1803</v>
      </c>
      <c r="D84">
        <v>84.23</v>
      </c>
      <c r="E84">
        <v>0</v>
      </c>
      <c r="F84" t="s">
        <v>1797</v>
      </c>
      <c r="G84" t="s">
        <v>1797</v>
      </c>
      <c r="H84">
        <v>0</v>
      </c>
      <c r="I84">
        <v>4598.9579999999996</v>
      </c>
      <c r="J84" t="s">
        <v>1797</v>
      </c>
      <c r="K84">
        <v>0</v>
      </c>
      <c r="L84">
        <v>1.0909231765098679</v>
      </c>
      <c r="M84">
        <v>84.92</v>
      </c>
      <c r="N84">
        <v>49.62</v>
      </c>
    </row>
    <row r="85" spans="1:14" x14ac:dyDescent="0.25">
      <c r="A85" s="1" t="s">
        <v>97</v>
      </c>
      <c r="B85" t="str">
        <f>HYPERLINK("https://www.suredividend.com/sure-analysis-research-database/","AlloVir Inc")</f>
        <v>AlloVir Inc</v>
      </c>
      <c r="C85" t="s">
        <v>1797</v>
      </c>
      <c r="D85">
        <v>0.69500000000000006</v>
      </c>
      <c r="E85">
        <v>0</v>
      </c>
      <c r="F85" t="s">
        <v>1797</v>
      </c>
      <c r="G85" t="s">
        <v>1797</v>
      </c>
      <c r="H85">
        <v>0</v>
      </c>
      <c r="I85">
        <v>79.335840000000005</v>
      </c>
      <c r="J85">
        <v>0</v>
      </c>
      <c r="K85" t="s">
        <v>1797</v>
      </c>
      <c r="L85">
        <v>2.379880345025029</v>
      </c>
      <c r="M85">
        <v>7.24</v>
      </c>
      <c r="N85">
        <v>0.62309999999999999</v>
      </c>
    </row>
    <row r="86" spans="1:14" x14ac:dyDescent="0.25">
      <c r="A86" s="1" t="s">
        <v>98</v>
      </c>
      <c r="B86" t="str">
        <f>HYPERLINK("https://www.suredividend.com/sure-analysis-research-database/","Alexander`s Inc.")</f>
        <v>Alexander`s Inc.</v>
      </c>
      <c r="C86" t="s">
        <v>1799</v>
      </c>
      <c r="D86">
        <v>218.5</v>
      </c>
      <c r="E86">
        <v>7.952389264102501E-2</v>
      </c>
      <c r="F86">
        <v>0</v>
      </c>
      <c r="G86">
        <v>0</v>
      </c>
      <c r="H86">
        <v>17.375970542064039</v>
      </c>
      <c r="I86">
        <v>1115.942865</v>
      </c>
      <c r="J86">
        <v>11.237642642793849</v>
      </c>
      <c r="K86">
        <v>0.89751913956942353</v>
      </c>
      <c r="L86">
        <v>0.84500616519069205</v>
      </c>
      <c r="M86">
        <v>224.6</v>
      </c>
      <c r="N86">
        <v>148.49</v>
      </c>
    </row>
    <row r="87" spans="1:14" x14ac:dyDescent="0.25">
      <c r="A87" s="1" t="s">
        <v>99</v>
      </c>
      <c r="B87" t="str">
        <f>HYPERLINK("https://www.suredividend.com/sure-analysis-research-database/","Alx Oncology Holdings Inc")</f>
        <v>Alx Oncology Holdings Inc</v>
      </c>
      <c r="C87" t="s">
        <v>1797</v>
      </c>
      <c r="D87">
        <v>14.34</v>
      </c>
      <c r="E87">
        <v>0</v>
      </c>
      <c r="F87" t="s">
        <v>1797</v>
      </c>
      <c r="G87" t="s">
        <v>1797</v>
      </c>
      <c r="H87">
        <v>0</v>
      </c>
      <c r="I87">
        <v>714.40176399999996</v>
      </c>
      <c r="J87">
        <v>0</v>
      </c>
      <c r="K87" t="s">
        <v>1797</v>
      </c>
      <c r="L87">
        <v>1.373512474821079</v>
      </c>
      <c r="M87">
        <v>15.93</v>
      </c>
      <c r="N87">
        <v>3.94</v>
      </c>
    </row>
    <row r="88" spans="1:14" x14ac:dyDescent="0.25">
      <c r="A88" s="1" t="s">
        <v>100</v>
      </c>
      <c r="B88" t="str">
        <f>HYPERLINK("https://www.suredividend.com/sure-analysis-research-database/","Amalgamated Financial Corp")</f>
        <v>Amalgamated Financial Corp</v>
      </c>
      <c r="C88" t="s">
        <v>1800</v>
      </c>
      <c r="D88">
        <v>25.38</v>
      </c>
      <c r="E88">
        <v>1.5548422039961001E-2</v>
      </c>
      <c r="F88">
        <v>0</v>
      </c>
      <c r="G88">
        <v>0.10756634324829011</v>
      </c>
      <c r="H88">
        <v>0.39461895137423197</v>
      </c>
      <c r="I88">
        <v>771.38969499999996</v>
      </c>
      <c r="J88">
        <v>8.5669035338671513</v>
      </c>
      <c r="K88">
        <v>0.13514347649802469</v>
      </c>
      <c r="L88">
        <v>1.226379685183969</v>
      </c>
      <c r="M88">
        <v>27.77</v>
      </c>
      <c r="N88">
        <v>13.79</v>
      </c>
    </row>
    <row r="89" spans="1:14" x14ac:dyDescent="0.25">
      <c r="A89" s="1" t="s">
        <v>101</v>
      </c>
      <c r="B89" t="str">
        <f>HYPERLINK("https://www.suredividend.com/sure-analysis-research-database/","Ambarella Inc")</f>
        <v>Ambarella Inc</v>
      </c>
      <c r="C89" t="s">
        <v>1803</v>
      </c>
      <c r="D89">
        <v>56.41</v>
      </c>
      <c r="E89">
        <v>0</v>
      </c>
      <c r="F89" t="s">
        <v>1797</v>
      </c>
      <c r="G89" t="s">
        <v>1797</v>
      </c>
      <c r="H89">
        <v>0</v>
      </c>
      <c r="I89">
        <v>2270.3937980000001</v>
      </c>
      <c r="J89" t="s">
        <v>1797</v>
      </c>
      <c r="K89">
        <v>0</v>
      </c>
      <c r="L89">
        <v>1.92377445276976</v>
      </c>
      <c r="M89">
        <v>99.86</v>
      </c>
      <c r="N89">
        <v>43.59</v>
      </c>
    </row>
    <row r="90" spans="1:14" x14ac:dyDescent="0.25">
      <c r="A90" s="1" t="s">
        <v>102</v>
      </c>
      <c r="B90" t="str">
        <f>HYPERLINK("https://www.suredividend.com/sure-analysis-research-database/","AMBAC Financial Group Inc.")</f>
        <v>AMBAC Financial Group Inc.</v>
      </c>
      <c r="C90" t="s">
        <v>1800</v>
      </c>
      <c r="D90">
        <v>15.69</v>
      </c>
      <c r="E90">
        <v>0</v>
      </c>
      <c r="F90" t="s">
        <v>1797</v>
      </c>
      <c r="G90" t="s">
        <v>1797</v>
      </c>
      <c r="H90">
        <v>0</v>
      </c>
      <c r="I90">
        <v>709.10228600000005</v>
      </c>
      <c r="J90">
        <v>3.5813246743939402</v>
      </c>
      <c r="K90">
        <v>0</v>
      </c>
      <c r="L90">
        <v>0.69371677558880507</v>
      </c>
      <c r="M90">
        <v>17.75</v>
      </c>
      <c r="N90">
        <v>11.26</v>
      </c>
    </row>
    <row r="91" spans="1:14" x14ac:dyDescent="0.25">
      <c r="A91" s="1" t="s">
        <v>103</v>
      </c>
      <c r="B91" t="str">
        <f>HYPERLINK("https://www.suredividend.com/sure-analysis-research-database/","AMC Networks Inc")</f>
        <v>AMC Networks Inc</v>
      </c>
      <c r="C91" t="s">
        <v>1806</v>
      </c>
      <c r="D91">
        <v>18.25</v>
      </c>
      <c r="E91">
        <v>0</v>
      </c>
      <c r="F91" t="s">
        <v>1797</v>
      </c>
      <c r="G91" t="s">
        <v>1797</v>
      </c>
      <c r="H91">
        <v>0</v>
      </c>
      <c r="I91">
        <v>585.33261500000003</v>
      </c>
      <c r="J91" t="s">
        <v>1797</v>
      </c>
      <c r="K91">
        <v>0</v>
      </c>
      <c r="L91">
        <v>2.0030958059369488</v>
      </c>
      <c r="M91">
        <v>27.46</v>
      </c>
      <c r="N91">
        <v>9.9600000000000009</v>
      </c>
    </row>
    <row r="92" spans="1:14" x14ac:dyDescent="0.25">
      <c r="A92" s="1" t="s">
        <v>104</v>
      </c>
      <c r="B92" t="str">
        <f>HYPERLINK("https://www.suredividend.com/sure-analysis-research-database/","Apollo Medical Holdings Inc")</f>
        <v>Apollo Medical Holdings Inc</v>
      </c>
      <c r="C92" t="s">
        <v>1802</v>
      </c>
      <c r="D92">
        <v>36.67</v>
      </c>
      <c r="E92">
        <v>0</v>
      </c>
      <c r="F92" t="s">
        <v>1797</v>
      </c>
      <c r="G92" t="s">
        <v>1797</v>
      </c>
      <c r="H92">
        <v>0</v>
      </c>
      <c r="I92">
        <v>2137.2592089999998</v>
      </c>
      <c r="J92">
        <v>51.029277000931167</v>
      </c>
      <c r="K92">
        <v>0</v>
      </c>
      <c r="L92">
        <v>1.367112772534014</v>
      </c>
      <c r="M92">
        <v>40.81</v>
      </c>
      <c r="N92">
        <v>28.87</v>
      </c>
    </row>
    <row r="93" spans="1:14" x14ac:dyDescent="0.25">
      <c r="A93" s="1" t="s">
        <v>105</v>
      </c>
      <c r="B93" t="str">
        <f>HYPERLINK("https://www.suredividend.com/sure-analysis-research-database/","Assetmark Financial Holdings Inc")</f>
        <v>Assetmark Financial Holdings Inc</v>
      </c>
      <c r="C93" t="s">
        <v>1800</v>
      </c>
      <c r="D93">
        <v>30.12</v>
      </c>
      <c r="E93">
        <v>0</v>
      </c>
      <c r="F93" t="s">
        <v>1797</v>
      </c>
      <c r="G93" t="s">
        <v>1797</v>
      </c>
      <c r="H93">
        <v>0</v>
      </c>
      <c r="I93">
        <v>2236.8725829999998</v>
      </c>
      <c r="J93">
        <v>19.608445023624391</v>
      </c>
      <c r="K93">
        <v>0</v>
      </c>
      <c r="L93">
        <v>1.108908117646167</v>
      </c>
      <c r="M93">
        <v>33</v>
      </c>
      <c r="N93">
        <v>22.92</v>
      </c>
    </row>
    <row r="94" spans="1:14" x14ac:dyDescent="0.25">
      <c r="A94" s="1" t="s">
        <v>106</v>
      </c>
      <c r="B94" t="str">
        <f>HYPERLINK("https://www.suredividend.com/sure-analysis-research-database/","AMKOR Technology Inc.")</f>
        <v>AMKOR Technology Inc.</v>
      </c>
      <c r="C94" t="s">
        <v>1803</v>
      </c>
      <c r="D94">
        <v>30.12</v>
      </c>
      <c r="E94">
        <v>1.0030105831232001E-2</v>
      </c>
      <c r="F94" t="s">
        <v>1797</v>
      </c>
      <c r="G94" t="s">
        <v>1797</v>
      </c>
      <c r="H94">
        <v>0.30210678763671001</v>
      </c>
      <c r="I94">
        <v>7403.4960000000001</v>
      </c>
      <c r="J94">
        <v>18.210452783407781</v>
      </c>
      <c r="K94">
        <v>0.18309502281012729</v>
      </c>
      <c r="L94">
        <v>1.817183590685139</v>
      </c>
      <c r="M94">
        <v>34.44</v>
      </c>
      <c r="N94">
        <v>17.48</v>
      </c>
    </row>
    <row r="95" spans="1:14" x14ac:dyDescent="0.25">
      <c r="A95" s="1" t="s">
        <v>107</v>
      </c>
      <c r="B95" t="str">
        <f>HYPERLINK("https://www.suredividend.com/sure-analysis-research-database/","Amylyx Pharmaceuticals Inc")</f>
        <v>Amylyx Pharmaceuticals Inc</v>
      </c>
      <c r="C95" t="s">
        <v>1797</v>
      </c>
      <c r="D95">
        <v>15.79</v>
      </c>
      <c r="E95">
        <v>0</v>
      </c>
      <c r="F95" t="s">
        <v>1797</v>
      </c>
      <c r="G95" t="s">
        <v>1797</v>
      </c>
      <c r="H95">
        <v>0</v>
      </c>
      <c r="I95">
        <v>1066.1053199999999</v>
      </c>
      <c r="J95">
        <v>580.66738555010886</v>
      </c>
      <c r="K95">
        <v>0</v>
      </c>
      <c r="L95">
        <v>1.1091744676727719</v>
      </c>
      <c r="M95">
        <v>41.93</v>
      </c>
      <c r="N95">
        <v>11.82</v>
      </c>
    </row>
    <row r="96" spans="1:14" x14ac:dyDescent="0.25">
      <c r="A96" s="1" t="s">
        <v>108</v>
      </c>
      <c r="B96" t="str">
        <f>HYPERLINK("https://www.suredividend.com/sure-analysis-research-database/","AMN Healthcare Services Inc.")</f>
        <v>AMN Healthcare Services Inc.</v>
      </c>
      <c r="C96" t="s">
        <v>1802</v>
      </c>
      <c r="D96">
        <v>77.06</v>
      </c>
      <c r="E96">
        <v>0</v>
      </c>
      <c r="F96" t="s">
        <v>1797</v>
      </c>
      <c r="G96" t="s">
        <v>1797</v>
      </c>
      <c r="H96">
        <v>0</v>
      </c>
      <c r="I96">
        <v>2912.0311280000001</v>
      </c>
      <c r="J96">
        <v>10.400594057581239</v>
      </c>
      <c r="K96">
        <v>0</v>
      </c>
      <c r="L96">
        <v>0.70845754825460505</v>
      </c>
      <c r="M96">
        <v>112.44</v>
      </c>
      <c r="N96">
        <v>57.8</v>
      </c>
    </row>
    <row r="97" spans="1:14" x14ac:dyDescent="0.25">
      <c r="A97" s="1" t="s">
        <v>109</v>
      </c>
      <c r="B97" t="str">
        <f>HYPERLINK("https://www.suredividend.com/sure-analysis-research-database/","American National Bankshares Inc.")</f>
        <v>American National Bankshares Inc.</v>
      </c>
      <c r="C97" t="s">
        <v>1800</v>
      </c>
      <c r="D97">
        <v>47.13</v>
      </c>
      <c r="E97">
        <v>2.4861326266894999E-2</v>
      </c>
      <c r="F97">
        <v>0</v>
      </c>
      <c r="G97">
        <v>3.7137289336648172E-2</v>
      </c>
      <c r="H97">
        <v>1.171714306958795</v>
      </c>
      <c r="I97">
        <v>500.94415700000002</v>
      </c>
      <c r="J97">
        <v>16.632716558536419</v>
      </c>
      <c r="K97">
        <v>0.41257546019675878</v>
      </c>
      <c r="L97">
        <v>1.2036466858452759</v>
      </c>
      <c r="M97">
        <v>50.76</v>
      </c>
      <c r="N97">
        <v>23.99</v>
      </c>
    </row>
    <row r="98" spans="1:14" x14ac:dyDescent="0.25">
      <c r="A98" s="1" t="s">
        <v>110</v>
      </c>
      <c r="B98" t="str">
        <f>HYPERLINK("https://www.suredividend.com/sure-analysis-research-database/","Amphastar Pharmaceuticals Inc")</f>
        <v>Amphastar Pharmaceuticals Inc</v>
      </c>
      <c r="C98" t="s">
        <v>1802</v>
      </c>
      <c r="D98">
        <v>54.21</v>
      </c>
      <c r="E98">
        <v>0</v>
      </c>
      <c r="F98" t="s">
        <v>1797</v>
      </c>
      <c r="G98" t="s">
        <v>1797</v>
      </c>
      <c r="H98">
        <v>0</v>
      </c>
      <c r="I98">
        <v>2597.0607500000001</v>
      </c>
      <c r="J98">
        <v>19.1961087604497</v>
      </c>
      <c r="K98">
        <v>0</v>
      </c>
      <c r="L98">
        <v>0.75942798378744103</v>
      </c>
      <c r="M98">
        <v>67.66</v>
      </c>
      <c r="N98">
        <v>28.47</v>
      </c>
    </row>
    <row r="99" spans="1:14" x14ac:dyDescent="0.25">
      <c r="A99" s="1" t="s">
        <v>111</v>
      </c>
      <c r="B99" t="str">
        <f>HYPERLINK("https://www.suredividend.com/sure-analysis-research-database/","Amplitude Inc")</f>
        <v>Amplitude Inc</v>
      </c>
      <c r="C99" t="s">
        <v>1797</v>
      </c>
      <c r="D99">
        <v>12.68</v>
      </c>
      <c r="E99">
        <v>0</v>
      </c>
      <c r="F99" t="s">
        <v>1797</v>
      </c>
      <c r="G99" t="s">
        <v>1797</v>
      </c>
      <c r="H99">
        <v>0</v>
      </c>
      <c r="I99">
        <v>1060.9162759999999</v>
      </c>
      <c r="J99" t="s">
        <v>1797</v>
      </c>
      <c r="K99">
        <v>0</v>
      </c>
      <c r="L99">
        <v>1.7578903851071841</v>
      </c>
      <c r="M99">
        <v>16.95</v>
      </c>
      <c r="N99">
        <v>8.5</v>
      </c>
    </row>
    <row r="100" spans="1:14" x14ac:dyDescent="0.25">
      <c r="A100" s="1" t="s">
        <v>112</v>
      </c>
      <c r="B100" t="str">
        <f>HYPERLINK("https://www.suredividend.com/sure-analysis-research-database/","Altus Power Inc")</f>
        <v>Altus Power Inc</v>
      </c>
      <c r="C100" t="s">
        <v>1797</v>
      </c>
      <c r="D100">
        <v>6.08</v>
      </c>
      <c r="E100">
        <v>0</v>
      </c>
      <c r="F100" t="s">
        <v>1797</v>
      </c>
      <c r="G100" t="s">
        <v>1797</v>
      </c>
      <c r="H100">
        <v>0</v>
      </c>
      <c r="I100">
        <v>966.65891399999998</v>
      </c>
      <c r="J100">
        <v>11.28549313221645</v>
      </c>
      <c r="K100">
        <v>0</v>
      </c>
      <c r="L100">
        <v>1.8867907349747981</v>
      </c>
      <c r="M100">
        <v>8.57</v>
      </c>
      <c r="N100">
        <v>4.08</v>
      </c>
    </row>
    <row r="101" spans="1:14" x14ac:dyDescent="0.25">
      <c r="A101" s="1" t="s">
        <v>113</v>
      </c>
      <c r="B101" t="str">
        <f>HYPERLINK("https://www.suredividend.com/sure-analysis-research-database/","Amplify Energy Corp.")</f>
        <v>Amplify Energy Corp.</v>
      </c>
      <c r="C101" t="s">
        <v>1807</v>
      </c>
      <c r="D101">
        <v>6.03</v>
      </c>
      <c r="E101">
        <v>0</v>
      </c>
      <c r="F101" t="s">
        <v>1797</v>
      </c>
      <c r="G101" t="s">
        <v>1797</v>
      </c>
      <c r="H101">
        <v>0</v>
      </c>
      <c r="I101">
        <v>235.75310099999999</v>
      </c>
      <c r="J101">
        <v>0</v>
      </c>
      <c r="K101" t="s">
        <v>1797</v>
      </c>
      <c r="L101">
        <v>0.90344669111867404</v>
      </c>
      <c r="M101">
        <v>10.23</v>
      </c>
      <c r="N101">
        <v>5.47</v>
      </c>
    </row>
    <row r="102" spans="1:14" x14ac:dyDescent="0.25">
      <c r="A102" s="1" t="s">
        <v>114</v>
      </c>
      <c r="B102" t="str">
        <f>HYPERLINK("https://www.suredividend.com/sure-analysis-research-database/","Alpha Metallurgical Resources Inc")</f>
        <v>Alpha Metallurgical Resources Inc</v>
      </c>
      <c r="C102" t="s">
        <v>1797</v>
      </c>
      <c r="D102">
        <v>368</v>
      </c>
      <c r="E102">
        <v>5.2550912726200003E-3</v>
      </c>
      <c r="F102" t="s">
        <v>1797</v>
      </c>
      <c r="G102" t="s">
        <v>1797</v>
      </c>
      <c r="H102">
        <v>1.9338735883242919</v>
      </c>
      <c r="I102">
        <v>5582.7259679999997</v>
      </c>
      <c r="J102">
        <v>7.2822597479846598</v>
      </c>
      <c r="K102">
        <v>3.8723940495079941E-2</v>
      </c>
      <c r="L102">
        <v>0.90496821897277402</v>
      </c>
      <c r="M102">
        <v>383.45</v>
      </c>
      <c r="N102">
        <v>131.75</v>
      </c>
    </row>
    <row r="103" spans="1:14" x14ac:dyDescent="0.25">
      <c r="A103" s="1" t="s">
        <v>115</v>
      </c>
      <c r="B103" t="str">
        <f>HYPERLINK("https://www.suredividend.com/sure-analysis-research-database/","Ameresco Inc.")</f>
        <v>Ameresco Inc.</v>
      </c>
      <c r="C103" t="s">
        <v>1798</v>
      </c>
      <c r="D103">
        <v>26.05</v>
      </c>
      <c r="E103">
        <v>0</v>
      </c>
      <c r="F103" t="s">
        <v>1797</v>
      </c>
      <c r="G103" t="s">
        <v>1797</v>
      </c>
      <c r="H103">
        <v>0</v>
      </c>
      <c r="I103">
        <v>891.80937600000004</v>
      </c>
      <c r="J103">
        <v>0</v>
      </c>
      <c r="K103" t="s">
        <v>1797</v>
      </c>
      <c r="L103">
        <v>2.2811373107529289</v>
      </c>
      <c r="M103">
        <v>65.86</v>
      </c>
      <c r="N103">
        <v>18.399999999999999</v>
      </c>
    </row>
    <row r="104" spans="1:14" x14ac:dyDescent="0.25">
      <c r="A104" s="1" t="s">
        <v>116</v>
      </c>
      <c r="B104" t="str">
        <f>HYPERLINK("https://www.suredividend.com/sure-analysis-research-database/","A-Mark Precious Metals Inc")</f>
        <v>A-Mark Precious Metals Inc</v>
      </c>
      <c r="C104" t="s">
        <v>1800</v>
      </c>
      <c r="D104">
        <v>28.63</v>
      </c>
      <c r="E104">
        <v>2.6789612144290001E-2</v>
      </c>
      <c r="F104" t="s">
        <v>1797</v>
      </c>
      <c r="G104" t="s">
        <v>1797</v>
      </c>
      <c r="H104">
        <v>0.7669865956910461</v>
      </c>
      <c r="I104">
        <v>664.53047200000003</v>
      </c>
      <c r="J104">
        <v>0</v>
      </c>
      <c r="K104" t="s">
        <v>1797</v>
      </c>
      <c r="L104">
        <v>0.9685445520768301</v>
      </c>
      <c r="M104">
        <v>38.979999999999997</v>
      </c>
      <c r="N104">
        <v>22.97</v>
      </c>
    </row>
    <row r="105" spans="1:14" x14ac:dyDescent="0.25">
      <c r="A105" s="1" t="s">
        <v>117</v>
      </c>
      <c r="B105" t="str">
        <f>HYPERLINK("https://www.suredividend.com/sure-analysis-research-database/","Amyris Inc")</f>
        <v>Amyris Inc</v>
      </c>
      <c r="C105" t="s">
        <v>1808</v>
      </c>
      <c r="D105">
        <v>0.05</v>
      </c>
      <c r="E105">
        <v>0</v>
      </c>
      <c r="F105" t="s">
        <v>1797</v>
      </c>
      <c r="G105" t="s">
        <v>1797</v>
      </c>
      <c r="H105">
        <v>0</v>
      </c>
      <c r="I105">
        <v>0</v>
      </c>
      <c r="J105">
        <v>0</v>
      </c>
      <c r="K105" t="s">
        <v>1797</v>
      </c>
    </row>
    <row r="106" spans="1:14" x14ac:dyDescent="0.25">
      <c r="A106" s="1" t="s">
        <v>118</v>
      </c>
      <c r="B106" t="str">
        <f>HYPERLINK("https://www.suredividend.com/sure-analysis-research-database/","Amneal Pharmaceuticals Inc")</f>
        <v>Amneal Pharmaceuticals Inc</v>
      </c>
      <c r="C106" t="s">
        <v>1802</v>
      </c>
      <c r="D106">
        <v>5.4</v>
      </c>
      <c r="E106">
        <v>0</v>
      </c>
      <c r="F106" t="s">
        <v>1797</v>
      </c>
      <c r="G106" t="s">
        <v>1797</v>
      </c>
      <c r="H106">
        <v>0</v>
      </c>
      <c r="I106">
        <v>1655.338675</v>
      </c>
      <c r="J106">
        <v>160.35441970357451</v>
      </c>
      <c r="K106">
        <v>0</v>
      </c>
      <c r="L106">
        <v>1.748964416112603</v>
      </c>
      <c r="M106">
        <v>6.3</v>
      </c>
      <c r="N106">
        <v>1.24</v>
      </c>
    </row>
    <row r="107" spans="1:14" x14ac:dyDescent="0.25">
      <c r="A107" s="1" t="s">
        <v>119</v>
      </c>
      <c r="B107" t="str">
        <f>HYPERLINK("https://www.suredividend.com/sure-analysis-research-database/","Amerisafe Inc")</f>
        <v>Amerisafe Inc</v>
      </c>
      <c r="C107" t="s">
        <v>1800</v>
      </c>
      <c r="D107">
        <v>46.41</v>
      </c>
      <c r="E107">
        <v>2.6188206628401E-2</v>
      </c>
      <c r="F107">
        <v>0</v>
      </c>
      <c r="G107">
        <v>4.7184078606183233E-2</v>
      </c>
      <c r="H107">
        <v>1.2153946696241309</v>
      </c>
      <c r="I107">
        <v>890.22497099999998</v>
      </c>
      <c r="J107">
        <v>13.97417739722157</v>
      </c>
      <c r="K107">
        <v>0.36718872194082508</v>
      </c>
      <c r="L107">
        <v>0.51974629620598001</v>
      </c>
      <c r="M107">
        <v>48.77</v>
      </c>
      <c r="N107">
        <v>40.26</v>
      </c>
    </row>
    <row r="108" spans="1:14" x14ac:dyDescent="0.25">
      <c r="A108" s="1" t="s">
        <v>120</v>
      </c>
      <c r="B108" t="str">
        <f>HYPERLINK("https://www.suredividend.com/sure-analysis-research-database/","American Software Inc.")</f>
        <v>American Software Inc.</v>
      </c>
      <c r="C108" t="s">
        <v>1803</v>
      </c>
      <c r="D108">
        <v>11.53</v>
      </c>
      <c r="E108">
        <v>3.7333778375395997E-2</v>
      </c>
      <c r="F108">
        <v>0</v>
      </c>
      <c r="G108">
        <v>0</v>
      </c>
      <c r="H108">
        <v>0.43045846466832399</v>
      </c>
      <c r="I108">
        <v>372.93626999999998</v>
      </c>
      <c r="J108">
        <v>0</v>
      </c>
      <c r="K108" t="s">
        <v>1797</v>
      </c>
      <c r="L108">
        <v>0.74175750309462607</v>
      </c>
      <c r="M108">
        <v>15.27</v>
      </c>
      <c r="N108">
        <v>9.3800000000000008</v>
      </c>
    </row>
    <row r="109" spans="1:14" x14ac:dyDescent="0.25">
      <c r="A109" s="1" t="s">
        <v>121</v>
      </c>
      <c r="B109" t="str">
        <f>HYPERLINK("https://www.suredividend.com/sure-analysis-research-database/","Amerant Bancorp Inc")</f>
        <v>Amerant Bancorp Inc</v>
      </c>
      <c r="C109" t="s">
        <v>1800</v>
      </c>
      <c r="D109">
        <v>23.2</v>
      </c>
      <c r="E109">
        <v>3.8793104989769999E-3</v>
      </c>
      <c r="F109" t="s">
        <v>1797</v>
      </c>
      <c r="G109" t="s">
        <v>1797</v>
      </c>
      <c r="H109">
        <v>9.0000003576278007E-2</v>
      </c>
      <c r="I109">
        <v>778.98394099999996</v>
      </c>
      <c r="J109">
        <v>11.39215169569605</v>
      </c>
      <c r="K109">
        <v>4.4334977131171439E-2</v>
      </c>
      <c r="L109">
        <v>1.3783689200244771</v>
      </c>
      <c r="M109">
        <v>29.46</v>
      </c>
      <c r="N109">
        <v>15.49</v>
      </c>
    </row>
    <row r="110" spans="1:14" x14ac:dyDescent="0.25">
      <c r="A110" s="1" t="s">
        <v>122</v>
      </c>
      <c r="B110" t="str">
        <f>HYPERLINK("https://www.suredividend.com/sure-analysis-research-database/","Aemetis Inc")</f>
        <v>Aemetis Inc</v>
      </c>
      <c r="C110" t="s">
        <v>1807</v>
      </c>
      <c r="D110">
        <v>3.92</v>
      </c>
      <c r="E110">
        <v>0</v>
      </c>
      <c r="F110" t="s">
        <v>1797</v>
      </c>
      <c r="G110" t="s">
        <v>1797</v>
      </c>
      <c r="H110">
        <v>0</v>
      </c>
      <c r="I110">
        <v>154.864563</v>
      </c>
      <c r="J110">
        <v>0</v>
      </c>
      <c r="K110" t="s">
        <v>1797</v>
      </c>
      <c r="L110">
        <v>2.919634971446865</v>
      </c>
      <c r="M110">
        <v>8.99</v>
      </c>
      <c r="N110">
        <v>1.1599999999999999</v>
      </c>
    </row>
    <row r="111" spans="1:14" x14ac:dyDescent="0.25">
      <c r="A111" s="1" t="s">
        <v>123</v>
      </c>
      <c r="B111" t="str">
        <f>HYPERLINK("https://www.suredividend.com/sure-analysis-research-database/","American Woodmark Corp.")</f>
        <v>American Woodmark Corp.</v>
      </c>
      <c r="C111" t="s">
        <v>1801</v>
      </c>
      <c r="D111">
        <v>90.6</v>
      </c>
      <c r="E111">
        <v>0</v>
      </c>
      <c r="F111" t="s">
        <v>1797</v>
      </c>
      <c r="G111" t="s">
        <v>1797</v>
      </c>
      <c r="H111">
        <v>0</v>
      </c>
      <c r="I111">
        <v>1487.707991</v>
      </c>
      <c r="J111">
        <v>13.15857058906775</v>
      </c>
      <c r="K111">
        <v>0</v>
      </c>
      <c r="L111">
        <v>1.5584617089326089</v>
      </c>
      <c r="M111">
        <v>94.75</v>
      </c>
      <c r="N111">
        <v>47.98</v>
      </c>
    </row>
    <row r="112" spans="1:14" x14ac:dyDescent="0.25">
      <c r="A112" s="1" t="s">
        <v>124</v>
      </c>
      <c r="B112" t="str">
        <f>HYPERLINK("https://www.suredividend.com/sure-analysis-research-database/","American Well Corporation")</f>
        <v>American Well Corporation</v>
      </c>
      <c r="C112" t="s">
        <v>1797</v>
      </c>
      <c r="D112">
        <v>1.1000000000000001</v>
      </c>
      <c r="E112">
        <v>0</v>
      </c>
      <c r="F112" t="s">
        <v>1797</v>
      </c>
      <c r="G112" t="s">
        <v>1797</v>
      </c>
      <c r="H112">
        <v>0</v>
      </c>
      <c r="I112">
        <v>280.08561200000003</v>
      </c>
      <c r="J112" t="s">
        <v>1797</v>
      </c>
      <c r="K112">
        <v>0</v>
      </c>
      <c r="L112">
        <v>2.26770489458969</v>
      </c>
      <c r="M112">
        <v>4.28</v>
      </c>
      <c r="N112">
        <v>0.92510000000000003</v>
      </c>
    </row>
    <row r="113" spans="1:14" x14ac:dyDescent="0.25">
      <c r="A113" s="1" t="s">
        <v>125</v>
      </c>
      <c r="B113" t="str">
        <f>HYPERLINK("https://www.suredividend.com/sure-analysis-research-database/","AnaptysBio Inc")</f>
        <v>AnaptysBio Inc</v>
      </c>
      <c r="C113" t="s">
        <v>1802</v>
      </c>
      <c r="D113">
        <v>23.16</v>
      </c>
      <c r="E113">
        <v>0</v>
      </c>
      <c r="F113" t="s">
        <v>1797</v>
      </c>
      <c r="G113" t="s">
        <v>1797</v>
      </c>
      <c r="H113">
        <v>0</v>
      </c>
      <c r="I113">
        <v>615.48112200000003</v>
      </c>
      <c r="J113" t="s">
        <v>1797</v>
      </c>
      <c r="K113">
        <v>0</v>
      </c>
      <c r="L113">
        <v>0.86585038101511902</v>
      </c>
      <c r="M113">
        <v>27.48</v>
      </c>
      <c r="N113">
        <v>13.36</v>
      </c>
    </row>
    <row r="114" spans="1:14" x14ac:dyDescent="0.25">
      <c r="A114" s="1" t="s">
        <v>126</v>
      </c>
      <c r="B114" t="str">
        <f>HYPERLINK("https://www.suredividend.com/sure-analysis-ANDE/","Andersons Inc.")</f>
        <v>Andersons Inc.</v>
      </c>
      <c r="C114" t="s">
        <v>1804</v>
      </c>
      <c r="D114">
        <v>52.5</v>
      </c>
      <c r="E114">
        <v>1.4476190476190479E-2</v>
      </c>
      <c r="F114">
        <v>2.702702702702697E-2</v>
      </c>
      <c r="G114">
        <v>2.2494394759551509E-2</v>
      </c>
      <c r="H114">
        <v>0.73732807247739707</v>
      </c>
      <c r="I114">
        <v>1771.9968530000001</v>
      </c>
      <c r="J114">
        <v>30.019598368570851</v>
      </c>
      <c r="K114">
        <v>0.42620119796381328</v>
      </c>
      <c r="L114">
        <v>0.95577723897558409</v>
      </c>
      <c r="M114">
        <v>58.58</v>
      </c>
      <c r="N114">
        <v>34.31</v>
      </c>
    </row>
    <row r="115" spans="1:14" x14ac:dyDescent="0.25">
      <c r="A115" s="1" t="s">
        <v>127</v>
      </c>
      <c r="B115" t="str">
        <f>HYPERLINK("https://www.suredividend.com/sure-analysis-research-database/","Abercrombie &amp; Fitch Co.")</f>
        <v>Abercrombie &amp; Fitch Co.</v>
      </c>
      <c r="C115" t="s">
        <v>1801</v>
      </c>
      <c r="D115">
        <v>96.79</v>
      </c>
      <c r="E115">
        <v>0</v>
      </c>
      <c r="F115" t="s">
        <v>1797</v>
      </c>
      <c r="G115" t="s">
        <v>1797</v>
      </c>
      <c r="H115">
        <v>0</v>
      </c>
      <c r="I115">
        <v>4878.7500870000003</v>
      </c>
      <c r="J115">
        <v>23.454514406684329</v>
      </c>
      <c r="K115">
        <v>0</v>
      </c>
      <c r="L115">
        <v>1.2028710129703799</v>
      </c>
      <c r="M115">
        <v>99.49</v>
      </c>
      <c r="N115">
        <v>21.74</v>
      </c>
    </row>
    <row r="116" spans="1:14" x14ac:dyDescent="0.25">
      <c r="A116" s="1" t="s">
        <v>128</v>
      </c>
      <c r="B116" t="str">
        <f>HYPERLINK("https://www.suredividend.com/sure-analysis-research-database/","Angiodynamic Inc")</f>
        <v>Angiodynamic Inc</v>
      </c>
      <c r="C116" t="s">
        <v>1802</v>
      </c>
      <c r="D116">
        <v>6</v>
      </c>
      <c r="E116">
        <v>0</v>
      </c>
      <c r="F116" t="s">
        <v>1797</v>
      </c>
      <c r="G116" t="s">
        <v>1797</v>
      </c>
      <c r="H116">
        <v>0</v>
      </c>
      <c r="I116">
        <v>239.131146</v>
      </c>
      <c r="J116" t="s">
        <v>1797</v>
      </c>
      <c r="K116">
        <v>0</v>
      </c>
      <c r="L116">
        <v>0.9793574049764121</v>
      </c>
      <c r="M116">
        <v>14.08</v>
      </c>
      <c r="N116">
        <v>5.72</v>
      </c>
    </row>
    <row r="117" spans="1:14" x14ac:dyDescent="0.25">
      <c r="A117" s="1" t="s">
        <v>129</v>
      </c>
      <c r="B117" t="str">
        <f>HYPERLINK("https://www.suredividend.com/sure-analysis-research-database/","Anika Therapeutics Inc.")</f>
        <v>Anika Therapeutics Inc.</v>
      </c>
      <c r="C117" t="s">
        <v>1802</v>
      </c>
      <c r="D117">
        <v>22.38</v>
      </c>
      <c r="E117">
        <v>0</v>
      </c>
      <c r="F117" t="s">
        <v>1797</v>
      </c>
      <c r="G117" t="s">
        <v>1797</v>
      </c>
      <c r="H117">
        <v>0</v>
      </c>
      <c r="I117">
        <v>327.66302899999999</v>
      </c>
      <c r="J117" t="s">
        <v>1797</v>
      </c>
      <c r="K117">
        <v>0</v>
      </c>
      <c r="L117">
        <v>0.86989343709144107</v>
      </c>
      <c r="M117">
        <v>32.33</v>
      </c>
      <c r="N117">
        <v>16.54</v>
      </c>
    </row>
    <row r="118" spans="1:14" x14ac:dyDescent="0.25">
      <c r="A118" s="1" t="s">
        <v>130</v>
      </c>
      <c r="B118" t="str">
        <f>HYPERLINK("https://www.suredividend.com/sure-analysis-research-database/","ANI Pharmaceuticals Inc")</f>
        <v>ANI Pharmaceuticals Inc</v>
      </c>
      <c r="C118" t="s">
        <v>1802</v>
      </c>
      <c r="D118">
        <v>56.74</v>
      </c>
      <c r="E118">
        <v>0</v>
      </c>
      <c r="F118" t="s">
        <v>1797</v>
      </c>
      <c r="G118" t="s">
        <v>1797</v>
      </c>
      <c r="H118">
        <v>0</v>
      </c>
      <c r="I118">
        <v>1159.0099929999999</v>
      </c>
      <c r="J118">
        <v>104.8593136180223</v>
      </c>
      <c r="K118">
        <v>0</v>
      </c>
      <c r="L118">
        <v>0.74084827113952101</v>
      </c>
      <c r="M118">
        <v>65.89</v>
      </c>
      <c r="N118">
        <v>36.54</v>
      </c>
    </row>
    <row r="119" spans="1:14" x14ac:dyDescent="0.25">
      <c r="A119" s="1" t="s">
        <v>131</v>
      </c>
      <c r="B119" t="str">
        <f>HYPERLINK("https://www.suredividend.com/sure-analysis-research-database/","AN2 Therapeutics Inc")</f>
        <v>AN2 Therapeutics Inc</v>
      </c>
      <c r="C119" t="s">
        <v>1797</v>
      </c>
      <c r="D119">
        <v>20.88</v>
      </c>
      <c r="E119">
        <v>0</v>
      </c>
      <c r="F119" t="s">
        <v>1797</v>
      </c>
      <c r="G119" t="s">
        <v>1797</v>
      </c>
      <c r="H119">
        <v>0</v>
      </c>
      <c r="I119">
        <v>621.00137199999995</v>
      </c>
      <c r="J119">
        <v>0</v>
      </c>
      <c r="K119" t="s">
        <v>1797</v>
      </c>
      <c r="L119">
        <v>0.58262121277081502</v>
      </c>
      <c r="M119">
        <v>22.22</v>
      </c>
      <c r="N119">
        <v>4.87</v>
      </c>
    </row>
    <row r="120" spans="1:14" x14ac:dyDescent="0.25">
      <c r="A120" s="1" t="s">
        <v>132</v>
      </c>
      <c r="B120" t="str">
        <f>HYPERLINK("https://www.suredividend.com/sure-analysis-research-database/","Angel Oak Mortgage REIT Inc")</f>
        <v>Angel Oak Mortgage REIT Inc</v>
      </c>
      <c r="C120" t="s">
        <v>1797</v>
      </c>
      <c r="D120">
        <v>10.4</v>
      </c>
      <c r="E120">
        <v>0.11714392699472501</v>
      </c>
      <c r="F120" t="s">
        <v>1797</v>
      </c>
      <c r="G120" t="s">
        <v>1797</v>
      </c>
      <c r="H120">
        <v>1.218296840745146</v>
      </c>
      <c r="I120">
        <v>259.63884999999999</v>
      </c>
      <c r="J120" t="s">
        <v>1797</v>
      </c>
      <c r="K120" t="s">
        <v>1797</v>
      </c>
      <c r="L120">
        <v>1.0248533785501019</v>
      </c>
      <c r="M120">
        <v>11.2</v>
      </c>
      <c r="N120">
        <v>5.17</v>
      </c>
    </row>
    <row r="121" spans="1:14" x14ac:dyDescent="0.25">
      <c r="A121" s="1" t="s">
        <v>133</v>
      </c>
      <c r="B121" t="str">
        <f>HYPERLINK("https://www.suredividend.com/sure-analysis-research-database/","Artivion Inc")</f>
        <v>Artivion Inc</v>
      </c>
      <c r="C121" t="s">
        <v>1797</v>
      </c>
      <c r="D121">
        <v>18.350000000000001</v>
      </c>
      <c r="E121">
        <v>0</v>
      </c>
      <c r="F121" t="s">
        <v>1797</v>
      </c>
      <c r="G121" t="s">
        <v>1797</v>
      </c>
      <c r="H121">
        <v>0</v>
      </c>
      <c r="I121">
        <v>752.35</v>
      </c>
      <c r="J121" t="s">
        <v>1797</v>
      </c>
      <c r="K121">
        <v>0</v>
      </c>
      <c r="L121">
        <v>1.6352839014947129</v>
      </c>
      <c r="M121">
        <v>19</v>
      </c>
      <c r="N121">
        <v>11.44</v>
      </c>
    </row>
    <row r="122" spans="1:14" x14ac:dyDescent="0.25">
      <c r="A122" s="1" t="s">
        <v>134</v>
      </c>
      <c r="B122" t="str">
        <f>HYPERLINK("https://www.suredividend.com/sure-analysis-research-database/","Alpha &amp; Omega Semiconductor Ltd")</f>
        <v>Alpha &amp; Omega Semiconductor Ltd</v>
      </c>
      <c r="C122" t="s">
        <v>1803</v>
      </c>
      <c r="D122">
        <v>26.43</v>
      </c>
      <c r="E122">
        <v>0</v>
      </c>
      <c r="F122" t="s">
        <v>1797</v>
      </c>
      <c r="G122" t="s">
        <v>1797</v>
      </c>
      <c r="H122">
        <v>0</v>
      </c>
      <c r="I122">
        <v>734.34488999999996</v>
      </c>
      <c r="J122" t="s">
        <v>1797</v>
      </c>
      <c r="K122">
        <v>0</v>
      </c>
      <c r="L122">
        <v>1.696226505923863</v>
      </c>
      <c r="M122">
        <v>38.869999999999997</v>
      </c>
      <c r="N122">
        <v>20.03</v>
      </c>
    </row>
    <row r="123" spans="1:14" x14ac:dyDescent="0.25">
      <c r="A123" s="1" t="s">
        <v>135</v>
      </c>
      <c r="B123" t="str">
        <f>HYPERLINK("https://www.suredividend.com/sure-analysis-APAM/","Artisan Partners Asset Management Inc")</f>
        <v>Artisan Partners Asset Management Inc</v>
      </c>
      <c r="C123" t="s">
        <v>1800</v>
      </c>
      <c r="D123">
        <v>42.3</v>
      </c>
      <c r="E123">
        <v>6.1465721040189131E-2</v>
      </c>
      <c r="F123">
        <v>0.18181818181818171</v>
      </c>
      <c r="G123">
        <v>-8.9834921848195304E-3</v>
      </c>
      <c r="H123">
        <v>2.256562511178648</v>
      </c>
      <c r="I123">
        <v>2896.6780279999998</v>
      </c>
      <c r="J123">
        <v>15.104014077442089</v>
      </c>
      <c r="K123">
        <v>0.74474010269922386</v>
      </c>
      <c r="L123">
        <v>1.3850532071049539</v>
      </c>
      <c r="M123">
        <v>45.92</v>
      </c>
      <c r="N123">
        <v>27.59</v>
      </c>
    </row>
    <row r="124" spans="1:14" x14ac:dyDescent="0.25">
      <c r="A124" s="1" t="s">
        <v>136</v>
      </c>
      <c r="B124" t="str">
        <f>HYPERLINK("https://www.suredividend.com/sure-analysis-research-database/","American Public Education Inc")</f>
        <v>American Public Education Inc</v>
      </c>
      <c r="C124" t="s">
        <v>1804</v>
      </c>
      <c r="D124">
        <v>11.57</v>
      </c>
      <c r="E124">
        <v>0</v>
      </c>
      <c r="F124" t="s">
        <v>1797</v>
      </c>
      <c r="G124" t="s">
        <v>1797</v>
      </c>
      <c r="H124">
        <v>0</v>
      </c>
      <c r="I124">
        <v>205.756426</v>
      </c>
      <c r="J124" t="s">
        <v>1797</v>
      </c>
      <c r="K124">
        <v>0</v>
      </c>
      <c r="L124">
        <v>1.337362634843716</v>
      </c>
      <c r="M124">
        <v>13.51</v>
      </c>
      <c r="N124">
        <v>3.76</v>
      </c>
    </row>
    <row r="125" spans="1:14" x14ac:dyDescent="0.25">
      <c r="A125" s="1" t="s">
        <v>137</v>
      </c>
      <c r="B125" t="str">
        <f>HYPERLINK("https://www.suredividend.com/sure-analysis-research-database/","APi Group Corporation")</f>
        <v>APi Group Corporation</v>
      </c>
      <c r="C125" t="s">
        <v>1797</v>
      </c>
      <c r="D125">
        <v>31.51</v>
      </c>
      <c r="E125">
        <v>0</v>
      </c>
      <c r="F125" t="s">
        <v>1797</v>
      </c>
      <c r="G125" t="s">
        <v>1797</v>
      </c>
      <c r="H125">
        <v>0</v>
      </c>
      <c r="I125">
        <v>7422.4694470000004</v>
      </c>
      <c r="J125">
        <v>70.023296666981139</v>
      </c>
      <c r="K125">
        <v>0</v>
      </c>
      <c r="L125">
        <v>1.3380989309523781</v>
      </c>
      <c r="M125">
        <v>34.92</v>
      </c>
      <c r="N125">
        <v>19.260000000000002</v>
      </c>
    </row>
    <row r="126" spans="1:14" x14ac:dyDescent="0.25">
      <c r="A126" s="1" t="s">
        <v>138</v>
      </c>
      <c r="B126" t="str">
        <f>HYPERLINK("https://www.suredividend.com/sure-analysis-research-database/","Applied Digital Corporation")</f>
        <v>Applied Digital Corporation</v>
      </c>
      <c r="C126" t="s">
        <v>1798</v>
      </c>
      <c r="D126">
        <v>7.49</v>
      </c>
      <c r="E126">
        <v>0</v>
      </c>
      <c r="F126" t="s">
        <v>1797</v>
      </c>
      <c r="G126" t="s">
        <v>1797</v>
      </c>
      <c r="H126">
        <v>0</v>
      </c>
      <c r="I126">
        <v>796.18883500000004</v>
      </c>
      <c r="J126" t="s">
        <v>1797</v>
      </c>
      <c r="K126">
        <v>0</v>
      </c>
      <c r="L126">
        <v>2.187945197543212</v>
      </c>
      <c r="M126">
        <v>11.62</v>
      </c>
      <c r="N126">
        <v>1.74</v>
      </c>
    </row>
    <row r="127" spans="1:14" x14ac:dyDescent="0.25">
      <c r="A127" s="1" t="s">
        <v>139</v>
      </c>
      <c r="B127" t="str">
        <f>HYPERLINK("https://www.suredividend.com/sure-analysis-APLE/","Apple Hospitality REIT Inc")</f>
        <v>Apple Hospitality REIT Inc</v>
      </c>
      <c r="C127" t="s">
        <v>1799</v>
      </c>
      <c r="D127">
        <v>16.46</v>
      </c>
      <c r="E127">
        <v>5.8323207776427688E-2</v>
      </c>
      <c r="F127">
        <v>-0.375</v>
      </c>
      <c r="G127">
        <v>0</v>
      </c>
      <c r="H127">
        <v>0.93330206750704003</v>
      </c>
      <c r="I127">
        <v>3766.166545</v>
      </c>
      <c r="J127">
        <v>23.681220257803261</v>
      </c>
      <c r="K127">
        <v>1.344040995833871</v>
      </c>
      <c r="L127">
        <v>1.0885995659190719</v>
      </c>
      <c r="M127">
        <v>17.82</v>
      </c>
      <c r="N127">
        <v>12.96</v>
      </c>
    </row>
    <row r="128" spans="1:14" x14ac:dyDescent="0.25">
      <c r="A128" s="1" t="s">
        <v>140</v>
      </c>
      <c r="B128" t="str">
        <f>HYPERLINK("https://www.suredividend.com/sure-analysis-research-database/","Apellis Pharmaceuticals Inc")</f>
        <v>Apellis Pharmaceuticals Inc</v>
      </c>
      <c r="C128" t="s">
        <v>1802</v>
      </c>
      <c r="D128">
        <v>70.23</v>
      </c>
      <c r="E128">
        <v>0</v>
      </c>
      <c r="F128" t="s">
        <v>1797</v>
      </c>
      <c r="G128" t="s">
        <v>1797</v>
      </c>
      <c r="H128">
        <v>0</v>
      </c>
      <c r="I128">
        <v>8322.2511369999993</v>
      </c>
      <c r="J128">
        <v>0</v>
      </c>
      <c r="K128" t="s">
        <v>1797</v>
      </c>
      <c r="L128">
        <v>0.88629261098948509</v>
      </c>
      <c r="M128">
        <v>94.75</v>
      </c>
      <c r="N128">
        <v>19.829999999999998</v>
      </c>
    </row>
    <row r="129" spans="1:14" x14ac:dyDescent="0.25">
      <c r="A129" s="1" t="s">
        <v>141</v>
      </c>
      <c r="B129" t="str">
        <f>HYPERLINK("https://www.suredividend.com/sure-analysis-APOG/","Apogee Enterprises Inc.")</f>
        <v>Apogee Enterprises Inc.</v>
      </c>
      <c r="C129" t="s">
        <v>1798</v>
      </c>
      <c r="D129">
        <v>53.01</v>
      </c>
      <c r="E129">
        <v>1.886436521411055E-2</v>
      </c>
      <c r="F129">
        <v>9.0909090909090828E-2</v>
      </c>
      <c r="G129">
        <v>6.5208537533447908E-2</v>
      </c>
      <c r="H129">
        <v>0.94659898103131812</v>
      </c>
      <c r="I129">
        <v>1170.731045</v>
      </c>
      <c r="J129">
        <v>11.24632364364691</v>
      </c>
      <c r="K129">
        <v>0.20183347143524899</v>
      </c>
      <c r="L129">
        <v>1.0701767388556691</v>
      </c>
      <c r="M129">
        <v>55.13</v>
      </c>
      <c r="N129">
        <v>36.020000000000003</v>
      </c>
    </row>
    <row r="130" spans="1:14" x14ac:dyDescent="0.25">
      <c r="A130" s="1" t="s">
        <v>142</v>
      </c>
      <c r="B130" t="str">
        <f>HYPERLINK("https://www.suredividend.com/sure-analysis-research-database/","Appfolio Inc")</f>
        <v>Appfolio Inc</v>
      </c>
      <c r="C130" t="s">
        <v>1803</v>
      </c>
      <c r="D130">
        <v>181.08</v>
      </c>
      <c r="E130">
        <v>0</v>
      </c>
      <c r="F130" t="s">
        <v>1797</v>
      </c>
      <c r="G130" t="s">
        <v>1797</v>
      </c>
      <c r="H130">
        <v>0</v>
      </c>
      <c r="I130">
        <v>3911.328</v>
      </c>
      <c r="J130" t="s">
        <v>1797</v>
      </c>
      <c r="K130">
        <v>0</v>
      </c>
      <c r="L130">
        <v>1.3859506625942679</v>
      </c>
      <c r="M130">
        <v>211.41</v>
      </c>
      <c r="N130">
        <v>102.85</v>
      </c>
    </row>
    <row r="131" spans="1:14" x14ac:dyDescent="0.25">
      <c r="A131" s="1" t="s">
        <v>143</v>
      </c>
      <c r="B131" t="str">
        <f>HYPERLINK("https://www.suredividend.com/sure-analysis-research-database/","AppHarvest Inc")</f>
        <v>AppHarvest Inc</v>
      </c>
      <c r="C131" t="s">
        <v>1797</v>
      </c>
      <c r="D131">
        <v>6.6600000000000006E-2</v>
      </c>
      <c r="E131">
        <v>0</v>
      </c>
      <c r="F131" t="s">
        <v>1797</v>
      </c>
      <c r="G131" t="s">
        <v>1797</v>
      </c>
      <c r="H131">
        <v>0</v>
      </c>
      <c r="I131">
        <v>0</v>
      </c>
      <c r="J131">
        <v>0</v>
      </c>
      <c r="K131" t="s">
        <v>1797</v>
      </c>
    </row>
    <row r="132" spans="1:14" x14ac:dyDescent="0.25">
      <c r="A132" s="1" t="s">
        <v>144</v>
      </c>
      <c r="B132" t="str">
        <f>HYPERLINK("https://www.suredividend.com/sure-analysis-research-database/","Appian Corp")</f>
        <v>Appian Corp</v>
      </c>
      <c r="C132" t="s">
        <v>1803</v>
      </c>
      <c r="D132">
        <v>33.71</v>
      </c>
      <c r="E132">
        <v>0</v>
      </c>
      <c r="F132" t="s">
        <v>1797</v>
      </c>
      <c r="G132" t="s">
        <v>1797</v>
      </c>
      <c r="H132">
        <v>0</v>
      </c>
      <c r="I132">
        <v>1406.742066</v>
      </c>
      <c r="J132" t="s">
        <v>1797</v>
      </c>
      <c r="K132">
        <v>0</v>
      </c>
      <c r="L132">
        <v>2.1417636177134258</v>
      </c>
      <c r="M132">
        <v>54.26</v>
      </c>
      <c r="N132">
        <v>32.82</v>
      </c>
    </row>
    <row r="133" spans="1:14" x14ac:dyDescent="0.25">
      <c r="A133" s="1" t="s">
        <v>145</v>
      </c>
      <c r="B133" t="str">
        <f>HYPERLINK("https://www.suredividend.com/sure-analysis-research-database/","Digital Turbine Inc")</f>
        <v>Digital Turbine Inc</v>
      </c>
      <c r="C133" t="s">
        <v>1803</v>
      </c>
      <c r="D133">
        <v>5.88</v>
      </c>
      <c r="E133">
        <v>0</v>
      </c>
      <c r="F133" t="s">
        <v>1797</v>
      </c>
      <c r="G133" t="s">
        <v>1797</v>
      </c>
      <c r="H133">
        <v>0</v>
      </c>
      <c r="I133">
        <v>595.68874100000005</v>
      </c>
      <c r="J133" t="s">
        <v>1797</v>
      </c>
      <c r="K133">
        <v>0</v>
      </c>
      <c r="L133">
        <v>2.579085770733585</v>
      </c>
      <c r="M133">
        <v>18.77</v>
      </c>
      <c r="N133">
        <v>4.0999999999999996</v>
      </c>
    </row>
    <row r="134" spans="1:14" x14ac:dyDescent="0.25">
      <c r="A134" s="1" t="s">
        <v>146</v>
      </c>
      <c r="B134" t="str">
        <f>HYPERLINK("https://www.suredividend.com/sure-analysis-research-database/","ArcBest Corp")</f>
        <v>ArcBest Corp</v>
      </c>
      <c r="C134" t="s">
        <v>1798</v>
      </c>
      <c r="D134">
        <v>117.95</v>
      </c>
      <c r="E134">
        <v>4.0562314069010003E-3</v>
      </c>
      <c r="F134">
        <v>0</v>
      </c>
      <c r="G134">
        <v>8.4471771197698553E-2</v>
      </c>
      <c r="H134">
        <v>0.47843249444401598</v>
      </c>
      <c r="I134">
        <v>2795.415</v>
      </c>
      <c r="J134">
        <v>15.194124361343629</v>
      </c>
      <c r="K134">
        <v>6.4653039789731886E-2</v>
      </c>
      <c r="L134">
        <v>1.458726136026729</v>
      </c>
      <c r="M134">
        <v>125.48</v>
      </c>
      <c r="N134">
        <v>74.150000000000006</v>
      </c>
    </row>
    <row r="135" spans="1:14" x14ac:dyDescent="0.25">
      <c r="A135" s="1" t="s">
        <v>147</v>
      </c>
      <c r="B135" t="str">
        <f>HYPERLINK("https://www.suredividend.com/sure-analysis-research-database/","Arch Resources Inc")</f>
        <v>Arch Resources Inc</v>
      </c>
      <c r="C135" t="s">
        <v>1807</v>
      </c>
      <c r="D135">
        <v>170.54</v>
      </c>
      <c r="E135">
        <v>6.2405158151266002E-2</v>
      </c>
      <c r="F135">
        <v>0</v>
      </c>
      <c r="G135">
        <v>-0.1109104638678</v>
      </c>
      <c r="H135">
        <v>10.642575671116999</v>
      </c>
      <c r="I135">
        <v>3132.6492600000001</v>
      </c>
      <c r="J135">
        <v>3.8220565283593451</v>
      </c>
      <c r="K135">
        <v>0.253394658836119</v>
      </c>
      <c r="L135">
        <v>0.56817338598948708</v>
      </c>
      <c r="M135">
        <v>178.22</v>
      </c>
      <c r="N135">
        <v>102.23</v>
      </c>
    </row>
    <row r="136" spans="1:14" x14ac:dyDescent="0.25">
      <c r="A136" s="1" t="s">
        <v>148</v>
      </c>
      <c r="B136" t="str">
        <f>HYPERLINK("https://www.suredividend.com/sure-analysis-research-database/","Arcturus Therapeutics Holdings Inc")</f>
        <v>Arcturus Therapeutics Holdings Inc</v>
      </c>
      <c r="C136" t="s">
        <v>1802</v>
      </c>
      <c r="D136">
        <v>33.15</v>
      </c>
      <c r="E136">
        <v>0</v>
      </c>
      <c r="F136" t="s">
        <v>1797</v>
      </c>
      <c r="G136" t="s">
        <v>1797</v>
      </c>
      <c r="H136">
        <v>0</v>
      </c>
      <c r="I136">
        <v>885.87845600000003</v>
      </c>
      <c r="J136">
        <v>8.9186285556081302</v>
      </c>
      <c r="K136">
        <v>0</v>
      </c>
      <c r="L136">
        <v>2.0157014192987979</v>
      </c>
      <c r="M136">
        <v>37.75</v>
      </c>
      <c r="N136">
        <v>14.21</v>
      </c>
    </row>
    <row r="137" spans="1:14" x14ac:dyDescent="0.25">
      <c r="A137" s="1" t="s">
        <v>149</v>
      </c>
      <c r="B137" t="str">
        <f>HYPERLINK("https://www.suredividend.com/sure-analysis-research-database/","Arena Group Holdings Inc (The)")</f>
        <v>Arena Group Holdings Inc (The)</v>
      </c>
      <c r="C137" t="s">
        <v>1797</v>
      </c>
      <c r="D137">
        <v>1.31</v>
      </c>
      <c r="E137">
        <v>0</v>
      </c>
      <c r="F137" t="s">
        <v>1797</v>
      </c>
      <c r="G137" t="s">
        <v>1797</v>
      </c>
      <c r="H137">
        <v>0</v>
      </c>
      <c r="I137">
        <v>31.223707000000001</v>
      </c>
      <c r="J137">
        <v>0</v>
      </c>
      <c r="K137" t="s">
        <v>1797</v>
      </c>
      <c r="L137">
        <v>0.49892657082695502</v>
      </c>
      <c r="M137">
        <v>11.18</v>
      </c>
      <c r="N137">
        <v>1.3</v>
      </c>
    </row>
    <row r="138" spans="1:14" x14ac:dyDescent="0.25">
      <c r="A138" s="1" t="s">
        <v>150</v>
      </c>
      <c r="B138" t="str">
        <f>HYPERLINK("https://www.suredividend.com/sure-analysis-research-database/","Argo Group International Holdings Ltd")</f>
        <v>Argo Group International Holdings Ltd</v>
      </c>
      <c r="C138" t="s">
        <v>1800</v>
      </c>
      <c r="D138">
        <v>29.99</v>
      </c>
      <c r="E138">
        <v>1.0336779005808001E-2</v>
      </c>
      <c r="F138" t="s">
        <v>1797</v>
      </c>
      <c r="G138" t="s">
        <v>1797</v>
      </c>
      <c r="H138">
        <v>0.31000000238418501</v>
      </c>
      <c r="I138">
        <v>1056.113355</v>
      </c>
      <c r="J138" t="s">
        <v>1797</v>
      </c>
      <c r="K138" t="s">
        <v>1797</v>
      </c>
      <c r="M138">
        <v>30.13</v>
      </c>
      <c r="N138">
        <v>24.35</v>
      </c>
    </row>
    <row r="139" spans="1:14" x14ac:dyDescent="0.25">
      <c r="A139" s="1" t="s">
        <v>151</v>
      </c>
      <c r="B139" t="str">
        <f>HYPERLINK("https://www.suredividend.com/sure-analysis-ARI/","Apollo Commercial Real Estate Finance Inc")</f>
        <v>Apollo Commercial Real Estate Finance Inc</v>
      </c>
      <c r="C139" t="s">
        <v>1799</v>
      </c>
      <c r="D139">
        <v>11.71</v>
      </c>
      <c r="E139">
        <v>0.1195559350982066</v>
      </c>
      <c r="F139">
        <v>0</v>
      </c>
      <c r="G139">
        <v>-5.3191730288527077E-2</v>
      </c>
      <c r="H139">
        <v>1.3377035194673721</v>
      </c>
      <c r="I139">
        <v>1655.3092650000001</v>
      </c>
      <c r="J139" t="s">
        <v>1797</v>
      </c>
      <c r="K139" t="s">
        <v>1797</v>
      </c>
      <c r="L139">
        <v>1.6367832614993829</v>
      </c>
      <c r="M139">
        <v>12.39</v>
      </c>
      <c r="N139">
        <v>7.63</v>
      </c>
    </row>
    <row r="140" spans="1:14" x14ac:dyDescent="0.25">
      <c r="A140" s="1" t="s">
        <v>152</v>
      </c>
      <c r="B140" t="str">
        <f>HYPERLINK("https://www.suredividend.com/sure-analysis-research-database/","Aris Water Solutions Inc")</f>
        <v>Aris Water Solutions Inc</v>
      </c>
      <c r="C140" t="s">
        <v>1797</v>
      </c>
      <c r="D140">
        <v>8.07</v>
      </c>
      <c r="E140">
        <v>4.3918576112072012E-2</v>
      </c>
      <c r="F140" t="s">
        <v>1797</v>
      </c>
      <c r="G140" t="s">
        <v>1797</v>
      </c>
      <c r="H140">
        <v>0.35442290922442199</v>
      </c>
      <c r="I140">
        <v>243.30185700000001</v>
      </c>
      <c r="J140">
        <v>15.883395810810811</v>
      </c>
      <c r="K140">
        <v>0.68315903859757521</v>
      </c>
      <c r="L140">
        <v>1.4762915529776319</v>
      </c>
      <c r="M140">
        <v>16.18</v>
      </c>
      <c r="N140">
        <v>6.49</v>
      </c>
    </row>
    <row r="141" spans="1:14" x14ac:dyDescent="0.25">
      <c r="A141" s="1" t="s">
        <v>153</v>
      </c>
      <c r="B141" t="str">
        <f>HYPERLINK("https://www.suredividend.com/sure-analysis-research-database/","ARKO Corp")</f>
        <v>ARKO Corp</v>
      </c>
      <c r="C141" t="s">
        <v>1797</v>
      </c>
      <c r="D141">
        <v>8.0299999999999994</v>
      </c>
      <c r="E141">
        <v>1.4783405559358E-2</v>
      </c>
      <c r="F141" t="s">
        <v>1797</v>
      </c>
      <c r="G141" t="s">
        <v>1797</v>
      </c>
      <c r="H141">
        <v>0.118710746641648</v>
      </c>
      <c r="I141">
        <v>937.977892</v>
      </c>
      <c r="J141">
        <v>0</v>
      </c>
      <c r="K141" t="s">
        <v>1797</v>
      </c>
      <c r="L141">
        <v>0.69609924460866901</v>
      </c>
      <c r="M141">
        <v>8.92</v>
      </c>
      <c r="N141">
        <v>6.57</v>
      </c>
    </row>
    <row r="142" spans="1:14" x14ac:dyDescent="0.25">
      <c r="A142" s="1" t="s">
        <v>154</v>
      </c>
      <c r="B142" t="str">
        <f>HYPERLINK("https://www.suredividend.com/sure-analysis-research-database/","American Realty Investors Inc.")</f>
        <v>American Realty Investors Inc.</v>
      </c>
      <c r="C142" t="s">
        <v>1799</v>
      </c>
      <c r="D142">
        <v>21.1</v>
      </c>
      <c r="E142">
        <v>0</v>
      </c>
      <c r="F142" t="s">
        <v>1797</v>
      </c>
      <c r="G142" t="s">
        <v>1797</v>
      </c>
      <c r="H142">
        <v>0</v>
      </c>
      <c r="I142">
        <v>340.80810700000001</v>
      </c>
      <c r="J142">
        <v>6.8815367450782441</v>
      </c>
      <c r="K142">
        <v>0</v>
      </c>
      <c r="L142">
        <v>0.44529561478521701</v>
      </c>
      <c r="M142">
        <v>31.59</v>
      </c>
      <c r="N142">
        <v>11.69</v>
      </c>
    </row>
    <row r="143" spans="1:14" x14ac:dyDescent="0.25">
      <c r="A143" s="1" t="s">
        <v>155</v>
      </c>
      <c r="B143" t="str">
        <f>HYPERLINK("https://www.suredividend.com/sure-analysis-research-database/","Arlo Technologies Inc")</f>
        <v>Arlo Technologies Inc</v>
      </c>
      <c r="C143" t="s">
        <v>1798</v>
      </c>
      <c r="D143">
        <v>8.94</v>
      </c>
      <c r="E143">
        <v>0</v>
      </c>
      <c r="F143" t="s">
        <v>1797</v>
      </c>
      <c r="G143" t="s">
        <v>1797</v>
      </c>
      <c r="H143">
        <v>0</v>
      </c>
      <c r="I143">
        <v>845.97974699999997</v>
      </c>
      <c r="J143" t="s">
        <v>1797</v>
      </c>
      <c r="K143">
        <v>0</v>
      </c>
      <c r="L143">
        <v>1.6564945589806099</v>
      </c>
      <c r="M143">
        <v>11.54</v>
      </c>
      <c r="N143">
        <v>3.37</v>
      </c>
    </row>
    <row r="144" spans="1:14" x14ac:dyDescent="0.25">
      <c r="A144" s="1" t="s">
        <v>156</v>
      </c>
      <c r="B144" t="str">
        <f>HYPERLINK("https://www.suredividend.com/sure-analysis-research-database/","Arconic Corporation")</f>
        <v>Arconic Corporation</v>
      </c>
      <c r="C144" t="s">
        <v>1798</v>
      </c>
      <c r="D144">
        <v>29.99</v>
      </c>
      <c r="E144">
        <v>0</v>
      </c>
      <c r="F144" t="s">
        <v>1797</v>
      </c>
      <c r="G144" t="s">
        <v>1797</v>
      </c>
      <c r="H144">
        <v>0</v>
      </c>
      <c r="I144">
        <v>3009.3904550000002</v>
      </c>
      <c r="J144" t="s">
        <v>1797</v>
      </c>
      <c r="K144">
        <v>0</v>
      </c>
      <c r="L144">
        <v>1.237765426568983</v>
      </c>
      <c r="M144">
        <v>30.02</v>
      </c>
      <c r="N144">
        <v>16.329999999999998</v>
      </c>
    </row>
    <row r="145" spans="1:14" x14ac:dyDescent="0.25">
      <c r="A145" s="1" t="s">
        <v>157</v>
      </c>
      <c r="B145" t="str">
        <f>HYPERLINK("https://www.suredividend.com/sure-analysis-research-database/","Archrock Inc")</f>
        <v>Archrock Inc</v>
      </c>
      <c r="C145" t="s">
        <v>1807</v>
      </c>
      <c r="D145">
        <v>14.65</v>
      </c>
      <c r="E145">
        <v>4.0904765997539998E-2</v>
      </c>
      <c r="F145">
        <v>6.8965517241379448E-2</v>
      </c>
      <c r="G145">
        <v>3.2646205137032647E-2</v>
      </c>
      <c r="H145">
        <v>0.59925482186397405</v>
      </c>
      <c r="I145">
        <v>2286.2495680000002</v>
      </c>
      <c r="J145">
        <v>28.216594485035479</v>
      </c>
      <c r="K145">
        <v>1.141003088088298</v>
      </c>
      <c r="L145">
        <v>0.9757940883563041</v>
      </c>
      <c r="M145">
        <v>16.04</v>
      </c>
      <c r="N145">
        <v>8.4499999999999993</v>
      </c>
    </row>
    <row r="146" spans="1:14" x14ac:dyDescent="0.25">
      <c r="A146" s="1" t="s">
        <v>158</v>
      </c>
      <c r="B146" t="str">
        <f>HYPERLINK("https://www.suredividend.com/sure-analysis-AROW/","Arrow Financial Corp.")</f>
        <v>Arrow Financial Corp.</v>
      </c>
      <c r="C146" t="s">
        <v>1800</v>
      </c>
      <c r="D146">
        <v>26.12</v>
      </c>
      <c r="E146">
        <v>4.1347626339969371E-2</v>
      </c>
      <c r="F146">
        <v>0</v>
      </c>
      <c r="G146">
        <v>7.5766240521741857E-3</v>
      </c>
      <c r="H146">
        <v>1.0244910263446789</v>
      </c>
      <c r="I146">
        <v>445.48354799999998</v>
      </c>
      <c r="J146">
        <v>12.935437960451811</v>
      </c>
      <c r="K146">
        <v>0.49732574094401888</v>
      </c>
      <c r="L146">
        <v>0.9962165104952081</v>
      </c>
      <c r="M146">
        <v>30.35</v>
      </c>
      <c r="N146">
        <v>15.79</v>
      </c>
    </row>
    <row r="147" spans="1:14" x14ac:dyDescent="0.25">
      <c r="A147" s="1" t="s">
        <v>159</v>
      </c>
      <c r="B147" t="str">
        <f>HYPERLINK("https://www.suredividend.com/sure-analysis-research-database/","Arcutis Biotherapeutics Inc")</f>
        <v>Arcutis Biotherapeutics Inc</v>
      </c>
      <c r="C147" t="s">
        <v>1802</v>
      </c>
      <c r="D147">
        <v>3.64</v>
      </c>
      <c r="E147">
        <v>0</v>
      </c>
      <c r="F147" t="s">
        <v>1797</v>
      </c>
      <c r="G147" t="s">
        <v>1797</v>
      </c>
      <c r="H147">
        <v>0</v>
      </c>
      <c r="I147">
        <v>343.550749</v>
      </c>
      <c r="J147" t="s">
        <v>1797</v>
      </c>
      <c r="K147">
        <v>0</v>
      </c>
      <c r="L147">
        <v>1.6594397810811241</v>
      </c>
      <c r="M147">
        <v>17.57</v>
      </c>
      <c r="N147">
        <v>1.76</v>
      </c>
    </row>
    <row r="148" spans="1:14" x14ac:dyDescent="0.25">
      <c r="A148" s="1" t="s">
        <v>160</v>
      </c>
      <c r="B148" t="str">
        <f>HYPERLINK("https://www.suredividend.com/sure-analysis-ARR/","ARMOUR Residential REIT Inc")</f>
        <v>ARMOUR Residential REIT Inc</v>
      </c>
      <c r="C148" t="s">
        <v>1799</v>
      </c>
      <c r="D148">
        <v>19.79</v>
      </c>
      <c r="E148">
        <v>0.14552804446690251</v>
      </c>
      <c r="F148">
        <v>2</v>
      </c>
      <c r="G148">
        <v>0.19135789816709159</v>
      </c>
      <c r="H148">
        <v>4.2845518467495802</v>
      </c>
      <c r="I148">
        <v>969.618649</v>
      </c>
      <c r="J148" t="s">
        <v>1797</v>
      </c>
      <c r="K148" t="s">
        <v>1797</v>
      </c>
      <c r="L148">
        <v>1.3008009828852569</v>
      </c>
      <c r="M148">
        <v>27.2</v>
      </c>
      <c r="N148">
        <v>12.58</v>
      </c>
    </row>
    <row r="149" spans="1:14" x14ac:dyDescent="0.25">
      <c r="A149" s="1" t="s">
        <v>161</v>
      </c>
      <c r="B149" t="str">
        <f>HYPERLINK("https://www.suredividend.com/sure-analysis-research-database/","Array Technologies Inc")</f>
        <v>Array Technologies Inc</v>
      </c>
      <c r="C149" t="s">
        <v>1797</v>
      </c>
      <c r="D149">
        <v>14.2</v>
      </c>
      <c r="E149">
        <v>0</v>
      </c>
      <c r="F149" t="s">
        <v>1797</v>
      </c>
      <c r="G149" t="s">
        <v>1797</v>
      </c>
      <c r="H149">
        <v>0</v>
      </c>
      <c r="I149">
        <v>2147.2740159999998</v>
      </c>
      <c r="J149">
        <v>39.272697636988802</v>
      </c>
      <c r="K149">
        <v>0</v>
      </c>
      <c r="L149">
        <v>1.8917412865240839</v>
      </c>
      <c r="M149">
        <v>26.64</v>
      </c>
      <c r="N149">
        <v>13.34</v>
      </c>
    </row>
    <row r="150" spans="1:14" x14ac:dyDescent="0.25">
      <c r="A150" s="1" t="s">
        <v>162</v>
      </c>
      <c r="B150" t="str">
        <f>HYPERLINK("https://www.suredividend.com/sure-analysis-ARTNA/","Artesian Resources Corp.")</f>
        <v>Artesian Resources Corp.</v>
      </c>
      <c r="C150" t="s">
        <v>1805</v>
      </c>
      <c r="D150">
        <v>38.020000000000003</v>
      </c>
      <c r="E150">
        <v>3.0510257759074171E-2</v>
      </c>
      <c r="F150">
        <v>4.0589080459769937E-2</v>
      </c>
      <c r="G150">
        <v>3.3327513913615332E-2</v>
      </c>
      <c r="H150">
        <v>1.1199317199022301</v>
      </c>
      <c r="I150">
        <v>357.21862099999998</v>
      </c>
      <c r="J150">
        <v>22.981125894235721</v>
      </c>
      <c r="K150">
        <v>0.70881754424191767</v>
      </c>
      <c r="L150">
        <v>0.58092762934380004</v>
      </c>
      <c r="M150">
        <v>61.18</v>
      </c>
      <c r="N150">
        <v>37.590000000000003</v>
      </c>
    </row>
    <row r="151" spans="1:14" x14ac:dyDescent="0.25">
      <c r="A151" s="1" t="s">
        <v>163</v>
      </c>
      <c r="B151" t="str">
        <f>HYPERLINK("https://www.suredividend.com/sure-analysis-research-database/","Arvinas Inc")</f>
        <v>Arvinas Inc</v>
      </c>
      <c r="C151" t="s">
        <v>1802</v>
      </c>
      <c r="D151">
        <v>38.72</v>
      </c>
      <c r="E151">
        <v>0</v>
      </c>
      <c r="F151" t="s">
        <v>1797</v>
      </c>
      <c r="G151" t="s">
        <v>1797</v>
      </c>
      <c r="H151">
        <v>0</v>
      </c>
      <c r="I151">
        <v>2130.5875150000002</v>
      </c>
      <c r="J151" t="s">
        <v>1797</v>
      </c>
      <c r="K151">
        <v>0</v>
      </c>
      <c r="L151">
        <v>1.8002124947334579</v>
      </c>
      <c r="M151">
        <v>42.84</v>
      </c>
      <c r="N151">
        <v>13.57</v>
      </c>
    </row>
    <row r="152" spans="1:14" x14ac:dyDescent="0.25">
      <c r="A152" s="1" t="s">
        <v>164</v>
      </c>
      <c r="B152" t="str">
        <f>HYPERLINK("https://www.suredividend.com/sure-analysis-research-database/","Arrowhead Pharmaceuticals Inc.")</f>
        <v>Arrowhead Pharmaceuticals Inc.</v>
      </c>
      <c r="C152" t="s">
        <v>1802</v>
      </c>
      <c r="D152">
        <v>36.43</v>
      </c>
      <c r="E152">
        <v>0</v>
      </c>
      <c r="F152" t="s">
        <v>1797</v>
      </c>
      <c r="G152" t="s">
        <v>1797</v>
      </c>
      <c r="H152">
        <v>0</v>
      </c>
      <c r="I152">
        <v>3913.7554100000002</v>
      </c>
      <c r="J152" t="s">
        <v>1797</v>
      </c>
      <c r="K152">
        <v>0</v>
      </c>
      <c r="L152">
        <v>1.046561722648508</v>
      </c>
      <c r="M152">
        <v>42.48</v>
      </c>
      <c r="N152">
        <v>20.67</v>
      </c>
    </row>
    <row r="153" spans="1:14" x14ac:dyDescent="0.25">
      <c r="A153" s="1" t="s">
        <v>165</v>
      </c>
      <c r="B153" t="str">
        <f>HYPERLINK("https://www.suredividend.com/sure-analysis-research-database/","Asana Inc")</f>
        <v>Asana Inc</v>
      </c>
      <c r="C153" t="s">
        <v>1797</v>
      </c>
      <c r="D153">
        <v>18.579999999999998</v>
      </c>
      <c r="E153">
        <v>0</v>
      </c>
      <c r="F153" t="s">
        <v>1797</v>
      </c>
      <c r="G153" t="s">
        <v>1797</v>
      </c>
      <c r="H153">
        <v>0</v>
      </c>
      <c r="I153">
        <v>3953.3422949999999</v>
      </c>
      <c r="J153" t="s">
        <v>1797</v>
      </c>
      <c r="K153">
        <v>0</v>
      </c>
      <c r="L153">
        <v>2.36362415467535</v>
      </c>
      <c r="M153">
        <v>26.27</v>
      </c>
      <c r="N153">
        <v>12.88</v>
      </c>
    </row>
    <row r="154" spans="1:14" x14ac:dyDescent="0.25">
      <c r="A154" s="1" t="s">
        <v>166</v>
      </c>
      <c r="B154" t="str">
        <f>HYPERLINK("https://www.suredividend.com/sure-analysis-ASB/","Associated Banc-Corp.")</f>
        <v>Associated Banc-Corp.</v>
      </c>
      <c r="C154" t="s">
        <v>1800</v>
      </c>
      <c r="D154">
        <v>20.93</v>
      </c>
      <c r="E154">
        <v>4.2044911610129E-2</v>
      </c>
      <c r="F154">
        <v>4.7619047619047672E-2</v>
      </c>
      <c r="G154">
        <v>5.291848906511043E-2</v>
      </c>
      <c r="H154">
        <v>0.83434122277905709</v>
      </c>
      <c r="I154">
        <v>3159.1681720000001</v>
      </c>
      <c r="J154">
        <v>8.5657955060030595</v>
      </c>
      <c r="K154">
        <v>0.34194312408977751</v>
      </c>
      <c r="L154">
        <v>1.5943497261447439</v>
      </c>
      <c r="M154">
        <v>23.09</v>
      </c>
      <c r="N154">
        <v>13.92</v>
      </c>
    </row>
    <row r="155" spans="1:14" x14ac:dyDescent="0.25">
      <c r="A155" s="1" t="s">
        <v>167</v>
      </c>
      <c r="B155" t="str">
        <f>HYPERLINK("https://www.suredividend.com/sure-analysis-research-database/","Ardmore Shipping Corp")</f>
        <v>Ardmore Shipping Corp</v>
      </c>
      <c r="C155" t="s">
        <v>1807</v>
      </c>
      <c r="D155">
        <v>15.05</v>
      </c>
      <c r="E155">
        <v>7.4070765511899006E-2</v>
      </c>
      <c r="F155" t="s">
        <v>1797</v>
      </c>
      <c r="G155" t="s">
        <v>1797</v>
      </c>
      <c r="H155">
        <v>1.11476502095409</v>
      </c>
      <c r="I155">
        <v>641.88250000000005</v>
      </c>
      <c r="J155">
        <v>0</v>
      </c>
      <c r="K155" t="s">
        <v>1797</v>
      </c>
      <c r="L155">
        <v>0.7775771656290541</v>
      </c>
      <c r="M155">
        <v>18.38</v>
      </c>
      <c r="N155">
        <v>11.28</v>
      </c>
    </row>
    <row r="156" spans="1:14" x14ac:dyDescent="0.25">
      <c r="A156" s="1" t="s">
        <v>168</v>
      </c>
      <c r="B156" t="str">
        <f>HYPERLINK("https://www.suredividend.com/sure-analysis-research-database/","ASGN Inc")</f>
        <v>ASGN Inc</v>
      </c>
      <c r="C156" t="s">
        <v>1798</v>
      </c>
      <c r="D156">
        <v>89.96</v>
      </c>
      <c r="E156">
        <v>0</v>
      </c>
      <c r="F156" t="s">
        <v>1797</v>
      </c>
      <c r="G156" t="s">
        <v>1797</v>
      </c>
      <c r="H156">
        <v>0</v>
      </c>
      <c r="I156">
        <v>4246.1120000000001</v>
      </c>
      <c r="J156">
        <v>18.90521816562778</v>
      </c>
      <c r="K156">
        <v>0</v>
      </c>
      <c r="L156">
        <v>1.2586021845744519</v>
      </c>
      <c r="M156">
        <v>97.8</v>
      </c>
      <c r="N156">
        <v>63.27</v>
      </c>
    </row>
    <row r="157" spans="1:14" x14ac:dyDescent="0.25">
      <c r="A157" s="1" t="s">
        <v>169</v>
      </c>
      <c r="B157" t="str">
        <f>HYPERLINK("https://www.suredividend.com/sure-analysis-research-database/","AdvanSix Inc")</f>
        <v>AdvanSix Inc</v>
      </c>
      <c r="C157" t="s">
        <v>1808</v>
      </c>
      <c r="D157">
        <v>26.06</v>
      </c>
      <c r="E157">
        <v>2.3224498477103998E-2</v>
      </c>
      <c r="F157" t="s">
        <v>1797</v>
      </c>
      <c r="G157" t="s">
        <v>1797</v>
      </c>
      <c r="H157">
        <v>0.605230430313342</v>
      </c>
      <c r="I157">
        <v>702.41290100000003</v>
      </c>
      <c r="J157">
        <v>7.5262019393757562</v>
      </c>
      <c r="K157">
        <v>0.1822983223835368</v>
      </c>
      <c r="L157">
        <v>1.0993373035199141</v>
      </c>
      <c r="M157">
        <v>43.75</v>
      </c>
      <c r="N157">
        <v>23.77</v>
      </c>
    </row>
    <row r="158" spans="1:14" x14ac:dyDescent="0.25">
      <c r="A158" s="1" t="s">
        <v>170</v>
      </c>
      <c r="B158" t="str">
        <f>HYPERLINK("https://www.suredividend.com/sure-analysis-research-database/","AerSale Corp")</f>
        <v>AerSale Corp</v>
      </c>
      <c r="C158" t="s">
        <v>1797</v>
      </c>
      <c r="D158">
        <v>11.11</v>
      </c>
      <c r="E158">
        <v>0</v>
      </c>
      <c r="F158" t="s">
        <v>1797</v>
      </c>
      <c r="G158" t="s">
        <v>1797</v>
      </c>
      <c r="H158">
        <v>0</v>
      </c>
      <c r="I158">
        <v>588.32371699999999</v>
      </c>
      <c r="J158">
        <v>92.474649056900319</v>
      </c>
      <c r="K158">
        <v>0</v>
      </c>
      <c r="L158">
        <v>1.2950319339941441</v>
      </c>
      <c r="M158">
        <v>20.81</v>
      </c>
      <c r="N158">
        <v>10.39</v>
      </c>
    </row>
    <row r="159" spans="1:14" x14ac:dyDescent="0.25">
      <c r="A159" s="1" t="s">
        <v>171</v>
      </c>
      <c r="B159" t="str">
        <f>HYPERLINK("https://www.suredividend.com/sure-analysis-research-database/","Academy Sports and Outdoors Inc")</f>
        <v>Academy Sports and Outdoors Inc</v>
      </c>
      <c r="C159" t="s">
        <v>1797</v>
      </c>
      <c r="D159">
        <v>62.09</v>
      </c>
      <c r="E159">
        <v>5.7711675775860014E-3</v>
      </c>
      <c r="F159" t="s">
        <v>1797</v>
      </c>
      <c r="G159" t="s">
        <v>1797</v>
      </c>
      <c r="H159">
        <v>0.35833179489231798</v>
      </c>
      <c r="I159">
        <v>4604.0594330000004</v>
      </c>
      <c r="J159">
        <v>9.0510647889029556</v>
      </c>
      <c r="K159">
        <v>5.5298116495728078E-2</v>
      </c>
      <c r="L159">
        <v>1.137108913398365</v>
      </c>
      <c r="M159">
        <v>68.5</v>
      </c>
      <c r="N159">
        <v>42.69</v>
      </c>
    </row>
    <row r="160" spans="1:14" x14ac:dyDescent="0.25">
      <c r="A160" s="1" t="s">
        <v>172</v>
      </c>
      <c r="B160" t="str">
        <f>HYPERLINK("https://www.suredividend.com/sure-analysis-research-database/","Aspen Aerogels Inc.")</f>
        <v>Aspen Aerogels Inc.</v>
      </c>
      <c r="C160" t="s">
        <v>1798</v>
      </c>
      <c r="D160">
        <v>13.45</v>
      </c>
      <c r="E160">
        <v>0</v>
      </c>
      <c r="F160" t="s">
        <v>1797</v>
      </c>
      <c r="G160" t="s">
        <v>1797</v>
      </c>
      <c r="H160">
        <v>0</v>
      </c>
      <c r="I160">
        <v>944.95565499999998</v>
      </c>
      <c r="J160" t="s">
        <v>1797</v>
      </c>
      <c r="K160">
        <v>0</v>
      </c>
      <c r="L160">
        <v>2.6611238277068021</v>
      </c>
      <c r="M160">
        <v>17.32</v>
      </c>
      <c r="N160">
        <v>5.33</v>
      </c>
    </row>
    <row r="161" spans="1:14" x14ac:dyDescent="0.25">
      <c r="A161" s="1" t="s">
        <v>173</v>
      </c>
      <c r="B161" t="str">
        <f>HYPERLINK("https://www.suredividend.com/sure-analysis-research-database/","Astec Industries Inc.")</f>
        <v>Astec Industries Inc.</v>
      </c>
      <c r="C161" t="s">
        <v>1798</v>
      </c>
      <c r="D161">
        <v>34.17</v>
      </c>
      <c r="E161">
        <v>1.5073358051787999E-2</v>
      </c>
      <c r="F161">
        <v>0</v>
      </c>
      <c r="G161">
        <v>3.3975226531950183E-2</v>
      </c>
      <c r="H161">
        <v>0.51505664462962009</v>
      </c>
      <c r="I161">
        <v>777.00174400000003</v>
      </c>
      <c r="J161">
        <v>44.147826381818177</v>
      </c>
      <c r="K161">
        <v>0.66398948643756617</v>
      </c>
      <c r="L161">
        <v>1.2217709469875431</v>
      </c>
      <c r="M161">
        <v>55.86</v>
      </c>
      <c r="N161">
        <v>28.73</v>
      </c>
    </row>
    <row r="162" spans="1:14" x14ac:dyDescent="0.25">
      <c r="A162" s="1" t="s">
        <v>174</v>
      </c>
      <c r="B162" t="str">
        <f>HYPERLINK("https://www.suredividend.com/sure-analysis-research-database/","Astra Space Inc")</f>
        <v>Astra Space Inc</v>
      </c>
      <c r="C162" t="s">
        <v>1797</v>
      </c>
      <c r="D162">
        <v>1.7</v>
      </c>
      <c r="E162">
        <v>0</v>
      </c>
      <c r="F162" t="s">
        <v>1797</v>
      </c>
      <c r="G162" t="s">
        <v>1797</v>
      </c>
      <c r="H162">
        <v>0</v>
      </c>
      <c r="I162">
        <v>31.944310999999999</v>
      </c>
      <c r="J162" t="s">
        <v>1797</v>
      </c>
      <c r="K162">
        <v>0</v>
      </c>
      <c r="L162">
        <v>1.558113515563847</v>
      </c>
      <c r="M162">
        <v>11.1</v>
      </c>
      <c r="N162">
        <v>0.62119999999999997</v>
      </c>
    </row>
    <row r="163" spans="1:14" x14ac:dyDescent="0.25">
      <c r="A163" s="1" t="s">
        <v>175</v>
      </c>
      <c r="B163" t="str">
        <f>HYPERLINK("https://www.suredividend.com/sure-analysis-research-database/","Alphatec Holdings Inc")</f>
        <v>Alphatec Holdings Inc</v>
      </c>
      <c r="C163" t="s">
        <v>1802</v>
      </c>
      <c r="D163">
        <v>14.94</v>
      </c>
      <c r="E163">
        <v>0</v>
      </c>
      <c r="F163" t="s">
        <v>1797</v>
      </c>
      <c r="G163" t="s">
        <v>1797</v>
      </c>
      <c r="H163">
        <v>0</v>
      </c>
      <c r="I163">
        <v>2036.3319200000001</v>
      </c>
      <c r="J163" t="s">
        <v>1797</v>
      </c>
      <c r="K163">
        <v>0</v>
      </c>
      <c r="L163">
        <v>1.3805340890320079</v>
      </c>
      <c r="M163">
        <v>19.14</v>
      </c>
      <c r="N163">
        <v>8.66</v>
      </c>
    </row>
    <row r="164" spans="1:14" x14ac:dyDescent="0.25">
      <c r="A164" s="1" t="s">
        <v>176</v>
      </c>
      <c r="B164" t="str">
        <f>HYPERLINK("https://www.suredividend.com/sure-analysis-research-database/","A10 Networks Inc")</f>
        <v>A10 Networks Inc</v>
      </c>
      <c r="C164" t="s">
        <v>1803</v>
      </c>
      <c r="D164">
        <v>13.55</v>
      </c>
      <c r="E164">
        <v>1.7593240964539E-2</v>
      </c>
      <c r="F164" t="s">
        <v>1797</v>
      </c>
      <c r="G164" t="s">
        <v>1797</v>
      </c>
      <c r="H164">
        <v>0.238388415069506</v>
      </c>
      <c r="I164">
        <v>1004.572935</v>
      </c>
      <c r="J164">
        <v>25.062319067934041</v>
      </c>
      <c r="K164">
        <v>0.44978946239529438</v>
      </c>
      <c r="L164">
        <v>0.75230713155888407</v>
      </c>
      <c r="M164">
        <v>16</v>
      </c>
      <c r="N164">
        <v>9.99</v>
      </c>
    </row>
    <row r="165" spans="1:14" x14ac:dyDescent="0.25">
      <c r="A165" s="1" t="s">
        <v>177</v>
      </c>
      <c r="B165" t="str">
        <f>HYPERLINK("https://www.suredividend.com/sure-analysis-research-database/","Aterian Inc")</f>
        <v>Aterian Inc</v>
      </c>
      <c r="C165" t="s">
        <v>1797</v>
      </c>
      <c r="D165">
        <v>0.29499999999999998</v>
      </c>
      <c r="E165">
        <v>0</v>
      </c>
      <c r="F165" t="s">
        <v>1797</v>
      </c>
      <c r="G165" t="s">
        <v>1797</v>
      </c>
      <c r="H165">
        <v>0</v>
      </c>
      <c r="I165">
        <v>26.609000000000002</v>
      </c>
      <c r="J165" t="s">
        <v>1797</v>
      </c>
      <c r="K165">
        <v>0</v>
      </c>
      <c r="L165">
        <v>2.2194189743822799</v>
      </c>
      <c r="M165">
        <v>1.68</v>
      </c>
      <c r="N165">
        <v>0.26019999999999999</v>
      </c>
    </row>
    <row r="166" spans="1:14" x14ac:dyDescent="0.25">
      <c r="A166" s="1" t="s">
        <v>178</v>
      </c>
      <c r="B166" t="str">
        <f>HYPERLINK("https://www.suredividend.com/sure-analysis-research-database/","Anterix Inc")</f>
        <v>Anterix Inc</v>
      </c>
      <c r="C166" t="s">
        <v>1806</v>
      </c>
      <c r="D166">
        <v>30.19</v>
      </c>
      <c r="E166">
        <v>0</v>
      </c>
      <c r="F166" t="s">
        <v>1797</v>
      </c>
      <c r="G166" t="s">
        <v>1797</v>
      </c>
      <c r="H166">
        <v>0</v>
      </c>
      <c r="I166">
        <v>566.65651800000001</v>
      </c>
      <c r="J166">
        <v>75.786614743881245</v>
      </c>
      <c r="K166">
        <v>0</v>
      </c>
      <c r="L166">
        <v>0.96769829921504302</v>
      </c>
      <c r="M166">
        <v>39.159999999999997</v>
      </c>
      <c r="N166">
        <v>27.2</v>
      </c>
    </row>
    <row r="167" spans="1:14" x14ac:dyDescent="0.25">
      <c r="A167" s="1" t="s">
        <v>179</v>
      </c>
      <c r="B167" t="str">
        <f>HYPERLINK("https://www.suredividend.com/sure-analysis-research-database/","Adtalem Global Education Inc")</f>
        <v>Adtalem Global Education Inc</v>
      </c>
      <c r="C167" t="s">
        <v>1804</v>
      </c>
      <c r="D167">
        <v>58.69</v>
      </c>
      <c r="E167">
        <v>0</v>
      </c>
      <c r="F167" t="s">
        <v>1797</v>
      </c>
      <c r="G167" t="s">
        <v>1797</v>
      </c>
      <c r="H167">
        <v>0</v>
      </c>
      <c r="I167">
        <v>2337.5319650000001</v>
      </c>
      <c r="J167">
        <v>22.959297187561379</v>
      </c>
      <c r="K167">
        <v>0</v>
      </c>
      <c r="L167">
        <v>0.49848742154196302</v>
      </c>
      <c r="M167">
        <v>62.23</v>
      </c>
      <c r="N167">
        <v>33.590000000000003</v>
      </c>
    </row>
    <row r="168" spans="1:14" x14ac:dyDescent="0.25">
      <c r="A168" s="1" t="s">
        <v>180</v>
      </c>
      <c r="B168" t="str">
        <f>HYPERLINK("https://www.suredividend.com/sure-analysis-research-database/","Athira Pharma Inc")</f>
        <v>Athira Pharma Inc</v>
      </c>
      <c r="C168" t="s">
        <v>1797</v>
      </c>
      <c r="D168">
        <v>3</v>
      </c>
      <c r="E168">
        <v>0</v>
      </c>
      <c r="F168" t="s">
        <v>1797</v>
      </c>
      <c r="G168" t="s">
        <v>1797</v>
      </c>
      <c r="H168">
        <v>0</v>
      </c>
      <c r="I168">
        <v>114.163749</v>
      </c>
      <c r="J168">
        <v>0</v>
      </c>
      <c r="K168" t="s">
        <v>1797</v>
      </c>
      <c r="L168">
        <v>1.2061165783210639</v>
      </c>
      <c r="M168">
        <v>4.41</v>
      </c>
      <c r="N168">
        <v>1.33</v>
      </c>
    </row>
    <row r="169" spans="1:14" x14ac:dyDescent="0.25">
      <c r="A169" s="1" t="s">
        <v>181</v>
      </c>
      <c r="B169" t="str">
        <f>HYPERLINK("https://www.suredividend.com/sure-analysis-research-database/","ATI Inc")</f>
        <v>ATI Inc</v>
      </c>
      <c r="C169" t="s">
        <v>1798</v>
      </c>
      <c r="D169">
        <v>42.91</v>
      </c>
      <c r="E169">
        <v>0</v>
      </c>
      <c r="F169" t="s">
        <v>1797</v>
      </c>
      <c r="G169" t="s">
        <v>1797</v>
      </c>
      <c r="H169">
        <v>0</v>
      </c>
      <c r="I169">
        <v>5474.3381669999999</v>
      </c>
      <c r="J169">
        <v>18.327211807566119</v>
      </c>
      <c r="K169">
        <v>0</v>
      </c>
      <c r="L169">
        <v>1.414808946213481</v>
      </c>
      <c r="M169">
        <v>47.92</v>
      </c>
      <c r="N169">
        <v>33.64</v>
      </c>
    </row>
    <row r="170" spans="1:14" x14ac:dyDescent="0.25">
      <c r="A170" s="1" t="s">
        <v>182</v>
      </c>
      <c r="B170" t="str">
        <f>HYPERLINK("https://www.suredividend.com/sure-analysis-research-database/","ATI Physical Therapy Inc")</f>
        <v>ATI Physical Therapy Inc</v>
      </c>
      <c r="C170" t="s">
        <v>1797</v>
      </c>
      <c r="D170">
        <v>6.2752999999999997</v>
      </c>
      <c r="E170">
        <v>0</v>
      </c>
      <c r="F170" t="s">
        <v>1797</v>
      </c>
      <c r="G170" t="s">
        <v>1797</v>
      </c>
      <c r="H170">
        <v>0</v>
      </c>
      <c r="I170">
        <v>26.393108999999999</v>
      </c>
      <c r="J170" t="s">
        <v>1797</v>
      </c>
      <c r="K170">
        <v>0</v>
      </c>
      <c r="M170">
        <v>25</v>
      </c>
      <c r="N170">
        <v>5.78</v>
      </c>
    </row>
    <row r="171" spans="1:14" x14ac:dyDescent="0.25">
      <c r="A171" s="1" t="s">
        <v>183</v>
      </c>
      <c r="B171" t="str">
        <f>HYPERLINK("https://www.suredividend.com/sure-analysis-research-database/","Atkore Inc")</f>
        <v>Atkore Inc</v>
      </c>
      <c r="C171" t="s">
        <v>1798</v>
      </c>
      <c r="D171">
        <v>150.9</v>
      </c>
      <c r="E171">
        <v>0</v>
      </c>
      <c r="F171" t="s">
        <v>1797</v>
      </c>
      <c r="G171" t="s">
        <v>1797</v>
      </c>
      <c r="H171">
        <v>0</v>
      </c>
      <c r="I171">
        <v>5605.8349529999996</v>
      </c>
      <c r="J171">
        <v>8.2528195313155575</v>
      </c>
      <c r="K171">
        <v>0</v>
      </c>
      <c r="L171">
        <v>1.6586944037972049</v>
      </c>
      <c r="M171">
        <v>165.69</v>
      </c>
      <c r="N171">
        <v>114.99</v>
      </c>
    </row>
    <row r="172" spans="1:14" x14ac:dyDescent="0.25">
      <c r="A172" s="1" t="s">
        <v>184</v>
      </c>
      <c r="B172" t="str">
        <f>HYPERLINK("https://www.suredividend.com/sure-analysis-research-database/","Atlanticus Holdings Corp")</f>
        <v>Atlanticus Holdings Corp</v>
      </c>
      <c r="C172" t="s">
        <v>1800</v>
      </c>
      <c r="D172">
        <v>35.61</v>
      </c>
      <c r="E172">
        <v>0</v>
      </c>
      <c r="F172" t="s">
        <v>1797</v>
      </c>
      <c r="G172" t="s">
        <v>1797</v>
      </c>
      <c r="H172">
        <v>0</v>
      </c>
      <c r="I172">
        <v>519.46219299999996</v>
      </c>
      <c r="J172">
        <v>6.8932587458531271</v>
      </c>
      <c r="K172">
        <v>0</v>
      </c>
      <c r="L172">
        <v>1.9880900381900399</v>
      </c>
      <c r="M172">
        <v>43.7</v>
      </c>
      <c r="N172">
        <v>21.65</v>
      </c>
    </row>
    <row r="173" spans="1:14" x14ac:dyDescent="0.25">
      <c r="A173" s="1" t="s">
        <v>185</v>
      </c>
      <c r="B173" t="str">
        <f>HYPERLINK("https://www.suredividend.com/sure-analysis-research-database/","ATN International Inc")</f>
        <v>ATN International Inc</v>
      </c>
      <c r="C173" t="s">
        <v>1806</v>
      </c>
      <c r="D173">
        <v>37.200000000000003</v>
      </c>
      <c r="E173">
        <v>2.2973666615551998E-2</v>
      </c>
      <c r="F173">
        <v>0.14285714285714279</v>
      </c>
      <c r="G173">
        <v>7.1402027941006807E-2</v>
      </c>
      <c r="H173">
        <v>0.85462039809854906</v>
      </c>
      <c r="I173">
        <v>573.67909299999997</v>
      </c>
      <c r="J173" t="s">
        <v>1797</v>
      </c>
      <c r="K173" t="s">
        <v>1797</v>
      </c>
      <c r="L173">
        <v>0.71022462163716205</v>
      </c>
      <c r="M173">
        <v>48.19</v>
      </c>
      <c r="N173">
        <v>27.2</v>
      </c>
    </row>
    <row r="174" spans="1:14" x14ac:dyDescent="0.25">
      <c r="A174" s="1" t="s">
        <v>186</v>
      </c>
      <c r="B174" t="str">
        <f>HYPERLINK("https://www.suredividend.com/sure-analysis-research-database/","Atomera Inc")</f>
        <v>Atomera Inc</v>
      </c>
      <c r="C174" t="s">
        <v>1803</v>
      </c>
      <c r="D174">
        <v>6.66</v>
      </c>
      <c r="E174">
        <v>0</v>
      </c>
      <c r="F174" t="s">
        <v>1797</v>
      </c>
      <c r="G174" t="s">
        <v>1797</v>
      </c>
      <c r="H174">
        <v>0</v>
      </c>
      <c r="I174">
        <v>171.82146</v>
      </c>
      <c r="J174" t="s">
        <v>1797</v>
      </c>
      <c r="K174">
        <v>0</v>
      </c>
      <c r="L174">
        <v>2.630238750687572</v>
      </c>
      <c r="M174">
        <v>10.72</v>
      </c>
      <c r="N174">
        <v>4.96</v>
      </c>
    </row>
    <row r="175" spans="1:14" x14ac:dyDescent="0.25">
      <c r="A175" s="1" t="s">
        <v>187</v>
      </c>
      <c r="B175" t="str">
        <f>HYPERLINK("https://www.suredividend.com/sure-analysis-research-database/","Atara Biotherapeutics Inc")</f>
        <v>Atara Biotherapeutics Inc</v>
      </c>
      <c r="C175" t="s">
        <v>1802</v>
      </c>
      <c r="D175">
        <v>0.71940000000000004</v>
      </c>
      <c r="E175">
        <v>0</v>
      </c>
      <c r="F175" t="s">
        <v>1797</v>
      </c>
      <c r="G175" t="s">
        <v>1797</v>
      </c>
      <c r="H175">
        <v>0</v>
      </c>
      <c r="I175">
        <v>73.322867000000002</v>
      </c>
      <c r="J175" t="s">
        <v>1797</v>
      </c>
      <c r="K175">
        <v>0</v>
      </c>
      <c r="L175">
        <v>3.0852665171406302</v>
      </c>
      <c r="M175">
        <v>5.64</v>
      </c>
      <c r="N175">
        <v>0.1986</v>
      </c>
    </row>
    <row r="176" spans="1:14" x14ac:dyDescent="0.25">
      <c r="A176" s="1" t="s">
        <v>188</v>
      </c>
      <c r="B176" t="str">
        <f>HYPERLINK("https://www.suredividend.com/sure-analysis-research-database/","Atricure Inc")</f>
        <v>Atricure Inc</v>
      </c>
      <c r="C176" t="s">
        <v>1802</v>
      </c>
      <c r="D176">
        <v>34.99</v>
      </c>
      <c r="E176">
        <v>0</v>
      </c>
      <c r="F176" t="s">
        <v>1797</v>
      </c>
      <c r="G176" t="s">
        <v>1797</v>
      </c>
      <c r="H176">
        <v>0</v>
      </c>
      <c r="I176">
        <v>1658.3539189999999</v>
      </c>
      <c r="J176">
        <v>0</v>
      </c>
      <c r="K176" t="s">
        <v>1797</v>
      </c>
      <c r="L176">
        <v>1.2497827928517391</v>
      </c>
      <c r="M176">
        <v>59.61</v>
      </c>
      <c r="N176">
        <v>32.17</v>
      </c>
    </row>
    <row r="177" spans="1:14" x14ac:dyDescent="0.25">
      <c r="A177" s="1" t="s">
        <v>189</v>
      </c>
      <c r="B177" t="str">
        <f>HYPERLINK("https://www.suredividend.com/sure-analysis-ATRI/","Atrion Corp.")</f>
        <v>Atrion Corp.</v>
      </c>
      <c r="C177" t="s">
        <v>1802</v>
      </c>
      <c r="D177">
        <v>350.99</v>
      </c>
      <c r="E177">
        <v>2.5071939371492071E-2</v>
      </c>
      <c r="F177">
        <v>2.325581395348841E-2</v>
      </c>
      <c r="G177">
        <v>0.1025994778190622</v>
      </c>
      <c r="H177">
        <v>8.552341521212357</v>
      </c>
      <c r="I177">
        <v>617.68483800000001</v>
      </c>
      <c r="J177">
        <v>28.987040106997039</v>
      </c>
      <c r="K177">
        <v>0.70797529149108918</v>
      </c>
      <c r="L177">
        <v>0.60872353054922101</v>
      </c>
      <c r="M177">
        <v>681.93</v>
      </c>
      <c r="N177">
        <v>270.88</v>
      </c>
    </row>
    <row r="178" spans="1:14" x14ac:dyDescent="0.25">
      <c r="A178" s="1" t="s">
        <v>190</v>
      </c>
      <c r="B178" t="str">
        <f>HYPERLINK("https://www.suredividend.com/sure-analysis-research-database/","Astronics Corp.")</f>
        <v>Astronics Corp.</v>
      </c>
      <c r="C178" t="s">
        <v>1798</v>
      </c>
      <c r="D178">
        <v>16.940000000000001</v>
      </c>
      <c r="E178">
        <v>0</v>
      </c>
      <c r="F178" t="s">
        <v>1797</v>
      </c>
      <c r="G178" t="s">
        <v>1797</v>
      </c>
      <c r="H178">
        <v>0</v>
      </c>
      <c r="I178">
        <v>473.45431500000001</v>
      </c>
      <c r="J178" t="s">
        <v>1797</v>
      </c>
      <c r="K178">
        <v>0</v>
      </c>
      <c r="L178">
        <v>1.8177366833458679</v>
      </c>
      <c r="M178">
        <v>22.44</v>
      </c>
      <c r="N178">
        <v>10.23</v>
      </c>
    </row>
    <row r="179" spans="1:14" x14ac:dyDescent="0.25">
      <c r="A179" s="1" t="s">
        <v>191</v>
      </c>
      <c r="B179" t="str">
        <f>HYPERLINK("https://www.suredividend.com/sure-analysis-research-database/","Air Transport Services Group Inc")</f>
        <v>Air Transport Services Group Inc</v>
      </c>
      <c r="C179" t="s">
        <v>1798</v>
      </c>
      <c r="D179">
        <v>16.36</v>
      </c>
      <c r="E179">
        <v>0</v>
      </c>
      <c r="F179" t="s">
        <v>1797</v>
      </c>
      <c r="G179" t="s">
        <v>1797</v>
      </c>
      <c r="H179">
        <v>0</v>
      </c>
      <c r="I179">
        <v>1067.864644</v>
      </c>
      <c r="J179">
        <v>9.0507741935483885</v>
      </c>
      <c r="K179">
        <v>0</v>
      </c>
      <c r="L179">
        <v>1.038065690918877</v>
      </c>
      <c r="M179">
        <v>28.7</v>
      </c>
      <c r="N179">
        <v>14.03</v>
      </c>
    </row>
    <row r="180" spans="1:14" x14ac:dyDescent="0.25">
      <c r="A180" s="1" t="s">
        <v>192</v>
      </c>
      <c r="B180" t="str">
        <f>HYPERLINK("https://www.suredividend.com/sure-analysis-research-database/","Atlantic Union Bankshares Corp")</f>
        <v>Atlantic Union Bankshares Corp</v>
      </c>
      <c r="C180" t="s">
        <v>1800</v>
      </c>
      <c r="D180">
        <v>35.19</v>
      </c>
      <c r="E180">
        <v>3.4148397816437012E-2</v>
      </c>
      <c r="F180">
        <v>6.666666666666643E-2</v>
      </c>
      <c r="G180">
        <v>6.8278353688437932E-2</v>
      </c>
      <c r="H180">
        <v>1.2016821191604261</v>
      </c>
      <c r="I180">
        <v>2639.8193390000001</v>
      </c>
      <c r="J180">
        <v>12.96781570200474</v>
      </c>
      <c r="K180">
        <v>0.44179489675015671</v>
      </c>
      <c r="L180">
        <v>1.6254172166897469</v>
      </c>
      <c r="M180">
        <v>39.770000000000003</v>
      </c>
      <c r="N180">
        <v>22.6</v>
      </c>
    </row>
    <row r="181" spans="1:14" x14ac:dyDescent="0.25">
      <c r="A181" s="1" t="s">
        <v>193</v>
      </c>
      <c r="B181" t="str">
        <f>HYPERLINK("https://www.suredividend.com/sure-analysis-research-database/","Aurinia Pharmaceuticals Inc")</f>
        <v>Aurinia Pharmaceuticals Inc</v>
      </c>
      <c r="C181" t="s">
        <v>1802</v>
      </c>
      <c r="D181">
        <v>7.74</v>
      </c>
      <c r="E181">
        <v>0</v>
      </c>
      <c r="F181" t="s">
        <v>1797</v>
      </c>
      <c r="G181" t="s">
        <v>1797</v>
      </c>
      <c r="H181">
        <v>0</v>
      </c>
      <c r="I181">
        <v>1111.5271889999999</v>
      </c>
      <c r="J181">
        <v>0</v>
      </c>
      <c r="K181" t="s">
        <v>1797</v>
      </c>
      <c r="L181">
        <v>1.6928994982079431</v>
      </c>
      <c r="M181">
        <v>12.43</v>
      </c>
      <c r="N181">
        <v>6.94</v>
      </c>
    </row>
    <row r="182" spans="1:14" x14ac:dyDescent="0.25">
      <c r="A182" s="1" t="s">
        <v>194</v>
      </c>
      <c r="B182" t="str">
        <f>HYPERLINK("https://www.suredividend.com/sure-analysis-research-database/","Aura Biosciences Inc")</f>
        <v>Aura Biosciences Inc</v>
      </c>
      <c r="C182" t="s">
        <v>1797</v>
      </c>
      <c r="D182">
        <v>8.3699999999999992</v>
      </c>
      <c r="E182">
        <v>0</v>
      </c>
      <c r="F182" t="s">
        <v>1797</v>
      </c>
      <c r="G182" t="s">
        <v>1797</v>
      </c>
      <c r="H182">
        <v>0</v>
      </c>
      <c r="I182">
        <v>320.235187</v>
      </c>
      <c r="J182">
        <v>0</v>
      </c>
      <c r="K182" t="s">
        <v>1797</v>
      </c>
      <c r="L182">
        <v>1.67327456545346</v>
      </c>
      <c r="M182">
        <v>13.5</v>
      </c>
      <c r="N182">
        <v>5.99</v>
      </c>
    </row>
    <row r="183" spans="1:14" x14ac:dyDescent="0.25">
      <c r="A183" s="1" t="s">
        <v>195</v>
      </c>
      <c r="B183" t="str">
        <f>HYPERLINK("https://www.suredividend.com/sure-analysis-AVA/","Avista Corp.")</f>
        <v>Avista Corp.</v>
      </c>
      <c r="C183" t="s">
        <v>1805</v>
      </c>
      <c r="D183">
        <v>35.69</v>
      </c>
      <c r="E183">
        <v>5.1555057439058569E-2</v>
      </c>
      <c r="F183">
        <v>4.5454545454545407E-2</v>
      </c>
      <c r="G183">
        <v>3.4897231072825718E-2</v>
      </c>
      <c r="H183">
        <v>1.804771741831112</v>
      </c>
      <c r="I183">
        <v>2761.2500719999998</v>
      </c>
      <c r="J183">
        <v>16.734747500196971</v>
      </c>
      <c r="K183">
        <v>0.8278769457940881</v>
      </c>
      <c r="L183">
        <v>0.64772846790643901</v>
      </c>
      <c r="M183">
        <v>43.46</v>
      </c>
      <c r="N183">
        <v>30.13</v>
      </c>
    </row>
    <row r="184" spans="1:14" x14ac:dyDescent="0.25">
      <c r="A184" s="1" t="s">
        <v>196</v>
      </c>
      <c r="B184" t="str">
        <f>HYPERLINK("https://www.suredividend.com/sure-analysis-research-database/","Aveanna Healthcare Holdings Inc")</f>
        <v>Aveanna Healthcare Holdings Inc</v>
      </c>
      <c r="C184" t="s">
        <v>1797</v>
      </c>
      <c r="D184">
        <v>2.4</v>
      </c>
      <c r="E184">
        <v>0</v>
      </c>
      <c r="F184" t="s">
        <v>1797</v>
      </c>
      <c r="G184" t="s">
        <v>1797</v>
      </c>
      <c r="H184">
        <v>0</v>
      </c>
      <c r="I184">
        <v>457.759567</v>
      </c>
      <c r="J184" t="s">
        <v>1797</v>
      </c>
      <c r="K184">
        <v>0</v>
      </c>
      <c r="L184">
        <v>1.6707166175045109</v>
      </c>
      <c r="M184">
        <v>3</v>
      </c>
      <c r="N184">
        <v>0.85</v>
      </c>
    </row>
    <row r="185" spans="1:14" x14ac:dyDescent="0.25">
      <c r="A185" s="1" t="s">
        <v>197</v>
      </c>
      <c r="B185" t="str">
        <f>HYPERLINK("https://www.suredividend.com/sure-analysis-research-database/","AeroVironment Inc.")</f>
        <v>AeroVironment Inc.</v>
      </c>
      <c r="C185" t="s">
        <v>1798</v>
      </c>
      <c r="D185">
        <v>126.8</v>
      </c>
      <c r="E185">
        <v>0</v>
      </c>
      <c r="F185" t="s">
        <v>1797</v>
      </c>
      <c r="G185" t="s">
        <v>1797</v>
      </c>
      <c r="H185">
        <v>0</v>
      </c>
      <c r="I185">
        <v>3567.5306799999998</v>
      </c>
      <c r="J185" t="s">
        <v>1797</v>
      </c>
      <c r="K185">
        <v>0</v>
      </c>
      <c r="L185">
        <v>0.82974849138988305</v>
      </c>
      <c r="M185">
        <v>143.99</v>
      </c>
      <c r="N185">
        <v>81.040000000000006</v>
      </c>
    </row>
    <row r="186" spans="1:14" x14ac:dyDescent="0.25">
      <c r="A186" s="1" t="s">
        <v>198</v>
      </c>
      <c r="B186" t="str">
        <f>HYPERLINK("https://www.suredividend.com/sure-analysis-research-database/","American Vanguard Corp.")</f>
        <v>American Vanguard Corp.</v>
      </c>
      <c r="C186" t="s">
        <v>1808</v>
      </c>
      <c r="D186">
        <v>10.15</v>
      </c>
      <c r="E186">
        <v>1.1779000484237001E-2</v>
      </c>
      <c r="F186" t="s">
        <v>1797</v>
      </c>
      <c r="G186" t="s">
        <v>1797</v>
      </c>
      <c r="H186">
        <v>0.119556854915011</v>
      </c>
      <c r="I186">
        <v>291.816956</v>
      </c>
      <c r="J186">
        <v>65.754158596214509</v>
      </c>
      <c r="K186">
        <v>0.77133454783878075</v>
      </c>
      <c r="L186">
        <v>0.78530440217213504</v>
      </c>
      <c r="M186">
        <v>23.47</v>
      </c>
      <c r="N186">
        <v>8.39</v>
      </c>
    </row>
    <row r="187" spans="1:14" x14ac:dyDescent="0.25">
      <c r="A187" s="1" t="s">
        <v>199</v>
      </c>
      <c r="B187" t="str">
        <f>HYPERLINK("https://www.suredividend.com/sure-analysis-research-database/","AvidXchange Holdings Inc")</f>
        <v>AvidXchange Holdings Inc</v>
      </c>
      <c r="C187" t="s">
        <v>1802</v>
      </c>
      <c r="D187">
        <v>11.31</v>
      </c>
      <c r="E187">
        <v>0</v>
      </c>
      <c r="F187" t="s">
        <v>1797</v>
      </c>
      <c r="G187" t="s">
        <v>1797</v>
      </c>
      <c r="H187">
        <v>0</v>
      </c>
      <c r="I187">
        <v>2297.5991640000002</v>
      </c>
      <c r="J187">
        <v>0</v>
      </c>
      <c r="K187" t="s">
        <v>1797</v>
      </c>
      <c r="L187">
        <v>1.3988682139645829</v>
      </c>
      <c r="M187">
        <v>12.75</v>
      </c>
      <c r="N187">
        <v>6.88</v>
      </c>
    </row>
    <row r="188" spans="1:14" x14ac:dyDescent="0.25">
      <c r="A188" s="1" t="s">
        <v>200</v>
      </c>
      <c r="B188" t="str">
        <f>HYPERLINK("https://www.suredividend.com/sure-analysis-research-database/","Avid Technology, Inc.")</f>
        <v>Avid Technology, Inc.</v>
      </c>
      <c r="C188" t="s">
        <v>1806</v>
      </c>
      <c r="D188">
        <v>27.04</v>
      </c>
      <c r="E188">
        <v>0</v>
      </c>
      <c r="F188" t="s">
        <v>1797</v>
      </c>
      <c r="G188" t="s">
        <v>1797</v>
      </c>
      <c r="H188">
        <v>0</v>
      </c>
      <c r="I188">
        <v>0</v>
      </c>
      <c r="J188">
        <v>0</v>
      </c>
      <c r="K188">
        <v>0</v>
      </c>
    </row>
    <row r="189" spans="1:14" x14ac:dyDescent="0.25">
      <c r="A189" s="1" t="s">
        <v>201</v>
      </c>
      <c r="B189" t="str">
        <f>HYPERLINK("https://www.suredividend.com/sure-analysis-research-database/","Atea Pharmaceuticals Inc")</f>
        <v>Atea Pharmaceuticals Inc</v>
      </c>
      <c r="C189" t="s">
        <v>1797</v>
      </c>
      <c r="D189">
        <v>3.56</v>
      </c>
      <c r="E189">
        <v>0</v>
      </c>
      <c r="F189" t="s">
        <v>1797</v>
      </c>
      <c r="G189" t="s">
        <v>1797</v>
      </c>
      <c r="H189">
        <v>0</v>
      </c>
      <c r="I189">
        <v>297.03042599999998</v>
      </c>
      <c r="J189">
        <v>0</v>
      </c>
      <c r="K189" t="s">
        <v>1797</v>
      </c>
      <c r="L189">
        <v>1.0171057216516779</v>
      </c>
      <c r="M189">
        <v>5.19</v>
      </c>
      <c r="N189">
        <v>2.77</v>
      </c>
    </row>
    <row r="190" spans="1:14" x14ac:dyDescent="0.25">
      <c r="A190" s="1" t="s">
        <v>202</v>
      </c>
      <c r="B190" t="str">
        <f>HYPERLINK("https://www.suredividend.com/sure-analysis-research-database/","Avanos Medical Inc")</f>
        <v>Avanos Medical Inc</v>
      </c>
      <c r="C190" t="s">
        <v>1802</v>
      </c>
      <c r="D190">
        <v>19.5</v>
      </c>
      <c r="E190">
        <v>0</v>
      </c>
      <c r="F190" t="s">
        <v>1797</v>
      </c>
      <c r="G190" t="s">
        <v>1797</v>
      </c>
      <c r="H190">
        <v>0</v>
      </c>
      <c r="I190">
        <v>905.29859599999997</v>
      </c>
      <c r="J190" t="s">
        <v>1797</v>
      </c>
      <c r="K190">
        <v>0</v>
      </c>
      <c r="L190">
        <v>1.2926197175327609</v>
      </c>
      <c r="M190">
        <v>31.99</v>
      </c>
      <c r="N190">
        <v>17.239999999999998</v>
      </c>
    </row>
    <row r="191" spans="1:14" x14ac:dyDescent="0.25">
      <c r="A191" s="1" t="s">
        <v>203</v>
      </c>
      <c r="B191" t="str">
        <f>HYPERLINK("https://www.suredividend.com/sure-analysis-AVNT/","Avient Corp")</f>
        <v>Avient Corp</v>
      </c>
      <c r="C191" t="s">
        <v>1797</v>
      </c>
      <c r="D191">
        <v>37.450000000000003</v>
      </c>
      <c r="E191">
        <v>2.7503337783711619E-2</v>
      </c>
      <c r="F191">
        <v>4.040404040404022E-2</v>
      </c>
      <c r="G191">
        <v>5.717899212237354E-2</v>
      </c>
      <c r="H191">
        <v>0.99016145554990997</v>
      </c>
      <c r="I191">
        <v>3413.995778</v>
      </c>
      <c r="J191">
        <v>5.7707839388100073</v>
      </c>
      <c r="K191">
        <v>0.15447136592042279</v>
      </c>
      <c r="L191">
        <v>1.589432352072625</v>
      </c>
      <c r="M191">
        <v>43.59</v>
      </c>
      <c r="N191">
        <v>27.55</v>
      </c>
    </row>
    <row r="192" spans="1:14" x14ac:dyDescent="0.25">
      <c r="A192" s="1" t="s">
        <v>204</v>
      </c>
      <c r="B192" t="str">
        <f>HYPERLINK("https://www.suredividend.com/sure-analysis-research-database/","Aviat Networks Inc")</f>
        <v>Aviat Networks Inc</v>
      </c>
      <c r="C192" t="s">
        <v>1803</v>
      </c>
      <c r="D192">
        <v>32.36</v>
      </c>
      <c r="E192">
        <v>0</v>
      </c>
      <c r="F192" t="s">
        <v>1797</v>
      </c>
      <c r="G192" t="s">
        <v>1797</v>
      </c>
      <c r="H192">
        <v>0</v>
      </c>
      <c r="I192">
        <v>379.26072099999999</v>
      </c>
      <c r="J192">
        <v>20.748439242846981</v>
      </c>
      <c r="K192">
        <v>0</v>
      </c>
      <c r="L192">
        <v>1.2858409379632949</v>
      </c>
      <c r="M192">
        <v>39.799999999999997</v>
      </c>
      <c r="N192">
        <v>21.15</v>
      </c>
    </row>
    <row r="193" spans="1:14" x14ac:dyDescent="0.25">
      <c r="A193" s="1" t="s">
        <v>205</v>
      </c>
      <c r="B193" t="str">
        <f>HYPERLINK("https://www.suredividend.com/sure-analysis-research-database/","Mission Produce Inc")</f>
        <v>Mission Produce Inc</v>
      </c>
      <c r="C193" t="s">
        <v>1797</v>
      </c>
      <c r="D193">
        <v>10.119999999999999</v>
      </c>
      <c r="E193">
        <v>0</v>
      </c>
      <c r="F193" t="s">
        <v>1797</v>
      </c>
      <c r="G193" t="s">
        <v>1797</v>
      </c>
      <c r="H193">
        <v>0</v>
      </c>
      <c r="I193">
        <v>715.78473599999995</v>
      </c>
      <c r="J193" t="s">
        <v>1797</v>
      </c>
      <c r="K193">
        <v>0</v>
      </c>
      <c r="L193">
        <v>0.67039547521431908</v>
      </c>
      <c r="M193">
        <v>13.99</v>
      </c>
      <c r="N193">
        <v>8.19</v>
      </c>
    </row>
    <row r="194" spans="1:14" x14ac:dyDescent="0.25">
      <c r="A194" s="1" t="s">
        <v>206</v>
      </c>
      <c r="B194" t="str">
        <f>HYPERLINK("https://www.suredividend.com/sure-analysis-research-database/","AvePoint Inc")</f>
        <v>AvePoint Inc</v>
      </c>
      <c r="C194" t="s">
        <v>1797</v>
      </c>
      <c r="D194">
        <v>8.1300000000000008</v>
      </c>
      <c r="E194">
        <v>0</v>
      </c>
      <c r="F194" t="s">
        <v>1797</v>
      </c>
      <c r="G194" t="s">
        <v>1797</v>
      </c>
      <c r="H194">
        <v>0</v>
      </c>
      <c r="I194">
        <v>1493.170288</v>
      </c>
      <c r="J194" t="s">
        <v>1797</v>
      </c>
      <c r="K194">
        <v>0</v>
      </c>
      <c r="L194">
        <v>1.3721726916376229</v>
      </c>
      <c r="M194">
        <v>8.61</v>
      </c>
      <c r="N194">
        <v>3.89</v>
      </c>
    </row>
    <row r="195" spans="1:14" x14ac:dyDescent="0.25">
      <c r="A195" s="1" t="s">
        <v>207</v>
      </c>
      <c r="B195" t="str">
        <f>HYPERLINK("https://www.suredividend.com/sure-analysis-research-database/","Avantax Inc")</f>
        <v>Avantax Inc</v>
      </c>
      <c r="C195" t="s">
        <v>1797</v>
      </c>
      <c r="D195">
        <v>25.99</v>
      </c>
      <c r="E195">
        <v>0</v>
      </c>
      <c r="F195" t="s">
        <v>1797</v>
      </c>
      <c r="G195" t="s">
        <v>1797</v>
      </c>
      <c r="H195">
        <v>0</v>
      </c>
      <c r="I195">
        <v>0</v>
      </c>
      <c r="J195">
        <v>0</v>
      </c>
      <c r="K195">
        <v>0</v>
      </c>
    </row>
    <row r="196" spans="1:14" x14ac:dyDescent="0.25">
      <c r="A196" s="1" t="s">
        <v>208</v>
      </c>
      <c r="B196" t="str">
        <f>HYPERLINK("https://www.suredividend.com/sure-analysis-research-database/","Aerovate Therapeutics Inc")</f>
        <v>Aerovate Therapeutics Inc</v>
      </c>
      <c r="C196" t="s">
        <v>1797</v>
      </c>
      <c r="D196">
        <v>20.09</v>
      </c>
      <c r="E196">
        <v>0</v>
      </c>
      <c r="F196" t="s">
        <v>1797</v>
      </c>
      <c r="G196" t="s">
        <v>1797</v>
      </c>
      <c r="H196">
        <v>0</v>
      </c>
      <c r="I196">
        <v>555.86793999999998</v>
      </c>
      <c r="J196">
        <v>0</v>
      </c>
      <c r="K196" t="s">
        <v>1797</v>
      </c>
      <c r="L196">
        <v>1.862650795017458</v>
      </c>
      <c r="M196">
        <v>28.43</v>
      </c>
      <c r="N196">
        <v>9.41</v>
      </c>
    </row>
    <row r="197" spans="1:14" x14ac:dyDescent="0.25">
      <c r="A197" s="1" t="s">
        <v>209</v>
      </c>
      <c r="B197" t="str">
        <f>HYPERLINK("https://www.suredividend.com/sure-analysis-research-database/","Anavex Life Sciences Corporation")</f>
        <v>Anavex Life Sciences Corporation</v>
      </c>
      <c r="C197" t="s">
        <v>1802</v>
      </c>
      <c r="D197">
        <v>5.99</v>
      </c>
      <c r="E197">
        <v>0</v>
      </c>
      <c r="F197" t="s">
        <v>1797</v>
      </c>
      <c r="G197" t="s">
        <v>1797</v>
      </c>
      <c r="H197">
        <v>0</v>
      </c>
      <c r="I197">
        <v>491.69820099999998</v>
      </c>
      <c r="J197">
        <v>0</v>
      </c>
      <c r="K197" t="s">
        <v>1797</v>
      </c>
      <c r="L197">
        <v>1.6625274876315079</v>
      </c>
      <c r="M197">
        <v>11.93</v>
      </c>
      <c r="N197">
        <v>4.9000000000000004</v>
      </c>
    </row>
    <row r="198" spans="1:14" x14ac:dyDescent="0.25">
      <c r="A198" s="1" t="s">
        <v>210</v>
      </c>
      <c r="B198" t="str">
        <f>HYPERLINK("https://www.suredividend.com/sure-analysis-AWR/","American States Water Co.")</f>
        <v>American States Water Co.</v>
      </c>
      <c r="C198" t="s">
        <v>1805</v>
      </c>
      <c r="D198">
        <v>78.61</v>
      </c>
      <c r="E198">
        <v>2.188016791756774E-2</v>
      </c>
      <c r="F198">
        <v>8.1761006289308158E-2</v>
      </c>
      <c r="G198">
        <v>9.3521062182361669E-2</v>
      </c>
      <c r="H198">
        <v>1.6426877295237561</v>
      </c>
      <c r="I198">
        <v>2906.7449900000001</v>
      </c>
      <c r="J198">
        <v>23.672875120044299</v>
      </c>
      <c r="K198">
        <v>0.496280280822887</v>
      </c>
      <c r="L198">
        <v>0.6297343434287791</v>
      </c>
      <c r="M198">
        <v>97.32</v>
      </c>
      <c r="N198">
        <v>74.78</v>
      </c>
    </row>
    <row r="199" spans="1:14" x14ac:dyDescent="0.25">
      <c r="A199" s="1" t="s">
        <v>211</v>
      </c>
      <c r="B199" t="str">
        <f>HYPERLINK("https://www.suredividend.com/sure-analysis-research-database/","Axos Financial Inc.")</f>
        <v>Axos Financial Inc.</v>
      </c>
      <c r="C199" t="s">
        <v>1800</v>
      </c>
      <c r="D199">
        <v>52.97</v>
      </c>
      <c r="E199">
        <v>0</v>
      </c>
      <c r="F199" t="s">
        <v>1797</v>
      </c>
      <c r="G199" t="s">
        <v>1797</v>
      </c>
      <c r="H199">
        <v>0</v>
      </c>
      <c r="I199">
        <v>3056.3690000000001</v>
      </c>
      <c r="J199">
        <v>9.2225145819440382</v>
      </c>
      <c r="K199">
        <v>0</v>
      </c>
      <c r="L199">
        <v>2.2272532533603191</v>
      </c>
      <c r="M199">
        <v>57.12</v>
      </c>
      <c r="N199">
        <v>32.049999999999997</v>
      </c>
    </row>
    <row r="200" spans="1:14" x14ac:dyDescent="0.25">
      <c r="A200" s="1" t="s">
        <v>212</v>
      </c>
      <c r="B200" t="str">
        <f>HYPERLINK("https://www.suredividend.com/sure-analysis-research-database/","BioXcel Therapeutics Inc")</f>
        <v>BioXcel Therapeutics Inc</v>
      </c>
      <c r="C200" t="s">
        <v>1802</v>
      </c>
      <c r="D200">
        <v>2.63</v>
      </c>
      <c r="E200">
        <v>0</v>
      </c>
      <c r="F200" t="s">
        <v>1797</v>
      </c>
      <c r="G200" t="s">
        <v>1797</v>
      </c>
      <c r="H200">
        <v>0</v>
      </c>
      <c r="I200">
        <v>76.987125000000006</v>
      </c>
      <c r="J200" t="s">
        <v>1797</v>
      </c>
      <c r="K200">
        <v>0</v>
      </c>
      <c r="L200">
        <v>0.84957796985853906</v>
      </c>
      <c r="M200">
        <v>34.130000000000003</v>
      </c>
      <c r="N200">
        <v>2.23</v>
      </c>
    </row>
    <row r="201" spans="1:14" x14ac:dyDescent="0.25">
      <c r="A201" s="1" t="s">
        <v>213</v>
      </c>
      <c r="B201" t="str">
        <f>HYPERLINK("https://www.suredividend.com/sure-analysis-research-database/","Peabody Energy Corp.")</f>
        <v>Peabody Energy Corp.</v>
      </c>
      <c r="C201" t="s">
        <v>1807</v>
      </c>
      <c r="D201">
        <v>23.8</v>
      </c>
      <c r="E201">
        <v>9.422372271467E-3</v>
      </c>
      <c r="F201" t="s">
        <v>1797</v>
      </c>
      <c r="G201" t="s">
        <v>1797</v>
      </c>
      <c r="H201">
        <v>0.224252460060925</v>
      </c>
      <c r="I201">
        <v>3120.18</v>
      </c>
      <c r="J201">
        <v>2.601017005668556</v>
      </c>
      <c r="K201">
        <v>2.9860513989470708E-2</v>
      </c>
      <c r="L201">
        <v>0.84714922052542507</v>
      </c>
      <c r="M201">
        <v>30.91</v>
      </c>
      <c r="N201">
        <v>17.59</v>
      </c>
    </row>
    <row r="202" spans="1:14" x14ac:dyDescent="0.25">
      <c r="A202" s="1" t="s">
        <v>214</v>
      </c>
      <c r="B202" t="str">
        <f>HYPERLINK("https://www.suredividend.com/sure-analysis-research-database/","First Busey Corp.")</f>
        <v>First Busey Corp.</v>
      </c>
      <c r="C202" t="s">
        <v>1800</v>
      </c>
      <c r="D202">
        <v>23.68</v>
      </c>
      <c r="E202">
        <v>3.9149509491831012E-2</v>
      </c>
      <c r="F202">
        <v>4.3478260869565188E-2</v>
      </c>
      <c r="G202">
        <v>2.7066087089351761E-2</v>
      </c>
      <c r="H202">
        <v>0.92706038476657504</v>
      </c>
      <c r="I202">
        <v>1308.530847</v>
      </c>
      <c r="J202">
        <v>9.9733302342172045</v>
      </c>
      <c r="K202">
        <v>0.39787999346204939</v>
      </c>
      <c r="L202">
        <v>1.131057473867958</v>
      </c>
      <c r="M202">
        <v>25.8</v>
      </c>
      <c r="N202">
        <v>15.53</v>
      </c>
    </row>
    <row r="203" spans="1:14" x14ac:dyDescent="0.25">
      <c r="A203" s="1" t="s">
        <v>215</v>
      </c>
      <c r="B203" t="str">
        <f>HYPERLINK("https://www.suredividend.com/sure-analysis-research-database/","BrightView Holdings Inc")</f>
        <v>BrightView Holdings Inc</v>
      </c>
      <c r="C203" t="s">
        <v>1798</v>
      </c>
      <c r="D203">
        <v>8.24</v>
      </c>
      <c r="E203">
        <v>0</v>
      </c>
      <c r="F203" t="s">
        <v>1797</v>
      </c>
      <c r="G203" t="s">
        <v>1797</v>
      </c>
      <c r="H203">
        <v>0</v>
      </c>
      <c r="I203">
        <v>771.26400000000001</v>
      </c>
      <c r="J203" t="s">
        <v>1797</v>
      </c>
      <c r="K203">
        <v>0</v>
      </c>
      <c r="L203">
        <v>0.96472891834987606</v>
      </c>
      <c r="M203">
        <v>9.16</v>
      </c>
      <c r="N203">
        <v>5.16</v>
      </c>
    </row>
    <row r="204" spans="1:14" x14ac:dyDescent="0.25">
      <c r="A204" s="1" t="s">
        <v>216</v>
      </c>
      <c r="B204" t="str">
        <f>HYPERLINK("https://www.suredividend.com/sure-analysis-research-database/","Bluegreen Vacations Holding Corporation")</f>
        <v>Bluegreen Vacations Holding Corporation</v>
      </c>
      <c r="C204" t="s">
        <v>1797</v>
      </c>
      <c r="D204">
        <v>74.989999999999995</v>
      </c>
      <c r="E204">
        <v>1.0601638899672999E-2</v>
      </c>
      <c r="F204" t="s">
        <v>1797</v>
      </c>
      <c r="G204" t="s">
        <v>1797</v>
      </c>
      <c r="H204">
        <v>0.79501690108653911</v>
      </c>
      <c r="I204">
        <v>1003.936049</v>
      </c>
      <c r="J204">
        <v>0</v>
      </c>
      <c r="K204" t="s">
        <v>1797</v>
      </c>
      <c r="M204">
        <v>75.599999999999994</v>
      </c>
      <c r="N204">
        <v>23.02</v>
      </c>
    </row>
    <row r="205" spans="1:14" x14ac:dyDescent="0.25">
      <c r="A205" s="1" t="s">
        <v>217</v>
      </c>
      <c r="B205" t="str">
        <f>HYPERLINK("https://www.suredividend.com/sure-analysis-research-database/","Bioventus Inc")</f>
        <v>Bioventus Inc</v>
      </c>
      <c r="C205" t="s">
        <v>1797</v>
      </c>
      <c r="D205">
        <v>5.05</v>
      </c>
      <c r="E205">
        <v>0</v>
      </c>
      <c r="F205" t="s">
        <v>1797</v>
      </c>
      <c r="G205" t="s">
        <v>1797</v>
      </c>
      <c r="H205">
        <v>0</v>
      </c>
      <c r="I205">
        <v>317.977442</v>
      </c>
      <c r="J205" t="s">
        <v>1797</v>
      </c>
      <c r="K205">
        <v>0</v>
      </c>
      <c r="L205">
        <v>1.4331116021244481</v>
      </c>
      <c r="M205">
        <v>5.54</v>
      </c>
      <c r="N205">
        <v>0.79990000000000006</v>
      </c>
    </row>
    <row r="206" spans="1:14" x14ac:dyDescent="0.25">
      <c r="A206" s="1" t="s">
        <v>218</v>
      </c>
      <c r="B206" t="str">
        <f>HYPERLINK("https://www.suredividend.com/sure-analysis-research-database/","Babcock &amp; Wilcox Enterprises Inc")</f>
        <v>Babcock &amp; Wilcox Enterprises Inc</v>
      </c>
      <c r="C206" t="s">
        <v>1798</v>
      </c>
      <c r="D206">
        <v>1.22</v>
      </c>
      <c r="E206">
        <v>0</v>
      </c>
      <c r="F206" t="s">
        <v>1797</v>
      </c>
      <c r="G206" t="s">
        <v>1797</v>
      </c>
      <c r="H206">
        <v>0</v>
      </c>
      <c r="I206">
        <v>109.033118</v>
      </c>
      <c r="J206" t="s">
        <v>1797</v>
      </c>
      <c r="K206">
        <v>0</v>
      </c>
      <c r="L206">
        <v>1.567158762060187</v>
      </c>
      <c r="M206">
        <v>6.83</v>
      </c>
      <c r="N206">
        <v>0.95510000000000006</v>
      </c>
    </row>
    <row r="207" spans="1:14" x14ac:dyDescent="0.25">
      <c r="A207" s="1" t="s">
        <v>219</v>
      </c>
      <c r="B207" t="str">
        <f>HYPERLINK("https://www.suredividend.com/sure-analysis-research-database/","Bridgewater Bancshares Inc")</f>
        <v>Bridgewater Bancshares Inc</v>
      </c>
      <c r="C207" t="s">
        <v>1800</v>
      </c>
      <c r="D207">
        <v>12.55</v>
      </c>
      <c r="E207">
        <v>0</v>
      </c>
      <c r="F207" t="s">
        <v>1797</v>
      </c>
      <c r="G207" t="s">
        <v>1797</v>
      </c>
      <c r="H207">
        <v>0</v>
      </c>
      <c r="I207">
        <v>351.40715399999999</v>
      </c>
      <c r="J207">
        <v>8.6196809630102056</v>
      </c>
      <c r="K207">
        <v>0</v>
      </c>
      <c r="L207">
        <v>1.4302556173667751</v>
      </c>
      <c r="M207">
        <v>17.73</v>
      </c>
      <c r="N207">
        <v>7.9</v>
      </c>
    </row>
    <row r="208" spans="1:14" x14ac:dyDescent="0.25">
      <c r="A208" s="1" t="s">
        <v>220</v>
      </c>
      <c r="B208" t="str">
        <f>HYPERLINK("https://www.suredividend.com/sure-analysis-research-database/","Bankwell Financial Group Inc")</f>
        <v>Bankwell Financial Group Inc</v>
      </c>
      <c r="C208" t="s">
        <v>1800</v>
      </c>
      <c r="D208">
        <v>28.21</v>
      </c>
      <c r="E208">
        <v>2.7754497424840999E-2</v>
      </c>
      <c r="F208">
        <v>0</v>
      </c>
      <c r="G208">
        <v>8.9976987048345336E-2</v>
      </c>
      <c r="H208">
        <v>0.78295437235476606</v>
      </c>
      <c r="I208">
        <v>221.21198699999999</v>
      </c>
      <c r="J208">
        <v>0</v>
      </c>
      <c r="K208" t="s">
        <v>1797</v>
      </c>
      <c r="L208">
        <v>1.0328117760356139</v>
      </c>
      <c r="M208">
        <v>30.83</v>
      </c>
      <c r="N208">
        <v>20.39</v>
      </c>
    </row>
    <row r="209" spans="1:14" x14ac:dyDescent="0.25">
      <c r="A209" s="1" t="s">
        <v>221</v>
      </c>
      <c r="B209" t="str">
        <f>HYPERLINK("https://www.suredividend.com/sure-analysis-research-database/","Bluelinx Hldgs Inc")</f>
        <v>Bluelinx Hldgs Inc</v>
      </c>
      <c r="C209" t="s">
        <v>1798</v>
      </c>
      <c r="D209">
        <v>109.68</v>
      </c>
      <c r="E209">
        <v>0</v>
      </c>
      <c r="F209" t="s">
        <v>1797</v>
      </c>
      <c r="G209" t="s">
        <v>1797</v>
      </c>
      <c r="H209">
        <v>0</v>
      </c>
      <c r="I209">
        <v>961.58660599999996</v>
      </c>
      <c r="J209">
        <v>9.7478519725077568</v>
      </c>
      <c r="K209">
        <v>0</v>
      </c>
      <c r="L209">
        <v>1.7171167083090491</v>
      </c>
      <c r="M209">
        <v>117.09</v>
      </c>
      <c r="N209">
        <v>61.8</v>
      </c>
    </row>
    <row r="210" spans="1:14" x14ac:dyDescent="0.25">
      <c r="A210" s="1" t="s">
        <v>222</v>
      </c>
      <c r="B210" t="str">
        <f>HYPERLINK("https://www.suredividend.com/sure-analysis-BXMT/","Blackstone Mortgage Trust Inc")</f>
        <v>Blackstone Mortgage Trust Inc</v>
      </c>
      <c r="C210" t="s">
        <v>1799</v>
      </c>
      <c r="D210">
        <v>21.31</v>
      </c>
      <c r="E210">
        <v>0.11637728765837629</v>
      </c>
      <c r="F210">
        <v>0</v>
      </c>
      <c r="G210">
        <v>0</v>
      </c>
      <c r="H210">
        <v>2.3778145874264771</v>
      </c>
      <c r="I210">
        <v>3671.6609819999999</v>
      </c>
      <c r="J210">
        <v>18.231504795596621</v>
      </c>
      <c r="K210">
        <v>1.981512156188731</v>
      </c>
      <c r="L210">
        <v>1.5198147752718301</v>
      </c>
      <c r="M210">
        <v>22.66</v>
      </c>
      <c r="N210">
        <v>15.01</v>
      </c>
    </row>
    <row r="211" spans="1:14" x14ac:dyDescent="0.25">
      <c r="A211" s="1" t="s">
        <v>223</v>
      </c>
      <c r="B211" t="str">
        <f>HYPERLINK("https://www.suredividend.com/sure-analysis-research-database/","Byline Bancorp Inc")</f>
        <v>Byline Bancorp Inc</v>
      </c>
      <c r="C211" t="s">
        <v>1800</v>
      </c>
      <c r="D211">
        <v>22.53</v>
      </c>
      <c r="E211">
        <v>1.5873574617679999E-2</v>
      </c>
      <c r="F211" t="s">
        <v>1797</v>
      </c>
      <c r="G211" t="s">
        <v>1797</v>
      </c>
      <c r="H211">
        <v>0.35763163613634702</v>
      </c>
      <c r="I211">
        <v>984.937544</v>
      </c>
      <c r="J211">
        <v>9.7539814998316476</v>
      </c>
      <c r="K211">
        <v>0.13755062928321041</v>
      </c>
      <c r="L211">
        <v>1.281946277242676</v>
      </c>
      <c r="M211">
        <v>25.56</v>
      </c>
      <c r="N211">
        <v>16.18</v>
      </c>
    </row>
    <row r="212" spans="1:14" x14ac:dyDescent="0.25">
      <c r="A212" s="1" t="s">
        <v>224</v>
      </c>
      <c r="B212" t="str">
        <f>HYPERLINK("https://www.suredividend.com/sure-analysis-research-database/","Beyond Meat Inc")</f>
        <v>Beyond Meat Inc</v>
      </c>
      <c r="C212" t="s">
        <v>1804</v>
      </c>
      <c r="D212">
        <v>7.57</v>
      </c>
      <c r="E212">
        <v>0</v>
      </c>
      <c r="F212" t="s">
        <v>1797</v>
      </c>
      <c r="G212" t="s">
        <v>1797</v>
      </c>
      <c r="H212">
        <v>0</v>
      </c>
      <c r="I212">
        <v>488.574658</v>
      </c>
      <c r="J212" t="s">
        <v>1797</v>
      </c>
      <c r="K212">
        <v>0</v>
      </c>
      <c r="L212">
        <v>2.4997283891580149</v>
      </c>
      <c r="M212">
        <v>22.87</v>
      </c>
      <c r="N212">
        <v>5.58</v>
      </c>
    </row>
    <row r="213" spans="1:14" x14ac:dyDescent="0.25">
      <c r="A213" s="1" t="s">
        <v>225</v>
      </c>
      <c r="B213" t="str">
        <f>HYPERLINK("https://www.suredividend.com/sure-analysis-research-database/","Beazer Homes USA Inc.")</f>
        <v>Beazer Homes USA Inc.</v>
      </c>
      <c r="C213" t="s">
        <v>1801</v>
      </c>
      <c r="D213">
        <v>31.76</v>
      </c>
      <c r="E213">
        <v>0</v>
      </c>
      <c r="F213" t="s">
        <v>1797</v>
      </c>
      <c r="G213" t="s">
        <v>1797</v>
      </c>
      <c r="H213">
        <v>0</v>
      </c>
      <c r="I213">
        <v>1001.485158</v>
      </c>
      <c r="J213">
        <v>6.3140964881376451</v>
      </c>
      <c r="K213">
        <v>0</v>
      </c>
      <c r="L213">
        <v>1.936519096972448</v>
      </c>
      <c r="M213">
        <v>35.93</v>
      </c>
      <c r="N213">
        <v>13.56</v>
      </c>
    </row>
    <row r="214" spans="1:14" x14ac:dyDescent="0.25">
      <c r="A214" s="1" t="s">
        <v>226</v>
      </c>
      <c r="B214" t="str">
        <f>HYPERLINK("https://www.suredividend.com/sure-analysis-research-database/","Camden National Corp.")</f>
        <v>Camden National Corp.</v>
      </c>
      <c r="C214" t="s">
        <v>1800</v>
      </c>
      <c r="D214">
        <v>36.380000000000003</v>
      </c>
      <c r="E214">
        <v>4.4426212666029002E-2</v>
      </c>
      <c r="F214">
        <v>0</v>
      </c>
      <c r="G214">
        <v>6.9610375725068785E-2</v>
      </c>
      <c r="H214">
        <v>1.6162256167901581</v>
      </c>
      <c r="I214">
        <v>529.62502400000005</v>
      </c>
      <c r="J214">
        <v>10.55808113669438</v>
      </c>
      <c r="K214">
        <v>0.47120280372890899</v>
      </c>
      <c r="L214">
        <v>1.0083171091122549</v>
      </c>
      <c r="M214">
        <v>38.799999999999997</v>
      </c>
      <c r="N214">
        <v>25.61</v>
      </c>
    </row>
    <row r="215" spans="1:14" x14ac:dyDescent="0.25">
      <c r="A215" s="1" t="s">
        <v>227</v>
      </c>
      <c r="B215" t="str">
        <f>HYPERLINK("https://www.suredividend.com/sure-analysis-research-database/","Cadence Bank")</f>
        <v>Cadence Bank</v>
      </c>
      <c r="C215" t="s">
        <v>1800</v>
      </c>
      <c r="D215">
        <v>28.28</v>
      </c>
      <c r="E215">
        <v>3.2771219553416997E-2</v>
      </c>
      <c r="F215">
        <v>6.8181818181818343E-2</v>
      </c>
      <c r="G215">
        <v>6.0732713038533337E-2</v>
      </c>
      <c r="H215">
        <v>0.92677008897063606</v>
      </c>
      <c r="I215">
        <v>5165.7695089999997</v>
      </c>
      <c r="J215">
        <v>13.898208457569019</v>
      </c>
      <c r="K215">
        <v>0.45879707374783962</v>
      </c>
      <c r="L215">
        <v>1.8706246070390109</v>
      </c>
      <c r="M215">
        <v>31.45</v>
      </c>
      <c r="N215">
        <v>16.45</v>
      </c>
    </row>
    <row r="216" spans="1:14" x14ac:dyDescent="0.25">
      <c r="A216" s="1" t="s">
        <v>228</v>
      </c>
      <c r="B216" t="str">
        <f>HYPERLINK("https://www.suredividend.com/sure-analysis-CAKE/","Cheesecake Factory Inc.")</f>
        <v>Cheesecake Factory Inc.</v>
      </c>
      <c r="C216" t="s">
        <v>1801</v>
      </c>
      <c r="D216">
        <v>32.39</v>
      </c>
      <c r="E216">
        <v>3.3343624575486272E-2</v>
      </c>
      <c r="F216" t="s">
        <v>1797</v>
      </c>
      <c r="G216" t="s">
        <v>1797</v>
      </c>
      <c r="H216">
        <v>1.053536201853269</v>
      </c>
      <c r="I216">
        <v>1644.5414539999999</v>
      </c>
      <c r="J216">
        <v>19.263241507402899</v>
      </c>
      <c r="K216">
        <v>0.60898046349899948</v>
      </c>
      <c r="L216">
        <v>0.87478802808689604</v>
      </c>
      <c r="M216">
        <v>39</v>
      </c>
      <c r="N216">
        <v>28.09</v>
      </c>
    </row>
    <row r="217" spans="1:14" x14ac:dyDescent="0.25">
      <c r="A217" s="1" t="s">
        <v>229</v>
      </c>
      <c r="B217" t="str">
        <f>HYPERLINK("https://www.suredividend.com/sure-analysis-research-database/","Caleres Inc")</f>
        <v>Caleres Inc</v>
      </c>
      <c r="C217" t="s">
        <v>1801</v>
      </c>
      <c r="D217">
        <v>29.44</v>
      </c>
      <c r="E217">
        <v>9.4757493183050007E-3</v>
      </c>
      <c r="F217">
        <v>0</v>
      </c>
      <c r="G217">
        <v>0</v>
      </c>
      <c r="H217">
        <v>0.278966059930916</v>
      </c>
      <c r="I217">
        <v>1045.1847680000001</v>
      </c>
      <c r="J217">
        <v>6.9897530813008677</v>
      </c>
      <c r="K217">
        <v>6.3983041268558707E-2</v>
      </c>
      <c r="L217">
        <v>1.1884578479325689</v>
      </c>
      <c r="M217">
        <v>31.99</v>
      </c>
      <c r="N217">
        <v>16.72</v>
      </c>
    </row>
    <row r="218" spans="1:14" x14ac:dyDescent="0.25">
      <c r="A218" s="1" t="s">
        <v>230</v>
      </c>
      <c r="B218" t="str">
        <f>HYPERLINK("https://www.suredividend.com/sure-analysis-research-database/","Cal-Maine Foods, Inc.")</f>
        <v>Cal-Maine Foods, Inc.</v>
      </c>
      <c r="C218" t="s">
        <v>1804</v>
      </c>
      <c r="D218">
        <v>54.91</v>
      </c>
      <c r="E218">
        <v>7.5453177949795003E-2</v>
      </c>
      <c r="F218" t="s">
        <v>1797</v>
      </c>
      <c r="G218" t="s">
        <v>1797</v>
      </c>
      <c r="H218">
        <v>4.1431340012232596</v>
      </c>
      <c r="I218">
        <v>2426.0672800000002</v>
      </c>
      <c r="J218">
        <v>5.3663963189002066</v>
      </c>
      <c r="K218">
        <v>0.44790637851062259</v>
      </c>
      <c r="L218">
        <v>0.49215631243894198</v>
      </c>
      <c r="M218">
        <v>57.95</v>
      </c>
      <c r="N218">
        <v>41.89</v>
      </c>
    </row>
    <row r="219" spans="1:14" x14ac:dyDescent="0.25">
      <c r="A219" s="1" t="s">
        <v>231</v>
      </c>
      <c r="B219" t="str">
        <f>HYPERLINK("https://www.suredividend.com/sure-analysis-research-database/","Calix Inc")</f>
        <v>Calix Inc</v>
      </c>
      <c r="C219" t="s">
        <v>1803</v>
      </c>
      <c r="D219">
        <v>42.35</v>
      </c>
      <c r="E219">
        <v>0</v>
      </c>
      <c r="F219" t="s">
        <v>1797</v>
      </c>
      <c r="G219" t="s">
        <v>1797</v>
      </c>
      <c r="H219">
        <v>0</v>
      </c>
      <c r="I219">
        <v>2790.8649999999998</v>
      </c>
      <c r="J219">
        <v>58.324068462519072</v>
      </c>
      <c r="K219">
        <v>0</v>
      </c>
      <c r="L219">
        <v>1.3774134282789721</v>
      </c>
      <c r="M219">
        <v>64.849999999999994</v>
      </c>
      <c r="N219">
        <v>31.95</v>
      </c>
    </row>
    <row r="220" spans="1:14" x14ac:dyDescent="0.25">
      <c r="A220" s="1" t="s">
        <v>232</v>
      </c>
      <c r="B220" t="str">
        <f>HYPERLINK("https://www.suredividend.com/sure-analysis-research-database/","Cano Health Inc")</f>
        <v>Cano Health Inc</v>
      </c>
      <c r="C220" t="s">
        <v>1797</v>
      </c>
      <c r="D220">
        <v>3.21</v>
      </c>
      <c r="E220">
        <v>0</v>
      </c>
      <c r="F220" t="s">
        <v>1797</v>
      </c>
      <c r="G220" t="s">
        <v>1797</v>
      </c>
      <c r="H220">
        <v>0</v>
      </c>
      <c r="I220">
        <v>9.2692219999999992</v>
      </c>
      <c r="J220" t="s">
        <v>1797</v>
      </c>
      <c r="K220">
        <v>0</v>
      </c>
      <c r="L220">
        <v>0.85127560694503202</v>
      </c>
      <c r="M220">
        <v>190</v>
      </c>
      <c r="N220">
        <v>3.2</v>
      </c>
    </row>
    <row r="221" spans="1:14" x14ac:dyDescent="0.25">
      <c r="A221" s="1" t="s">
        <v>233</v>
      </c>
      <c r="B221" t="str">
        <f>HYPERLINK("https://www.suredividend.com/sure-analysis-research-database/","Cara Therapeutics Inc")</f>
        <v>Cara Therapeutics Inc</v>
      </c>
      <c r="C221" t="s">
        <v>1802</v>
      </c>
      <c r="D221">
        <v>0.57010000000000005</v>
      </c>
      <c r="E221">
        <v>0</v>
      </c>
      <c r="F221" t="s">
        <v>1797</v>
      </c>
      <c r="G221" t="s">
        <v>1797</v>
      </c>
      <c r="H221">
        <v>0</v>
      </c>
      <c r="I221">
        <v>31.059449000000001</v>
      </c>
      <c r="J221" t="s">
        <v>1797</v>
      </c>
      <c r="K221">
        <v>0</v>
      </c>
      <c r="L221">
        <v>1.575227510481664</v>
      </c>
      <c r="M221">
        <v>12.49</v>
      </c>
      <c r="N221">
        <v>0.56000000000000005</v>
      </c>
    </row>
    <row r="222" spans="1:14" x14ac:dyDescent="0.25">
      <c r="A222" s="1" t="s">
        <v>234</v>
      </c>
      <c r="B222" t="str">
        <f>HYPERLINK("https://www.suredividend.com/sure-analysis-research-database/","Carter Bankshares Inc")</f>
        <v>Carter Bankshares Inc</v>
      </c>
      <c r="C222" t="s">
        <v>1800</v>
      </c>
      <c r="D222">
        <v>13.87</v>
      </c>
      <c r="E222">
        <v>0</v>
      </c>
      <c r="F222" t="s">
        <v>1797</v>
      </c>
      <c r="G222" t="s">
        <v>1797</v>
      </c>
      <c r="H222">
        <v>0</v>
      </c>
      <c r="I222">
        <v>318.39629400000001</v>
      </c>
      <c r="J222">
        <v>7.7883685357501031</v>
      </c>
      <c r="K222">
        <v>0</v>
      </c>
      <c r="L222">
        <v>1.1167559911411491</v>
      </c>
      <c r="M222">
        <v>17.7</v>
      </c>
      <c r="N222">
        <v>10.43</v>
      </c>
    </row>
    <row r="223" spans="1:14" x14ac:dyDescent="0.25">
      <c r="A223" s="1" t="s">
        <v>235</v>
      </c>
      <c r="B223" t="str">
        <f>HYPERLINK("https://www.suredividend.com/sure-analysis-research-database/","CarGurus Inc")</f>
        <v>CarGurus Inc</v>
      </c>
      <c r="C223" t="s">
        <v>1806</v>
      </c>
      <c r="D223">
        <v>22.77</v>
      </c>
      <c r="E223">
        <v>0</v>
      </c>
      <c r="F223" t="s">
        <v>1797</v>
      </c>
      <c r="G223" t="s">
        <v>1797</v>
      </c>
      <c r="H223">
        <v>0</v>
      </c>
      <c r="I223">
        <v>2192.0714750000002</v>
      </c>
      <c r="J223">
        <v>10.23882722023971</v>
      </c>
      <c r="K223">
        <v>0</v>
      </c>
      <c r="L223">
        <v>1.37332531739523</v>
      </c>
      <c r="M223">
        <v>24.64</v>
      </c>
      <c r="N223">
        <v>15.34</v>
      </c>
    </row>
    <row r="224" spans="1:14" x14ac:dyDescent="0.25">
      <c r="A224" s="1" t="s">
        <v>236</v>
      </c>
      <c r="B224" t="str">
        <f>HYPERLINK("https://www.suredividend.com/sure-analysis-research-database/","Cars.com")</f>
        <v>Cars.com</v>
      </c>
      <c r="C224" t="s">
        <v>1801</v>
      </c>
      <c r="D224">
        <v>17.170000000000002</v>
      </c>
      <c r="E224">
        <v>0</v>
      </c>
      <c r="F224" t="s">
        <v>1797</v>
      </c>
      <c r="G224" t="s">
        <v>1797</v>
      </c>
      <c r="H224">
        <v>0</v>
      </c>
      <c r="I224">
        <v>1137.158987</v>
      </c>
      <c r="J224">
        <v>9.4481379457119594</v>
      </c>
      <c r="K224">
        <v>0</v>
      </c>
      <c r="L224">
        <v>1.316751838001728</v>
      </c>
      <c r="M224">
        <v>22.84</v>
      </c>
      <c r="N224">
        <v>14.82</v>
      </c>
    </row>
    <row r="225" spans="1:14" x14ac:dyDescent="0.25">
      <c r="A225" s="1" t="s">
        <v>237</v>
      </c>
      <c r="B225" t="str">
        <f>HYPERLINK("https://www.suredividend.com/sure-analysis-research-database/","Casa Systems Inc")</f>
        <v>Casa Systems Inc</v>
      </c>
      <c r="C225" t="s">
        <v>1803</v>
      </c>
      <c r="D225">
        <v>0.41199999999999998</v>
      </c>
      <c r="E225">
        <v>0</v>
      </c>
      <c r="F225" t="s">
        <v>1797</v>
      </c>
      <c r="G225" t="s">
        <v>1797</v>
      </c>
      <c r="H225">
        <v>0</v>
      </c>
      <c r="I225">
        <v>40.832906999999999</v>
      </c>
      <c r="J225" t="s">
        <v>1797</v>
      </c>
      <c r="K225">
        <v>0</v>
      </c>
      <c r="L225">
        <v>1.419465710054874</v>
      </c>
      <c r="M225">
        <v>3.97</v>
      </c>
      <c r="N225">
        <v>0.35570000000000002</v>
      </c>
    </row>
    <row r="226" spans="1:14" x14ac:dyDescent="0.25">
      <c r="A226" s="1" t="s">
        <v>238</v>
      </c>
      <c r="B226" t="str">
        <f>HYPERLINK("https://www.suredividend.com/sure-analysis-research-database/","Pathward Financial Inc")</f>
        <v>Pathward Financial Inc</v>
      </c>
      <c r="C226" t="s">
        <v>1800</v>
      </c>
      <c r="D226">
        <v>51.26</v>
      </c>
      <c r="E226">
        <v>3.8911519743069999E-3</v>
      </c>
      <c r="F226">
        <v>0</v>
      </c>
      <c r="G226">
        <v>0</v>
      </c>
      <c r="H226">
        <v>0.19946045020299599</v>
      </c>
      <c r="I226">
        <v>1332.1993689999999</v>
      </c>
      <c r="J226">
        <v>8.2662126889713452</v>
      </c>
      <c r="K226">
        <v>3.3298906544740568E-2</v>
      </c>
      <c r="L226">
        <v>1.3796885745981049</v>
      </c>
      <c r="M226">
        <v>60.25</v>
      </c>
      <c r="N226">
        <v>39.549999999999997</v>
      </c>
    </row>
    <row r="227" spans="1:14" x14ac:dyDescent="0.25">
      <c r="A227" s="1" t="s">
        <v>239</v>
      </c>
      <c r="B227" t="str">
        <f>HYPERLINK("https://www.suredividend.com/sure-analysis-CASS/","Cass Information Systems Inc")</f>
        <v>Cass Information Systems Inc</v>
      </c>
      <c r="C227" t="s">
        <v>1798</v>
      </c>
      <c r="D227">
        <v>42.97</v>
      </c>
      <c r="E227">
        <v>2.7926460321154291E-2</v>
      </c>
      <c r="F227">
        <v>3.4482758620689953E-2</v>
      </c>
      <c r="G227">
        <v>2.9033661071187881E-2</v>
      </c>
      <c r="H227">
        <v>1.1448155054824409</v>
      </c>
      <c r="I227">
        <v>584.241175</v>
      </c>
      <c r="J227">
        <v>18.886699919182771</v>
      </c>
      <c r="K227">
        <v>0.51107835066180396</v>
      </c>
      <c r="L227">
        <v>0.85814044200429507</v>
      </c>
      <c r="M227">
        <v>48.94</v>
      </c>
      <c r="N227">
        <v>33.520000000000003</v>
      </c>
    </row>
    <row r="228" spans="1:14" x14ac:dyDescent="0.25">
      <c r="A228" s="1" t="s">
        <v>240</v>
      </c>
      <c r="B228" t="str">
        <f>HYPERLINK("https://www.suredividend.com/sure-analysis-CATC/","Cambridge Bancorp")</f>
        <v>Cambridge Bancorp</v>
      </c>
      <c r="C228" t="s">
        <v>1800</v>
      </c>
      <c r="D228">
        <v>67.400000000000006</v>
      </c>
      <c r="E228">
        <v>3.9762611275964387E-2</v>
      </c>
      <c r="F228" t="s">
        <v>1797</v>
      </c>
      <c r="G228" t="s">
        <v>1797</v>
      </c>
      <c r="H228">
        <v>2.584717066849735</v>
      </c>
      <c r="I228">
        <v>528.84675300000004</v>
      </c>
      <c r="J228">
        <v>14.142556383377009</v>
      </c>
      <c r="K228">
        <v>0.54186940604816247</v>
      </c>
      <c r="L228">
        <v>1.2329090151570099</v>
      </c>
      <c r="M228">
        <v>79.02</v>
      </c>
      <c r="N228">
        <v>41.4</v>
      </c>
    </row>
    <row r="229" spans="1:14" x14ac:dyDescent="0.25">
      <c r="A229" s="1" t="s">
        <v>241</v>
      </c>
      <c r="B229" t="str">
        <f>HYPERLINK("https://www.suredividend.com/sure-analysis-research-database/","Cato Corp.")</f>
        <v>Cato Corp.</v>
      </c>
      <c r="C229" t="s">
        <v>1801</v>
      </c>
      <c r="D229">
        <v>7.02</v>
      </c>
      <c r="E229">
        <v>9.3608781523149012E-2</v>
      </c>
      <c r="F229" t="s">
        <v>1797</v>
      </c>
      <c r="G229" t="s">
        <v>1797</v>
      </c>
      <c r="H229">
        <v>0.65713364629250803</v>
      </c>
      <c r="I229">
        <v>132.127014</v>
      </c>
      <c r="J229" t="s">
        <v>1797</v>
      </c>
      <c r="K229" t="s">
        <v>1797</v>
      </c>
      <c r="L229">
        <v>0.61524638932933207</v>
      </c>
      <c r="M229">
        <v>9.58</v>
      </c>
      <c r="N229">
        <v>6.38</v>
      </c>
    </row>
    <row r="230" spans="1:14" x14ac:dyDescent="0.25">
      <c r="A230" s="1" t="s">
        <v>242</v>
      </c>
      <c r="B230" t="str">
        <f>HYPERLINK("https://www.suredividend.com/sure-analysis-research-database/","Cathay General Bancorp")</f>
        <v>Cathay General Bancorp</v>
      </c>
      <c r="C230" t="s">
        <v>1800</v>
      </c>
      <c r="D230">
        <v>42.75</v>
      </c>
      <c r="E230">
        <v>3.0903440456424999E-2</v>
      </c>
      <c r="F230">
        <v>0</v>
      </c>
      <c r="G230">
        <v>1.8646376444729999E-2</v>
      </c>
      <c r="H230">
        <v>1.3211220795122021</v>
      </c>
      <c r="I230">
        <v>3105.7388930000002</v>
      </c>
      <c r="J230">
        <v>8.4120999603195017</v>
      </c>
      <c r="K230">
        <v>0.26212739672861152</v>
      </c>
      <c r="L230">
        <v>1.430846892573882</v>
      </c>
      <c r="M230">
        <v>45.72</v>
      </c>
      <c r="N230">
        <v>25.65</v>
      </c>
    </row>
    <row r="231" spans="1:14" x14ac:dyDescent="0.25">
      <c r="A231" s="1" t="s">
        <v>243</v>
      </c>
      <c r="B231" t="str">
        <f>HYPERLINK("https://www.suredividend.com/sure-analysis-research-database/","Colony Bankcorp, Inc.")</f>
        <v>Colony Bankcorp, Inc.</v>
      </c>
      <c r="C231" t="s">
        <v>1800</v>
      </c>
      <c r="D231">
        <v>12.66</v>
      </c>
      <c r="E231">
        <v>3.3669985552477001E-2</v>
      </c>
      <c r="F231">
        <v>2.325581395348841E-2</v>
      </c>
      <c r="G231">
        <v>7.9608473046602901E-2</v>
      </c>
      <c r="H231">
        <v>0.42626201709436501</v>
      </c>
      <c r="I231">
        <v>222.41066499999999</v>
      </c>
      <c r="J231">
        <v>0</v>
      </c>
      <c r="K231" t="s">
        <v>1797</v>
      </c>
      <c r="L231">
        <v>0.82040355187515401</v>
      </c>
      <c r="M231">
        <v>13.58</v>
      </c>
      <c r="N231">
        <v>8.0399999999999991</v>
      </c>
    </row>
    <row r="232" spans="1:14" x14ac:dyDescent="0.25">
      <c r="A232" s="1" t="s">
        <v>244</v>
      </c>
      <c r="B232" t="str">
        <f>HYPERLINK("https://www.suredividend.com/sure-analysis-research-database/","CBL&amp; Associates Properties, Inc.")</f>
        <v>CBL&amp; Associates Properties, Inc.</v>
      </c>
      <c r="C232" t="s">
        <v>1799</v>
      </c>
      <c r="D232">
        <v>25.12</v>
      </c>
      <c r="E232">
        <v>5.8241706036939997E-2</v>
      </c>
      <c r="F232" t="s">
        <v>1797</v>
      </c>
      <c r="G232" t="s">
        <v>1797</v>
      </c>
      <c r="H232">
        <v>1.463031655647935</v>
      </c>
      <c r="I232">
        <v>803.87107300000002</v>
      </c>
      <c r="J232" t="s">
        <v>1797</v>
      </c>
      <c r="K232" t="s">
        <v>1797</v>
      </c>
      <c r="L232">
        <v>0.71163639804462908</v>
      </c>
      <c r="M232">
        <v>25.64</v>
      </c>
      <c r="N232">
        <v>19.579999999999998</v>
      </c>
    </row>
    <row r="233" spans="1:14" x14ac:dyDescent="0.25">
      <c r="A233" s="1" t="s">
        <v>245</v>
      </c>
      <c r="B233" t="str">
        <f>HYPERLINK("https://www.suredividend.com/sure-analysis-research-database/","Capital Bancorp Inc")</f>
        <v>Capital Bancorp Inc</v>
      </c>
      <c r="C233" t="s">
        <v>1800</v>
      </c>
      <c r="D233">
        <v>23.46</v>
      </c>
      <c r="E233">
        <v>1.1817460456256999E-2</v>
      </c>
      <c r="F233" t="s">
        <v>1797</v>
      </c>
      <c r="G233" t="s">
        <v>1797</v>
      </c>
      <c r="H233">
        <v>0.27723762230379601</v>
      </c>
      <c r="I233">
        <v>325.96307000000002</v>
      </c>
      <c r="J233">
        <v>0</v>
      </c>
      <c r="K233" t="s">
        <v>1797</v>
      </c>
      <c r="L233">
        <v>0.71721915209244202</v>
      </c>
      <c r="M233">
        <v>25</v>
      </c>
      <c r="N233">
        <v>15</v>
      </c>
    </row>
    <row r="234" spans="1:14" x14ac:dyDescent="0.25">
      <c r="A234" s="1" t="s">
        <v>246</v>
      </c>
      <c r="B234" t="str">
        <f>HYPERLINK("https://www.suredividend.com/sure-analysis-CBRL/","Cracker Barrel Old Country Store Inc")</f>
        <v>Cracker Barrel Old Country Store Inc</v>
      </c>
      <c r="C234" t="s">
        <v>1801</v>
      </c>
      <c r="D234">
        <v>72.069999999999993</v>
      </c>
      <c r="E234">
        <v>7.2152074372138206E-2</v>
      </c>
      <c r="F234" t="s">
        <v>1797</v>
      </c>
      <c r="G234" t="s">
        <v>1797</v>
      </c>
      <c r="H234">
        <v>3.7739440016582</v>
      </c>
      <c r="I234">
        <v>1598.881022</v>
      </c>
      <c r="J234">
        <v>18.298648635682159</v>
      </c>
      <c r="K234">
        <v>0.96029109456951645</v>
      </c>
      <c r="L234">
        <v>0.96339206628448804</v>
      </c>
      <c r="M234">
        <v>112.49</v>
      </c>
      <c r="N234">
        <v>60.45</v>
      </c>
    </row>
    <row r="235" spans="1:14" x14ac:dyDescent="0.25">
      <c r="A235" s="1" t="s">
        <v>247</v>
      </c>
      <c r="B235" t="str">
        <f>HYPERLINK("https://www.suredividend.com/sure-analysis-research-database/","Cabot Corp.")</f>
        <v>Cabot Corp.</v>
      </c>
      <c r="C235" t="s">
        <v>1808</v>
      </c>
      <c r="D235">
        <v>76.239999999999995</v>
      </c>
      <c r="E235">
        <v>2.0428652103199999E-2</v>
      </c>
      <c r="F235">
        <v>8.1081081081081141E-2</v>
      </c>
      <c r="G235">
        <v>3.9224101567206349E-2</v>
      </c>
      <c r="H235">
        <v>1.557480436347968</v>
      </c>
      <c r="I235">
        <v>4216.7625820000003</v>
      </c>
      <c r="J235">
        <v>9.6493422927231105</v>
      </c>
      <c r="K235">
        <v>0.20148517934643831</v>
      </c>
      <c r="L235">
        <v>1.3411293376942079</v>
      </c>
      <c r="M235">
        <v>86.67</v>
      </c>
      <c r="N235">
        <v>63.04</v>
      </c>
    </row>
    <row r="236" spans="1:14" x14ac:dyDescent="0.25">
      <c r="A236" s="1" t="s">
        <v>248</v>
      </c>
      <c r="B236" t="str">
        <f>HYPERLINK("https://www.suredividend.com/sure-analysis-CBU/","Community Bank System, Inc.")</f>
        <v>Community Bank System, Inc.</v>
      </c>
      <c r="C236" t="s">
        <v>1800</v>
      </c>
      <c r="D236">
        <v>49.19</v>
      </c>
      <c r="E236">
        <v>3.659280341532832E-2</v>
      </c>
      <c r="F236">
        <v>2.2727272727272711E-2</v>
      </c>
      <c r="G236">
        <v>3.4393501436834388E-2</v>
      </c>
      <c r="H236">
        <v>1.755620771850525</v>
      </c>
      <c r="I236">
        <v>2626.035942</v>
      </c>
      <c r="J236">
        <v>17.479638046980039</v>
      </c>
      <c r="K236">
        <v>0.62925475693567201</v>
      </c>
      <c r="L236">
        <v>1.441237758105443</v>
      </c>
      <c r="M236">
        <v>61.91</v>
      </c>
      <c r="N236">
        <v>35.07</v>
      </c>
    </row>
    <row r="237" spans="1:14" x14ac:dyDescent="0.25">
      <c r="A237" s="1" t="s">
        <v>249</v>
      </c>
      <c r="B237" t="str">
        <f>HYPERLINK("https://www.suredividend.com/sure-analysis-research-database/","Cbiz Inc")</f>
        <v>Cbiz Inc</v>
      </c>
      <c r="C237" t="s">
        <v>1798</v>
      </c>
      <c r="D237">
        <v>63.09</v>
      </c>
      <c r="E237">
        <v>0</v>
      </c>
      <c r="F237" t="s">
        <v>1797</v>
      </c>
      <c r="G237" t="s">
        <v>1797</v>
      </c>
      <c r="H237">
        <v>0</v>
      </c>
      <c r="I237">
        <v>3144.5211810000001</v>
      </c>
      <c r="J237">
        <v>25.73110526303731</v>
      </c>
      <c r="K237">
        <v>0</v>
      </c>
      <c r="L237">
        <v>0.92069829300495309</v>
      </c>
      <c r="M237">
        <v>63.2</v>
      </c>
      <c r="N237">
        <v>45.4</v>
      </c>
    </row>
    <row r="238" spans="1:14" x14ac:dyDescent="0.25">
      <c r="A238" s="1" t="s">
        <v>250</v>
      </c>
      <c r="B238" t="str">
        <f>HYPERLINK("https://www.suredividend.com/sure-analysis-research-database/","Coastal Financial Corp")</f>
        <v>Coastal Financial Corp</v>
      </c>
      <c r="C238" t="s">
        <v>1800</v>
      </c>
      <c r="D238">
        <v>41.95</v>
      </c>
      <c r="E238">
        <v>0</v>
      </c>
      <c r="F238" t="s">
        <v>1797</v>
      </c>
      <c r="G238" t="s">
        <v>1797</v>
      </c>
      <c r="H238">
        <v>0</v>
      </c>
      <c r="I238">
        <v>558.037736</v>
      </c>
      <c r="J238">
        <v>11.462210856526649</v>
      </c>
      <c r="K238">
        <v>0</v>
      </c>
      <c r="L238">
        <v>1.6901008323016451</v>
      </c>
      <c r="M238">
        <v>48.5</v>
      </c>
      <c r="N238">
        <v>29.91</v>
      </c>
    </row>
    <row r="239" spans="1:14" x14ac:dyDescent="0.25">
      <c r="A239" s="1" t="s">
        <v>251</v>
      </c>
      <c r="B239" t="str">
        <f>HYPERLINK("https://www.suredividend.com/sure-analysis-research-database/","Capital City Bank Group, Inc.")</f>
        <v>Capital City Bank Group, Inc.</v>
      </c>
      <c r="C239" t="s">
        <v>1800</v>
      </c>
      <c r="D239">
        <v>27.24</v>
      </c>
      <c r="E239">
        <v>2.7346321848953001E-2</v>
      </c>
      <c r="F239">
        <v>0.17647058823529421</v>
      </c>
      <c r="G239">
        <v>0.12700920209792541</v>
      </c>
      <c r="H239">
        <v>0.74491380716549205</v>
      </c>
      <c r="I239">
        <v>461.93744500000003</v>
      </c>
      <c r="J239">
        <v>8.8014908436856949</v>
      </c>
      <c r="K239">
        <v>0.2418551321965883</v>
      </c>
      <c r="L239">
        <v>0.89536428220404807</v>
      </c>
      <c r="M239">
        <v>35.4</v>
      </c>
      <c r="N239">
        <v>25.73</v>
      </c>
    </row>
    <row r="240" spans="1:14" x14ac:dyDescent="0.25">
      <c r="A240" s="1" t="s">
        <v>252</v>
      </c>
      <c r="B240" t="str">
        <f>HYPERLINK("https://www.suredividend.com/sure-analysis-research-database/","C4 Therapeutics Inc")</f>
        <v>C4 Therapeutics Inc</v>
      </c>
      <c r="C240" t="s">
        <v>1797</v>
      </c>
      <c r="D240">
        <v>6.8</v>
      </c>
      <c r="E240">
        <v>0</v>
      </c>
      <c r="F240" t="s">
        <v>1797</v>
      </c>
      <c r="G240" t="s">
        <v>1797</v>
      </c>
      <c r="H240">
        <v>0</v>
      </c>
      <c r="I240">
        <v>335.11111299999999</v>
      </c>
      <c r="J240" t="s">
        <v>1797</v>
      </c>
      <c r="K240">
        <v>0</v>
      </c>
      <c r="L240">
        <v>2.961515501261462</v>
      </c>
      <c r="M240">
        <v>8.52</v>
      </c>
      <c r="N240">
        <v>1.06</v>
      </c>
    </row>
    <row r="241" spans="1:14" x14ac:dyDescent="0.25">
      <c r="A241" s="1" t="s">
        <v>253</v>
      </c>
      <c r="B241" t="str">
        <f>HYPERLINK("https://www.suredividend.com/sure-analysis-research-database/","Chase Corp.")</f>
        <v>Chase Corp.</v>
      </c>
      <c r="C241" t="s">
        <v>1808</v>
      </c>
      <c r="D241">
        <v>127.49</v>
      </c>
      <c r="E241">
        <v>7.8437524511719998E-3</v>
      </c>
      <c r="F241" t="s">
        <v>1797</v>
      </c>
      <c r="G241" t="s">
        <v>1797</v>
      </c>
      <c r="H241">
        <v>1</v>
      </c>
      <c r="I241">
        <v>1214.0552700000001</v>
      </c>
      <c r="J241">
        <v>0</v>
      </c>
      <c r="K241" t="s">
        <v>1797</v>
      </c>
      <c r="M241">
        <v>135.27000000000001</v>
      </c>
      <c r="N241">
        <v>81.180000000000007</v>
      </c>
    </row>
    <row r="242" spans="1:14" x14ac:dyDescent="0.25">
      <c r="A242" s="1" t="s">
        <v>254</v>
      </c>
      <c r="B242" t="str">
        <f>HYPERLINK("https://www.suredividend.com/sure-analysis-research-database/","CNB Financial Corp (PA)")</f>
        <v>CNB Financial Corp (PA)</v>
      </c>
      <c r="C242" t="s">
        <v>1800</v>
      </c>
      <c r="D242">
        <v>21.19</v>
      </c>
      <c r="E242">
        <v>3.2153098389157003E-2</v>
      </c>
      <c r="F242">
        <v>0</v>
      </c>
      <c r="G242">
        <v>5.8143454444143927E-3</v>
      </c>
      <c r="H242">
        <v>0.68132415486625209</v>
      </c>
      <c r="I242">
        <v>442.82450899999998</v>
      </c>
      <c r="J242">
        <v>7.9979863301244416</v>
      </c>
      <c r="K242">
        <v>0.25905861401758629</v>
      </c>
      <c r="L242">
        <v>1.315381596132964</v>
      </c>
      <c r="M242">
        <v>23.52</v>
      </c>
      <c r="N242">
        <v>15.58</v>
      </c>
    </row>
    <row r="243" spans="1:14" x14ac:dyDescent="0.25">
      <c r="A243" s="1" t="s">
        <v>255</v>
      </c>
      <c r="B243" t="str">
        <f>HYPERLINK("https://www.suredividend.com/sure-analysis-research-database/","Clear Channel Outdoor Holdings Inc.")</f>
        <v>Clear Channel Outdoor Holdings Inc.</v>
      </c>
      <c r="C243" t="s">
        <v>1806</v>
      </c>
      <c r="D243">
        <v>1.67</v>
      </c>
      <c r="E243">
        <v>0</v>
      </c>
      <c r="F243" t="s">
        <v>1797</v>
      </c>
      <c r="G243" t="s">
        <v>1797</v>
      </c>
      <c r="H243">
        <v>0</v>
      </c>
      <c r="I243">
        <v>806.626396</v>
      </c>
      <c r="J243" t="s">
        <v>1797</v>
      </c>
      <c r="K243">
        <v>0</v>
      </c>
      <c r="L243">
        <v>1.734937152112525</v>
      </c>
      <c r="M243">
        <v>2.14</v>
      </c>
      <c r="N243">
        <v>0.99</v>
      </c>
    </row>
    <row r="244" spans="1:14" x14ac:dyDescent="0.25">
      <c r="A244" s="1" t="s">
        <v>256</v>
      </c>
      <c r="B244" t="str">
        <f>HYPERLINK("https://www.suredividend.com/sure-analysis-CCOI/","Cogent Communications Holdings Inc")</f>
        <v>Cogent Communications Holdings Inc</v>
      </c>
      <c r="C244" t="s">
        <v>1806</v>
      </c>
      <c r="D244">
        <v>73.55</v>
      </c>
      <c r="E244">
        <v>5.193745751189667E-2</v>
      </c>
      <c r="F244">
        <v>4.3715846994535568E-2</v>
      </c>
      <c r="G244">
        <v>0.10487990674870321</v>
      </c>
      <c r="H244">
        <v>3.6178092087439362</v>
      </c>
      <c r="I244">
        <v>3574.53</v>
      </c>
      <c r="J244">
        <v>3.327806431191465</v>
      </c>
      <c r="K244">
        <v>0.16022184272559509</v>
      </c>
      <c r="L244">
        <v>0.62885678542368706</v>
      </c>
      <c r="M244">
        <v>77</v>
      </c>
      <c r="N244">
        <v>54.2</v>
      </c>
    </row>
    <row r="245" spans="1:14" x14ac:dyDescent="0.25">
      <c r="A245" s="1" t="s">
        <v>257</v>
      </c>
      <c r="B245" t="str">
        <f>HYPERLINK("https://www.suredividend.com/sure-analysis-research-database/","Cross Country Healthcares, Inc.")</f>
        <v>Cross Country Healthcares, Inc.</v>
      </c>
      <c r="C245" t="s">
        <v>1798</v>
      </c>
      <c r="D245">
        <v>22.46</v>
      </c>
      <c r="E245">
        <v>0</v>
      </c>
      <c r="F245" t="s">
        <v>1797</v>
      </c>
      <c r="G245" t="s">
        <v>1797</v>
      </c>
      <c r="H245">
        <v>0</v>
      </c>
      <c r="I245">
        <v>789.48804600000005</v>
      </c>
      <c r="J245">
        <v>7.7110490514142844</v>
      </c>
      <c r="K245">
        <v>0</v>
      </c>
      <c r="L245">
        <v>0.46396916804741911</v>
      </c>
      <c r="M245">
        <v>31.82</v>
      </c>
      <c r="N245">
        <v>15.65</v>
      </c>
    </row>
    <row r="246" spans="1:14" x14ac:dyDescent="0.25">
      <c r="A246" s="1" t="s">
        <v>258</v>
      </c>
      <c r="B246" t="str">
        <f>HYPERLINK("https://www.suredividend.com/sure-analysis-research-database/","Century Communities Inc")</f>
        <v>Century Communities Inc</v>
      </c>
      <c r="C246" t="s">
        <v>1801</v>
      </c>
      <c r="D246">
        <v>86.37</v>
      </c>
      <c r="E246">
        <v>1.0599571827800001E-2</v>
      </c>
      <c r="F246" t="s">
        <v>1797</v>
      </c>
      <c r="G246" t="s">
        <v>1797</v>
      </c>
      <c r="H246">
        <v>0.91548501876715405</v>
      </c>
      <c r="I246">
        <v>2744.3734979999999</v>
      </c>
      <c r="J246">
        <v>11.09308392469533</v>
      </c>
      <c r="K246">
        <v>0.1192037784853065</v>
      </c>
      <c r="L246">
        <v>1.352054891804171</v>
      </c>
      <c r="M246">
        <v>92.14</v>
      </c>
      <c r="N246">
        <v>55.08</v>
      </c>
    </row>
    <row r="247" spans="1:14" x14ac:dyDescent="0.25">
      <c r="A247" s="1" t="s">
        <v>259</v>
      </c>
      <c r="B247" t="str">
        <f>HYPERLINK("https://www.suredividend.com/sure-analysis-research-database/","Consensus Cloud Solutions Inc")</f>
        <v>Consensus Cloud Solutions Inc</v>
      </c>
      <c r="C247" t="s">
        <v>1797</v>
      </c>
      <c r="D247">
        <v>19.71</v>
      </c>
      <c r="E247">
        <v>0</v>
      </c>
      <c r="F247" t="s">
        <v>1797</v>
      </c>
      <c r="G247" t="s">
        <v>1797</v>
      </c>
      <c r="H247">
        <v>0</v>
      </c>
      <c r="I247">
        <v>377.51745599999998</v>
      </c>
      <c r="J247">
        <v>4.9100297319442818</v>
      </c>
      <c r="K247">
        <v>0</v>
      </c>
      <c r="L247">
        <v>1.012157471676129</v>
      </c>
      <c r="M247">
        <v>62.08</v>
      </c>
      <c r="N247">
        <v>18.329999999999998</v>
      </c>
    </row>
    <row r="248" spans="1:14" x14ac:dyDescent="0.25">
      <c r="A248" s="1" t="s">
        <v>260</v>
      </c>
      <c r="B248" t="str">
        <f>HYPERLINK("https://www.suredividend.com/sure-analysis-research-database/","Coeur Mining Inc")</f>
        <v>Coeur Mining Inc</v>
      </c>
      <c r="C248" t="s">
        <v>1808</v>
      </c>
      <c r="D248">
        <v>2.88</v>
      </c>
      <c r="E248">
        <v>0</v>
      </c>
      <c r="F248" t="s">
        <v>1797</v>
      </c>
      <c r="G248" t="s">
        <v>1797</v>
      </c>
      <c r="H248">
        <v>0</v>
      </c>
      <c r="I248">
        <v>1101.91587</v>
      </c>
      <c r="J248" t="s">
        <v>1797</v>
      </c>
      <c r="K248">
        <v>0</v>
      </c>
      <c r="L248">
        <v>1.004505628147935</v>
      </c>
      <c r="M248">
        <v>4.55</v>
      </c>
      <c r="N248">
        <v>2</v>
      </c>
    </row>
    <row r="249" spans="1:14" x14ac:dyDescent="0.25">
      <c r="A249" s="1" t="s">
        <v>261</v>
      </c>
      <c r="B249" t="str">
        <f>HYPERLINK("https://www.suredividend.com/sure-analysis-research-database/","Cardlytics Inc")</f>
        <v>Cardlytics Inc</v>
      </c>
      <c r="C249" t="s">
        <v>1806</v>
      </c>
      <c r="D249">
        <v>6.91</v>
      </c>
      <c r="E249">
        <v>0</v>
      </c>
      <c r="F249" t="s">
        <v>1797</v>
      </c>
      <c r="G249" t="s">
        <v>1797</v>
      </c>
      <c r="H249">
        <v>0</v>
      </c>
      <c r="I249">
        <v>271.246149</v>
      </c>
      <c r="J249" t="s">
        <v>1797</v>
      </c>
      <c r="K249">
        <v>0</v>
      </c>
      <c r="L249">
        <v>3.5387231182558212</v>
      </c>
      <c r="M249">
        <v>19.57</v>
      </c>
      <c r="N249">
        <v>2.57</v>
      </c>
    </row>
    <row r="250" spans="1:14" x14ac:dyDescent="0.25">
      <c r="A250" s="1" t="s">
        <v>262</v>
      </c>
      <c r="B250" t="str">
        <f>HYPERLINK("https://www.suredividend.com/sure-analysis-research-database/","Avid Bioservices Inc")</f>
        <v>Avid Bioservices Inc</v>
      </c>
      <c r="C250" t="s">
        <v>1802</v>
      </c>
      <c r="D250">
        <v>6.29</v>
      </c>
      <c r="E250">
        <v>0</v>
      </c>
      <c r="F250" t="s">
        <v>1797</v>
      </c>
      <c r="G250" t="s">
        <v>1797</v>
      </c>
      <c r="H250">
        <v>0</v>
      </c>
      <c r="I250">
        <v>397.77480700000001</v>
      </c>
      <c r="J250" t="s">
        <v>1797</v>
      </c>
      <c r="K250">
        <v>0</v>
      </c>
      <c r="L250">
        <v>1.7792813616083141</v>
      </c>
      <c r="M250">
        <v>21.05</v>
      </c>
      <c r="N250">
        <v>4.07</v>
      </c>
    </row>
    <row r="251" spans="1:14" x14ac:dyDescent="0.25">
      <c r="A251" s="1" t="s">
        <v>263</v>
      </c>
      <c r="B251" t="str">
        <f>HYPERLINK("https://www.suredividend.com/sure-analysis-research-database/","Caredx Inc")</f>
        <v>Caredx Inc</v>
      </c>
      <c r="C251" t="s">
        <v>1802</v>
      </c>
      <c r="D251">
        <v>11.01</v>
      </c>
      <c r="E251">
        <v>0</v>
      </c>
      <c r="F251" t="s">
        <v>1797</v>
      </c>
      <c r="G251" t="s">
        <v>1797</v>
      </c>
      <c r="H251">
        <v>0</v>
      </c>
      <c r="I251">
        <v>595.62314200000003</v>
      </c>
      <c r="J251" t="s">
        <v>1797</v>
      </c>
      <c r="K251">
        <v>0</v>
      </c>
      <c r="L251">
        <v>1.7521656650638859</v>
      </c>
      <c r="M251">
        <v>18.04</v>
      </c>
      <c r="N251">
        <v>4.8</v>
      </c>
    </row>
    <row r="252" spans="1:14" x14ac:dyDescent="0.25">
      <c r="A252" s="1" t="s">
        <v>264</v>
      </c>
      <c r="B252" t="str">
        <f>HYPERLINK("https://www.suredividend.com/sure-analysis-research-database/","Cadre Holdings Inc")</f>
        <v>Cadre Holdings Inc</v>
      </c>
      <c r="C252" t="s">
        <v>1797</v>
      </c>
      <c r="D252">
        <v>33.93</v>
      </c>
      <c r="E252">
        <v>9.3865382481520005E-3</v>
      </c>
      <c r="F252" t="s">
        <v>1797</v>
      </c>
      <c r="G252" t="s">
        <v>1797</v>
      </c>
      <c r="H252">
        <v>0.31848524275981799</v>
      </c>
      <c r="I252">
        <v>1275.294032</v>
      </c>
      <c r="J252">
        <v>35.77663782275711</v>
      </c>
      <c r="K252">
        <v>0.33510652647287248</v>
      </c>
      <c r="L252">
        <v>0.57290740645517402</v>
      </c>
      <c r="M252">
        <v>34.71</v>
      </c>
      <c r="N252">
        <v>16.41</v>
      </c>
    </row>
    <row r="253" spans="1:14" x14ac:dyDescent="0.25">
      <c r="A253" s="1" t="s">
        <v>265</v>
      </c>
      <c r="B253" t="str">
        <f>HYPERLINK("https://www.suredividend.com/sure-analysis-research-database/","Codexis Inc.")</f>
        <v>Codexis Inc.</v>
      </c>
      <c r="C253" t="s">
        <v>1802</v>
      </c>
      <c r="D253">
        <v>2.86</v>
      </c>
      <c r="E253">
        <v>0</v>
      </c>
      <c r="F253" t="s">
        <v>1797</v>
      </c>
      <c r="G253" t="s">
        <v>1797</v>
      </c>
      <c r="H253">
        <v>0</v>
      </c>
      <c r="I253">
        <v>199.62799999999999</v>
      </c>
      <c r="J253">
        <v>0</v>
      </c>
      <c r="K253" t="s">
        <v>1797</v>
      </c>
      <c r="L253">
        <v>2.7736038070469728</v>
      </c>
      <c r="M253">
        <v>6.98</v>
      </c>
      <c r="N253">
        <v>1.45</v>
      </c>
    </row>
    <row r="254" spans="1:14" x14ac:dyDescent="0.25">
      <c r="A254" s="1" t="s">
        <v>266</v>
      </c>
      <c r="B254" t="str">
        <f>HYPERLINK("https://www.suredividend.com/sure-analysis-research-database/","Consol Energy Inc")</f>
        <v>Consol Energy Inc</v>
      </c>
      <c r="C254" t="s">
        <v>1807</v>
      </c>
      <c r="D254">
        <v>96.02</v>
      </c>
      <c r="E254">
        <v>2.2708009824683999E-2</v>
      </c>
      <c r="F254" t="s">
        <v>1797</v>
      </c>
      <c r="G254" t="s">
        <v>1797</v>
      </c>
      <c r="H254">
        <v>2.180423103366198</v>
      </c>
      <c r="I254">
        <v>2977.566949</v>
      </c>
      <c r="J254">
        <v>4.3038250774598827</v>
      </c>
      <c r="K254">
        <v>0.1089122429253845</v>
      </c>
      <c r="L254">
        <v>0.88182655233487406</v>
      </c>
      <c r="M254">
        <v>114.3</v>
      </c>
      <c r="N254">
        <v>48.47</v>
      </c>
    </row>
    <row r="255" spans="1:14" x14ac:dyDescent="0.25">
      <c r="A255" s="1" t="s">
        <v>267</v>
      </c>
      <c r="B255" t="str">
        <f>HYPERLINK("https://www.suredividend.com/sure-analysis-research-database/","Celsius Holdings Inc")</f>
        <v>Celsius Holdings Inc</v>
      </c>
      <c r="C255" t="s">
        <v>1804</v>
      </c>
      <c r="D255">
        <v>60.35</v>
      </c>
      <c r="E255">
        <v>0</v>
      </c>
      <c r="F255" t="s">
        <v>1797</v>
      </c>
      <c r="G255" t="s">
        <v>1797</v>
      </c>
      <c r="H255">
        <v>0</v>
      </c>
      <c r="I255">
        <v>4586.6000000000004</v>
      </c>
      <c r="J255">
        <v>39.970370370370368</v>
      </c>
      <c r="K255">
        <v>0</v>
      </c>
      <c r="L255">
        <v>1.492749634724803</v>
      </c>
      <c r="M255">
        <v>68.95</v>
      </c>
      <c r="N255">
        <v>26.75</v>
      </c>
    </row>
    <row r="256" spans="1:14" x14ac:dyDescent="0.25">
      <c r="A256" s="1" t="s">
        <v>268</v>
      </c>
      <c r="B256" t="str">
        <f>HYPERLINK("https://www.suredividend.com/sure-analysis-research-database/","PhenomeX Inc")</f>
        <v>PhenomeX Inc</v>
      </c>
      <c r="C256" t="s">
        <v>1797</v>
      </c>
      <c r="D256">
        <v>0.9981000000000001</v>
      </c>
      <c r="E256">
        <v>0</v>
      </c>
      <c r="F256" t="s">
        <v>1797</v>
      </c>
      <c r="G256" t="s">
        <v>1797</v>
      </c>
      <c r="H256">
        <v>0</v>
      </c>
      <c r="I256">
        <v>0</v>
      </c>
      <c r="J256">
        <v>0</v>
      </c>
      <c r="K256" t="s">
        <v>1797</v>
      </c>
    </row>
    <row r="257" spans="1:14" x14ac:dyDescent="0.25">
      <c r="A257" s="1" t="s">
        <v>269</v>
      </c>
      <c r="B257" t="str">
        <f>HYPERLINK("https://www.suredividend.com/sure-analysis-research-database/","Celularity Inc")</f>
        <v>Celularity Inc</v>
      </c>
      <c r="C257" t="s">
        <v>1797</v>
      </c>
      <c r="D257">
        <v>0.21740000000000001</v>
      </c>
      <c r="E257">
        <v>0</v>
      </c>
      <c r="F257" t="s">
        <v>1797</v>
      </c>
      <c r="G257" t="s">
        <v>1797</v>
      </c>
      <c r="H257">
        <v>0</v>
      </c>
      <c r="I257">
        <v>42.128129000000001</v>
      </c>
      <c r="J257" t="s">
        <v>1797</v>
      </c>
      <c r="K257">
        <v>0</v>
      </c>
      <c r="L257">
        <v>1.406649314140912</v>
      </c>
      <c r="M257">
        <v>1.2</v>
      </c>
      <c r="N257">
        <v>0.159</v>
      </c>
    </row>
    <row r="258" spans="1:14" x14ac:dyDescent="0.25">
      <c r="A258" s="1" t="s">
        <v>270</v>
      </c>
      <c r="B258" t="str">
        <f>HYPERLINK("https://www.suredividend.com/sure-analysis-research-database/","Cenntro Electric Group Limited")</f>
        <v>Cenntro Electric Group Limited</v>
      </c>
      <c r="C258" t="s">
        <v>1797</v>
      </c>
      <c r="D258">
        <v>1.31</v>
      </c>
      <c r="E258">
        <v>0</v>
      </c>
      <c r="F258" t="s">
        <v>1797</v>
      </c>
      <c r="G258" t="s">
        <v>1797</v>
      </c>
      <c r="H258">
        <v>0</v>
      </c>
      <c r="I258">
        <v>398.82830899999999</v>
      </c>
      <c r="J258" t="s">
        <v>1797</v>
      </c>
      <c r="K258">
        <v>0</v>
      </c>
      <c r="L258">
        <v>2.1824362306841398</v>
      </c>
      <c r="M258">
        <v>8.7100000000000009</v>
      </c>
      <c r="N258">
        <v>1.21</v>
      </c>
    </row>
    <row r="259" spans="1:14" x14ac:dyDescent="0.25">
      <c r="A259" s="1" t="s">
        <v>271</v>
      </c>
      <c r="B259" t="str">
        <f>HYPERLINK("https://www.suredividend.com/sure-analysis-research-database/","Central Garden &amp; Pet Co.")</f>
        <v>Central Garden &amp; Pet Co.</v>
      </c>
      <c r="C259" t="s">
        <v>1804</v>
      </c>
      <c r="D259">
        <v>47.45</v>
      </c>
      <c r="E259">
        <v>0</v>
      </c>
      <c r="F259" t="s">
        <v>1797</v>
      </c>
      <c r="G259" t="s">
        <v>1797</v>
      </c>
      <c r="H259">
        <v>0</v>
      </c>
      <c r="I259">
        <v>2236.3909669999998</v>
      </c>
      <c r="J259">
        <v>17.799566760981509</v>
      </c>
      <c r="K259">
        <v>0</v>
      </c>
      <c r="L259">
        <v>0.68410804592739005</v>
      </c>
      <c r="M259">
        <v>51.71</v>
      </c>
      <c r="N259">
        <v>35.6</v>
      </c>
    </row>
    <row r="260" spans="1:14" x14ac:dyDescent="0.25">
      <c r="A260" s="1" t="s">
        <v>272</v>
      </c>
      <c r="B260" t="str">
        <f>HYPERLINK("https://www.suredividend.com/sure-analysis-research-database/","Central Garden &amp; Pet Co.")</f>
        <v>Central Garden &amp; Pet Co.</v>
      </c>
      <c r="C260" t="s">
        <v>1804</v>
      </c>
      <c r="D260">
        <v>41.59</v>
      </c>
      <c r="E260">
        <v>0</v>
      </c>
      <c r="F260" t="s">
        <v>1797</v>
      </c>
      <c r="G260" t="s">
        <v>1797</v>
      </c>
      <c r="H260">
        <v>0</v>
      </c>
      <c r="I260">
        <v>2236.3909669999998</v>
      </c>
      <c r="J260">
        <v>17.799566760981509</v>
      </c>
      <c r="K260">
        <v>0</v>
      </c>
      <c r="L260">
        <v>0.69568180110581401</v>
      </c>
      <c r="M260">
        <v>45.93</v>
      </c>
      <c r="N260">
        <v>33.770000000000003</v>
      </c>
    </row>
    <row r="261" spans="1:14" x14ac:dyDescent="0.25">
      <c r="A261" s="1" t="s">
        <v>273</v>
      </c>
      <c r="B261" t="str">
        <f>HYPERLINK("https://www.suredividend.com/sure-analysis-research-database/","Century Aluminum Co.")</f>
        <v>Century Aluminum Co.</v>
      </c>
      <c r="C261" t="s">
        <v>1808</v>
      </c>
      <c r="D261">
        <v>10.89</v>
      </c>
      <c r="E261">
        <v>0</v>
      </c>
      <c r="F261" t="s">
        <v>1797</v>
      </c>
      <c r="G261" t="s">
        <v>1797</v>
      </c>
      <c r="H261">
        <v>0</v>
      </c>
      <c r="I261">
        <v>1006.28678</v>
      </c>
      <c r="J261" t="s">
        <v>1797</v>
      </c>
      <c r="K261">
        <v>0</v>
      </c>
      <c r="L261">
        <v>2.4370942438698622</v>
      </c>
      <c r="M261">
        <v>13.17</v>
      </c>
      <c r="N261">
        <v>5.7</v>
      </c>
    </row>
    <row r="262" spans="1:14" x14ac:dyDescent="0.25">
      <c r="A262" s="1" t="s">
        <v>274</v>
      </c>
      <c r="B262" t="str">
        <f>HYPERLINK("https://www.suredividend.com/sure-analysis-research-database/","Cerevel Therapeutics Holdings Inc")</f>
        <v>Cerevel Therapeutics Holdings Inc</v>
      </c>
      <c r="C262" t="s">
        <v>1797</v>
      </c>
      <c r="D262">
        <v>42.7</v>
      </c>
      <c r="E262">
        <v>0</v>
      </c>
      <c r="F262" t="s">
        <v>1797</v>
      </c>
      <c r="G262" t="s">
        <v>1797</v>
      </c>
      <c r="H262">
        <v>0</v>
      </c>
      <c r="I262">
        <v>7713.0902040000001</v>
      </c>
      <c r="J262">
        <v>0</v>
      </c>
      <c r="K262" t="s">
        <v>1797</v>
      </c>
      <c r="L262">
        <v>1.1721456257608669</v>
      </c>
      <c r="M262">
        <v>42.87</v>
      </c>
      <c r="N262">
        <v>19.59</v>
      </c>
    </row>
    <row r="263" spans="1:14" x14ac:dyDescent="0.25">
      <c r="A263" s="1" t="s">
        <v>275</v>
      </c>
      <c r="B263" t="str">
        <f>HYPERLINK("https://www.suredividend.com/sure-analysis-research-database/","Cerus Corp.")</f>
        <v>Cerus Corp.</v>
      </c>
      <c r="C263" t="s">
        <v>1802</v>
      </c>
      <c r="D263">
        <v>1.6950000000000001</v>
      </c>
      <c r="E263">
        <v>0</v>
      </c>
      <c r="F263" t="s">
        <v>1797</v>
      </c>
      <c r="G263" t="s">
        <v>1797</v>
      </c>
      <c r="H263">
        <v>0</v>
      </c>
      <c r="I263">
        <v>307.12891500000001</v>
      </c>
      <c r="J263" t="s">
        <v>1797</v>
      </c>
      <c r="K263">
        <v>0</v>
      </c>
      <c r="L263">
        <v>2.2862182609711752</v>
      </c>
      <c r="M263">
        <v>3.46</v>
      </c>
      <c r="N263">
        <v>1.21</v>
      </c>
    </row>
    <row r="264" spans="1:14" x14ac:dyDescent="0.25">
      <c r="A264" s="1" t="s">
        <v>276</v>
      </c>
      <c r="B264" t="str">
        <f>HYPERLINK("https://www.suredividend.com/sure-analysis-research-database/","Ceva Inc.")</f>
        <v>Ceva Inc.</v>
      </c>
      <c r="C264" t="s">
        <v>1803</v>
      </c>
      <c r="D264">
        <v>20.9</v>
      </c>
      <c r="E264">
        <v>0</v>
      </c>
      <c r="F264" t="s">
        <v>1797</v>
      </c>
      <c r="G264" t="s">
        <v>1797</v>
      </c>
      <c r="H264">
        <v>0</v>
      </c>
      <c r="I264">
        <v>492.42724099999998</v>
      </c>
      <c r="J264" t="s">
        <v>1797</v>
      </c>
      <c r="K264">
        <v>0</v>
      </c>
      <c r="L264">
        <v>1.6090535896735689</v>
      </c>
      <c r="M264">
        <v>36.29</v>
      </c>
      <c r="N264">
        <v>16.38</v>
      </c>
    </row>
    <row r="265" spans="1:14" x14ac:dyDescent="0.25">
      <c r="A265" s="1" t="s">
        <v>277</v>
      </c>
      <c r="B265" t="str">
        <f>HYPERLINK("https://www.suredividend.com/sure-analysis-research-database/","Crossfirst Bankshares Inc")</f>
        <v>Crossfirst Bankshares Inc</v>
      </c>
      <c r="C265" t="s">
        <v>1800</v>
      </c>
      <c r="D265">
        <v>13.21</v>
      </c>
      <c r="E265">
        <v>0</v>
      </c>
      <c r="F265" t="s">
        <v>1797</v>
      </c>
      <c r="G265" t="s">
        <v>1797</v>
      </c>
      <c r="H265">
        <v>0</v>
      </c>
      <c r="I265">
        <v>651.21240599999999</v>
      </c>
      <c r="J265">
        <v>0</v>
      </c>
      <c r="K265" t="s">
        <v>1797</v>
      </c>
      <c r="L265">
        <v>1.274284085436812</v>
      </c>
      <c r="M265">
        <v>14.66</v>
      </c>
      <c r="N265">
        <v>9.2899999999999991</v>
      </c>
    </row>
    <row r="266" spans="1:14" x14ac:dyDescent="0.25">
      <c r="A266" s="1" t="s">
        <v>278</v>
      </c>
      <c r="B266" t="str">
        <f>HYPERLINK("https://www.suredividend.com/sure-analysis-research-database/","Capitol Federal Financial")</f>
        <v>Capitol Federal Financial</v>
      </c>
      <c r="C266" t="s">
        <v>1800</v>
      </c>
      <c r="D266">
        <v>6</v>
      </c>
      <c r="E266">
        <v>5.4354456137170007E-2</v>
      </c>
      <c r="F266">
        <v>-0.6964285714285714</v>
      </c>
      <c r="G266">
        <v>0</v>
      </c>
      <c r="H266">
        <v>0.32612673682302301</v>
      </c>
      <c r="I266">
        <v>809.90565000000004</v>
      </c>
      <c r="J266" t="s">
        <v>1797</v>
      </c>
      <c r="K266" t="s">
        <v>1797</v>
      </c>
      <c r="L266">
        <v>1.14364566154429</v>
      </c>
      <c r="M266">
        <v>8.16</v>
      </c>
      <c r="N266">
        <v>4.08</v>
      </c>
    </row>
    <row r="267" spans="1:14" x14ac:dyDescent="0.25">
      <c r="A267" s="1" t="s">
        <v>279</v>
      </c>
      <c r="B267" t="str">
        <f>HYPERLINK("https://www.suredividend.com/sure-analysis-research-database/","Cullinan Oncology Inc")</f>
        <v>Cullinan Oncology Inc</v>
      </c>
      <c r="C267" t="s">
        <v>1797</v>
      </c>
      <c r="D267">
        <v>10.59</v>
      </c>
      <c r="E267">
        <v>0</v>
      </c>
      <c r="F267" t="s">
        <v>1797</v>
      </c>
      <c r="G267" t="s">
        <v>1797</v>
      </c>
      <c r="H267">
        <v>0</v>
      </c>
      <c r="I267">
        <v>453.04701999999997</v>
      </c>
      <c r="J267">
        <v>0</v>
      </c>
      <c r="K267" t="s">
        <v>1797</v>
      </c>
      <c r="L267">
        <v>0.99681595519770905</v>
      </c>
      <c r="M267">
        <v>13.74</v>
      </c>
      <c r="N267">
        <v>7.64</v>
      </c>
    </row>
    <row r="268" spans="1:14" x14ac:dyDescent="0.25">
      <c r="A268" s="1" t="s">
        <v>280</v>
      </c>
      <c r="B268" t="str">
        <f>HYPERLINK("https://www.suredividend.com/sure-analysis-CHCO/","City Holding Co.")</f>
        <v>City Holding Co.</v>
      </c>
      <c r="C268" t="s">
        <v>1800</v>
      </c>
      <c r="D268">
        <v>103.57</v>
      </c>
      <c r="E268">
        <v>2.761417398860674E-2</v>
      </c>
      <c r="F268">
        <v>9.9999999999999867E-2</v>
      </c>
      <c r="G268">
        <v>6.171030936108779E-2</v>
      </c>
      <c r="H268">
        <v>2.6743017811164211</v>
      </c>
      <c r="I268">
        <v>1536.1312869999999</v>
      </c>
      <c r="J268">
        <v>13.185789463343029</v>
      </c>
      <c r="K268">
        <v>0.34198232495094899</v>
      </c>
      <c r="L268">
        <v>0.86526108547786407</v>
      </c>
      <c r="M268">
        <v>114.34</v>
      </c>
      <c r="N268">
        <v>79.03</v>
      </c>
    </row>
    <row r="269" spans="1:14" x14ac:dyDescent="0.25">
      <c r="A269" s="1" t="s">
        <v>281</v>
      </c>
      <c r="B269" t="str">
        <f>HYPERLINK("https://www.suredividend.com/sure-analysis-CHCT/","Community Healthcare Trust Inc")</f>
        <v>Community Healthcare Trust Inc</v>
      </c>
      <c r="C269" t="s">
        <v>1799</v>
      </c>
      <c r="D269">
        <v>26.06</v>
      </c>
      <c r="E269">
        <v>6.9838833461243296E-2</v>
      </c>
      <c r="F269">
        <v>2.2471910112359609E-2</v>
      </c>
      <c r="G269">
        <v>2.2296224114500159E-2</v>
      </c>
      <c r="H269">
        <v>1.765549020942786</v>
      </c>
      <c r="I269">
        <v>710.51146300000005</v>
      </c>
      <c r="J269">
        <v>126.2233900799432</v>
      </c>
      <c r="K269">
        <v>7.7300745225165768</v>
      </c>
      <c r="L269">
        <v>0.72478328885009302</v>
      </c>
      <c r="M269">
        <v>41.6</v>
      </c>
      <c r="N269">
        <v>25.18</v>
      </c>
    </row>
    <row r="270" spans="1:14" x14ac:dyDescent="0.25">
      <c r="A270" s="1" t="s">
        <v>282</v>
      </c>
      <c r="B270" t="str">
        <f>HYPERLINK("https://www.suredividend.com/sure-analysis-research-database/","Chefs` Warehouse Inc")</f>
        <v>Chefs` Warehouse Inc</v>
      </c>
      <c r="C270" t="s">
        <v>1804</v>
      </c>
      <c r="D270">
        <v>29.56</v>
      </c>
      <c r="E270">
        <v>0</v>
      </c>
      <c r="F270" t="s">
        <v>1797</v>
      </c>
      <c r="G270" t="s">
        <v>1797</v>
      </c>
      <c r="H270">
        <v>0</v>
      </c>
      <c r="I270">
        <v>1172.504169</v>
      </c>
      <c r="J270">
        <v>59.328248203208013</v>
      </c>
      <c r="K270">
        <v>0</v>
      </c>
      <c r="L270">
        <v>1.4301379422932741</v>
      </c>
      <c r="M270">
        <v>39.49</v>
      </c>
      <c r="N270">
        <v>17.29</v>
      </c>
    </row>
    <row r="271" spans="1:14" x14ac:dyDescent="0.25">
      <c r="A271" s="1" t="s">
        <v>283</v>
      </c>
      <c r="B271" t="str">
        <f>HYPERLINK("https://www.suredividend.com/sure-analysis-research-database/","Chegg Inc")</f>
        <v>Chegg Inc</v>
      </c>
      <c r="C271" t="s">
        <v>1804</v>
      </c>
      <c r="D271">
        <v>11.1</v>
      </c>
      <c r="E271">
        <v>0</v>
      </c>
      <c r="F271" t="s">
        <v>1797</v>
      </c>
      <c r="G271" t="s">
        <v>1797</v>
      </c>
      <c r="H271">
        <v>0</v>
      </c>
      <c r="I271">
        <v>1285.5464999999999</v>
      </c>
      <c r="J271">
        <v>123.9319868890388</v>
      </c>
      <c r="K271">
        <v>0</v>
      </c>
      <c r="L271">
        <v>1.3254246510322929</v>
      </c>
      <c r="M271">
        <v>24.81</v>
      </c>
      <c r="N271">
        <v>7.32</v>
      </c>
    </row>
    <row r="272" spans="1:14" x14ac:dyDescent="0.25">
      <c r="A272" s="1" t="s">
        <v>284</v>
      </c>
      <c r="B272" t="str">
        <f>HYPERLINK("https://www.suredividend.com/sure-analysis-research-database/","Chord Energy Corp")</f>
        <v>Chord Energy Corp</v>
      </c>
      <c r="C272" t="s">
        <v>1797</v>
      </c>
      <c r="D272">
        <v>157.6</v>
      </c>
      <c r="E272">
        <v>3.1052963563941001E-2</v>
      </c>
      <c r="F272" t="s">
        <v>1797</v>
      </c>
      <c r="G272" t="s">
        <v>1797</v>
      </c>
      <c r="H272">
        <v>4.8939470576772406</v>
      </c>
      <c r="I272">
        <v>6505.4804100000001</v>
      </c>
      <c r="J272">
        <v>5.919292840413819</v>
      </c>
      <c r="K272">
        <v>0.1956796104629045</v>
      </c>
      <c r="L272">
        <v>0.94955173064801612</v>
      </c>
      <c r="M272">
        <v>172.51</v>
      </c>
      <c r="N272">
        <v>111.7</v>
      </c>
    </row>
    <row r="273" spans="1:14" x14ac:dyDescent="0.25">
      <c r="A273" s="1" t="s">
        <v>285</v>
      </c>
      <c r="B273" t="str">
        <f>HYPERLINK("https://www.suredividend.com/sure-analysis-research-database/","Coherus Biosciences Inc")</f>
        <v>Coherus Biosciences Inc</v>
      </c>
      <c r="C273" t="s">
        <v>1802</v>
      </c>
      <c r="D273">
        <v>2.57</v>
      </c>
      <c r="E273">
        <v>0</v>
      </c>
      <c r="F273" t="s">
        <v>1797</v>
      </c>
      <c r="G273" t="s">
        <v>1797</v>
      </c>
      <c r="H273">
        <v>0</v>
      </c>
      <c r="I273">
        <v>286.205871</v>
      </c>
      <c r="J273" t="s">
        <v>1797</v>
      </c>
      <c r="K273">
        <v>0</v>
      </c>
      <c r="L273">
        <v>2.1580377532179038</v>
      </c>
      <c r="M273">
        <v>10.66</v>
      </c>
      <c r="N273">
        <v>1.43</v>
      </c>
    </row>
    <row r="274" spans="1:14" x14ac:dyDescent="0.25">
      <c r="A274" s="1" t="s">
        <v>286</v>
      </c>
      <c r="B274" t="str">
        <f>HYPERLINK("https://www.suredividend.com/sure-analysis-research-database/","Chico`s Fas, Inc.")</f>
        <v>Chico`s Fas, Inc.</v>
      </c>
      <c r="C274" t="s">
        <v>1801</v>
      </c>
      <c r="D274">
        <v>7.59</v>
      </c>
      <c r="E274">
        <v>0</v>
      </c>
      <c r="F274" t="s">
        <v>1797</v>
      </c>
      <c r="G274" t="s">
        <v>1797</v>
      </c>
      <c r="H274">
        <v>0</v>
      </c>
      <c r="I274">
        <v>937.04139299999997</v>
      </c>
      <c r="J274">
        <v>8.3916910056151099</v>
      </c>
      <c r="K274">
        <v>0</v>
      </c>
      <c r="L274">
        <v>1.1583192172414629</v>
      </c>
      <c r="M274">
        <v>7.6</v>
      </c>
      <c r="N274">
        <v>4.33</v>
      </c>
    </row>
    <row r="275" spans="1:14" x14ac:dyDescent="0.25">
      <c r="A275" s="1" t="s">
        <v>287</v>
      </c>
      <c r="B275" t="str">
        <f>HYPERLINK("https://www.suredividend.com/sure-analysis-research-database/","Chuy`s Holdings Inc")</f>
        <v>Chuy`s Holdings Inc</v>
      </c>
      <c r="C275" t="s">
        <v>1801</v>
      </c>
      <c r="D275">
        <v>33.200000000000003</v>
      </c>
      <c r="E275">
        <v>0</v>
      </c>
      <c r="F275" t="s">
        <v>1797</v>
      </c>
      <c r="G275" t="s">
        <v>1797</v>
      </c>
      <c r="H275">
        <v>0</v>
      </c>
      <c r="I275">
        <v>576.10529099999997</v>
      </c>
      <c r="J275">
        <v>20.20925705265374</v>
      </c>
      <c r="K275">
        <v>0</v>
      </c>
      <c r="L275">
        <v>0.71633728859421708</v>
      </c>
      <c r="M275">
        <v>43.17</v>
      </c>
      <c r="N275">
        <v>31.6</v>
      </c>
    </row>
    <row r="276" spans="1:14" x14ac:dyDescent="0.25">
      <c r="A276" s="1" t="s">
        <v>288</v>
      </c>
      <c r="B276" t="str">
        <f>HYPERLINK("https://www.suredividend.com/sure-analysis-research-database/","ChampionX Corp.")</f>
        <v>ChampionX Corp.</v>
      </c>
      <c r="C276" t="s">
        <v>1797</v>
      </c>
      <c r="D276">
        <v>26.62</v>
      </c>
      <c r="E276">
        <v>1.2710784901802E-2</v>
      </c>
      <c r="F276" t="s">
        <v>1797</v>
      </c>
      <c r="G276" t="s">
        <v>1797</v>
      </c>
      <c r="H276">
        <v>0.33836109408599502</v>
      </c>
      <c r="I276">
        <v>5185.576</v>
      </c>
      <c r="J276">
        <v>17.00763208558956</v>
      </c>
      <c r="K276">
        <v>0.22408019475893709</v>
      </c>
      <c r="L276">
        <v>1.083621258939224</v>
      </c>
      <c r="M276">
        <v>38.159999999999997</v>
      </c>
      <c r="N276">
        <v>23.33</v>
      </c>
    </row>
    <row r="277" spans="1:14" x14ac:dyDescent="0.25">
      <c r="A277" s="1" t="s">
        <v>289</v>
      </c>
      <c r="B277" t="str">
        <f>HYPERLINK("https://www.suredividend.com/sure-analysis-research-database/","Cipher Mining Inc")</f>
        <v>Cipher Mining Inc</v>
      </c>
      <c r="C277" t="s">
        <v>1797</v>
      </c>
      <c r="D277">
        <v>3.26</v>
      </c>
      <c r="E277">
        <v>0</v>
      </c>
      <c r="F277" t="s">
        <v>1797</v>
      </c>
      <c r="G277" t="s">
        <v>1797</v>
      </c>
      <c r="H277">
        <v>0</v>
      </c>
      <c r="I277">
        <v>830.19183499999997</v>
      </c>
      <c r="J277" t="s">
        <v>1797</v>
      </c>
      <c r="K277">
        <v>0</v>
      </c>
      <c r="L277">
        <v>2.9040741352357222</v>
      </c>
      <c r="M277">
        <v>5.6</v>
      </c>
      <c r="N277">
        <v>0.92</v>
      </c>
    </row>
    <row r="278" spans="1:14" x14ac:dyDescent="0.25">
      <c r="A278" s="1" t="s">
        <v>290</v>
      </c>
      <c r="B278" t="str">
        <f>HYPERLINK("https://www.suredividend.com/sure-analysis-CIM/","Chimera Investment Corp")</f>
        <v>Chimera Investment Corp</v>
      </c>
      <c r="C278" t="s">
        <v>1799</v>
      </c>
      <c r="D278">
        <v>4.97</v>
      </c>
      <c r="E278">
        <v>8.8531187122736429E-2</v>
      </c>
      <c r="F278">
        <v>-0.52173913043478271</v>
      </c>
      <c r="G278">
        <v>-0.26127204121130782</v>
      </c>
      <c r="H278">
        <v>0.66796982739490607</v>
      </c>
      <c r="I278">
        <v>1127.0083279999999</v>
      </c>
      <c r="J278">
        <v>9.4734445242718444</v>
      </c>
      <c r="K278">
        <v>1.301831665162553</v>
      </c>
      <c r="L278">
        <v>1.5319431255473781</v>
      </c>
      <c r="M278">
        <v>6.88</v>
      </c>
      <c r="N278">
        <v>4.1100000000000003</v>
      </c>
    </row>
    <row r="279" spans="1:14" x14ac:dyDescent="0.25">
      <c r="A279" s="1" t="s">
        <v>291</v>
      </c>
      <c r="B279" t="str">
        <f>HYPERLINK("https://www.suredividend.com/sure-analysis-CIO/","City Office REIT Inc")</f>
        <v>City Office REIT Inc</v>
      </c>
      <c r="C279" t="s">
        <v>1799</v>
      </c>
      <c r="D279">
        <v>6.25</v>
      </c>
      <c r="E279">
        <v>6.4000000000000001E-2</v>
      </c>
      <c r="F279">
        <v>-0.5</v>
      </c>
      <c r="G279">
        <v>-0.1570798659572398</v>
      </c>
      <c r="H279">
        <v>0.48282647009104601</v>
      </c>
      <c r="I279">
        <v>249.615319</v>
      </c>
      <c r="J279" t="s">
        <v>1797</v>
      </c>
      <c r="K279" t="s">
        <v>1797</v>
      </c>
      <c r="L279">
        <v>1.546856810556668</v>
      </c>
      <c r="M279">
        <v>9.3699999999999992</v>
      </c>
      <c r="N279">
        <v>3.4</v>
      </c>
    </row>
    <row r="280" spans="1:14" x14ac:dyDescent="0.25">
      <c r="A280" s="1" t="s">
        <v>292</v>
      </c>
      <c r="B280" t="str">
        <f>HYPERLINK("https://www.suredividend.com/sure-analysis-research-database/","Circor International Inc")</f>
        <v>Circor International Inc</v>
      </c>
      <c r="C280" t="s">
        <v>1798</v>
      </c>
      <c r="D280">
        <v>56</v>
      </c>
      <c r="E280">
        <v>0</v>
      </c>
      <c r="F280" t="s">
        <v>1797</v>
      </c>
      <c r="G280" t="s">
        <v>1797</v>
      </c>
      <c r="H280">
        <v>0</v>
      </c>
      <c r="I280">
        <v>1141.9390080000001</v>
      </c>
      <c r="J280">
        <v>40.884286563316749</v>
      </c>
      <c r="K280">
        <v>0</v>
      </c>
      <c r="L280">
        <v>1.3819348892034351</v>
      </c>
      <c r="M280">
        <v>56.48</v>
      </c>
      <c r="N280">
        <v>17.149999999999999</v>
      </c>
    </row>
    <row r="281" spans="1:14" x14ac:dyDescent="0.25">
      <c r="A281" s="1" t="s">
        <v>293</v>
      </c>
      <c r="B281" t="str">
        <f>HYPERLINK("https://www.suredividend.com/sure-analysis-research-database/","CISO Global Inc")</f>
        <v>CISO Global Inc</v>
      </c>
      <c r="C281" t="s">
        <v>1797</v>
      </c>
      <c r="D281">
        <v>0.11</v>
      </c>
      <c r="E281">
        <v>0</v>
      </c>
      <c r="F281" t="s">
        <v>1797</v>
      </c>
      <c r="G281" t="s">
        <v>1797</v>
      </c>
      <c r="H281">
        <v>0</v>
      </c>
      <c r="I281">
        <v>19.819412</v>
      </c>
      <c r="J281" t="s">
        <v>1797</v>
      </c>
      <c r="K281">
        <v>0</v>
      </c>
      <c r="L281">
        <v>1.388477143084351</v>
      </c>
      <c r="M281">
        <v>2.1</v>
      </c>
      <c r="N281">
        <v>8.1100000000000005E-2</v>
      </c>
    </row>
    <row r="282" spans="1:14" x14ac:dyDescent="0.25">
      <c r="A282" s="1" t="s">
        <v>294</v>
      </c>
      <c r="B282" t="str">
        <f>HYPERLINK("https://www.suredividend.com/sure-analysis-research-database/","Civista Bancshares Inc")</f>
        <v>Civista Bancshares Inc</v>
      </c>
      <c r="C282" t="s">
        <v>1800</v>
      </c>
      <c r="D282">
        <v>17.05</v>
      </c>
      <c r="E282">
        <v>3.4769270309028003E-2</v>
      </c>
      <c r="F282">
        <v>0.14285714285714279</v>
      </c>
      <c r="G282">
        <v>0.12195514544619961</v>
      </c>
      <c r="H282">
        <v>0.59281605876893206</v>
      </c>
      <c r="I282">
        <v>267.61674900000003</v>
      </c>
      <c r="J282">
        <v>6.1176534198194084</v>
      </c>
      <c r="K282">
        <v>0.2094756391409654</v>
      </c>
      <c r="L282">
        <v>1.093943559704595</v>
      </c>
      <c r="M282">
        <v>21.24</v>
      </c>
      <c r="N282">
        <v>13.22</v>
      </c>
    </row>
    <row r="283" spans="1:14" x14ac:dyDescent="0.25">
      <c r="A283" s="1" t="s">
        <v>295</v>
      </c>
      <c r="B283" t="str">
        <f>HYPERLINK("https://www.suredividend.com/sure-analysis-research-database/","Civitas Resources Inc")</f>
        <v>Civitas Resources Inc</v>
      </c>
      <c r="C283" t="s">
        <v>1797</v>
      </c>
      <c r="D283">
        <v>65.91</v>
      </c>
      <c r="E283">
        <v>8.880245995263801E-2</v>
      </c>
      <c r="F283" t="s">
        <v>1797</v>
      </c>
      <c r="G283" t="s">
        <v>1797</v>
      </c>
      <c r="H283">
        <v>5.8529701354784063</v>
      </c>
      <c r="I283">
        <v>6180.6342560000003</v>
      </c>
      <c r="J283">
        <v>8.0973816642866119</v>
      </c>
      <c r="K283">
        <v>0.65033001505315624</v>
      </c>
      <c r="L283">
        <v>1.06287132844918</v>
      </c>
      <c r="M283">
        <v>84.67</v>
      </c>
      <c r="N283">
        <v>55.84</v>
      </c>
    </row>
    <row r="284" spans="1:14" x14ac:dyDescent="0.25">
      <c r="A284" s="1" t="s">
        <v>296</v>
      </c>
      <c r="B284" t="str">
        <f>HYPERLINK("https://www.suredividend.com/sure-analysis-research-database/","Compx International, Inc.")</f>
        <v>Compx International, Inc.</v>
      </c>
      <c r="C284" t="s">
        <v>1798</v>
      </c>
      <c r="D284">
        <v>29.6</v>
      </c>
      <c r="E284">
        <v>3.2705333236246012E-2</v>
      </c>
      <c r="F284">
        <v>0</v>
      </c>
      <c r="G284">
        <v>0.2899366842116895</v>
      </c>
      <c r="H284">
        <v>0.96807786379289407</v>
      </c>
      <c r="I284">
        <v>364.48720700000001</v>
      </c>
      <c r="J284">
        <v>17.643876812857009</v>
      </c>
      <c r="K284">
        <v>0.5762368236862464</v>
      </c>
      <c r="L284">
        <v>0.38913196552397911</v>
      </c>
      <c r="M284">
        <v>30.5</v>
      </c>
      <c r="N284">
        <v>15.16</v>
      </c>
    </row>
    <row r="285" spans="1:14" x14ac:dyDescent="0.25">
      <c r="A285" s="1" t="s">
        <v>297</v>
      </c>
      <c r="B285" t="str">
        <f>HYPERLINK("https://www.suredividend.com/sure-analysis-research-database/","Clarus Corp")</f>
        <v>Clarus Corp</v>
      </c>
      <c r="C285" t="s">
        <v>1801</v>
      </c>
      <c r="D285">
        <v>5.88</v>
      </c>
      <c r="E285">
        <v>1.68060969835E-2</v>
      </c>
      <c r="F285">
        <v>0</v>
      </c>
      <c r="G285">
        <v>0</v>
      </c>
      <c r="H285">
        <v>9.8819850262980014E-2</v>
      </c>
      <c r="I285">
        <v>224.31852499999999</v>
      </c>
      <c r="J285" t="s">
        <v>1797</v>
      </c>
      <c r="K285" t="s">
        <v>1797</v>
      </c>
      <c r="L285">
        <v>1.1888203022619639</v>
      </c>
      <c r="M285">
        <v>10.46</v>
      </c>
      <c r="N285">
        <v>4.72</v>
      </c>
    </row>
    <row r="286" spans="1:14" x14ac:dyDescent="0.25">
      <c r="A286" s="1" t="s">
        <v>298</v>
      </c>
      <c r="B286" t="str">
        <f>HYPERLINK("https://www.suredividend.com/sure-analysis-research-database/","Columbia Financial, Inc")</f>
        <v>Columbia Financial, Inc</v>
      </c>
      <c r="C286" t="s">
        <v>1800</v>
      </c>
      <c r="D286">
        <v>18.66</v>
      </c>
      <c r="E286">
        <v>0</v>
      </c>
      <c r="F286" t="s">
        <v>1797</v>
      </c>
      <c r="G286" t="s">
        <v>1797</v>
      </c>
      <c r="H286">
        <v>0</v>
      </c>
      <c r="I286">
        <v>1418.4683379999999</v>
      </c>
      <c r="J286">
        <v>27.592365737628381</v>
      </c>
      <c r="K286">
        <v>0</v>
      </c>
      <c r="L286">
        <v>1.168965785216439</v>
      </c>
      <c r="M286">
        <v>22.2</v>
      </c>
      <c r="N286">
        <v>14.11</v>
      </c>
    </row>
    <row r="287" spans="1:14" x14ac:dyDescent="0.25">
      <c r="A287" s="1" t="s">
        <v>299</v>
      </c>
      <c r="B287" t="str">
        <f>HYPERLINK("https://www.suredividend.com/sure-analysis-research-database/","Chatham Lodging Trust")</f>
        <v>Chatham Lodging Trust</v>
      </c>
      <c r="C287" t="s">
        <v>1799</v>
      </c>
      <c r="D287">
        <v>10.62</v>
      </c>
      <c r="E287">
        <v>1.9642320466454002E-2</v>
      </c>
      <c r="F287" t="s">
        <v>1797</v>
      </c>
      <c r="G287" t="s">
        <v>1797</v>
      </c>
      <c r="H287">
        <v>0.208601443353746</v>
      </c>
      <c r="I287">
        <v>518.88197500000001</v>
      </c>
      <c r="J287">
        <v>331.34225712643678</v>
      </c>
      <c r="K287">
        <v>6.5392301991769903</v>
      </c>
      <c r="L287">
        <v>1.2222300040031451</v>
      </c>
      <c r="M287">
        <v>13.98</v>
      </c>
      <c r="N287">
        <v>8.83</v>
      </c>
    </row>
    <row r="288" spans="1:14" x14ac:dyDescent="0.25">
      <c r="A288" s="1" t="s">
        <v>300</v>
      </c>
      <c r="B288" t="str">
        <f>HYPERLINK("https://www.suredividend.com/sure-analysis-research-database/","Celldex Therapeutics Inc.")</f>
        <v>Celldex Therapeutics Inc.</v>
      </c>
      <c r="C288" t="s">
        <v>1802</v>
      </c>
      <c r="D288">
        <v>42.04</v>
      </c>
      <c r="E288">
        <v>0</v>
      </c>
      <c r="F288" t="s">
        <v>1797</v>
      </c>
      <c r="G288" t="s">
        <v>1797</v>
      </c>
      <c r="H288">
        <v>0</v>
      </c>
      <c r="I288">
        <v>1986.986842</v>
      </c>
      <c r="J288" t="s">
        <v>1797</v>
      </c>
      <c r="K288">
        <v>0</v>
      </c>
      <c r="L288">
        <v>1.012471555960516</v>
      </c>
      <c r="M288">
        <v>48.4</v>
      </c>
      <c r="N288">
        <v>22.11</v>
      </c>
    </row>
    <row r="289" spans="1:14" x14ac:dyDescent="0.25">
      <c r="A289" s="1" t="s">
        <v>301</v>
      </c>
      <c r="B289" t="str">
        <f>HYPERLINK("https://www.suredividend.com/sure-analysis-research-database/","Clearfield Inc")</f>
        <v>Clearfield Inc</v>
      </c>
      <c r="C289" t="s">
        <v>1803</v>
      </c>
      <c r="D289">
        <v>27.12</v>
      </c>
      <c r="E289">
        <v>0</v>
      </c>
      <c r="F289" t="s">
        <v>1797</v>
      </c>
      <c r="G289" t="s">
        <v>1797</v>
      </c>
      <c r="H289">
        <v>0</v>
      </c>
      <c r="I289">
        <v>406.51705700000002</v>
      </c>
      <c r="J289">
        <v>12.495529371407491</v>
      </c>
      <c r="K289">
        <v>0</v>
      </c>
      <c r="L289">
        <v>1.456970280204531</v>
      </c>
      <c r="M289">
        <v>84.22</v>
      </c>
      <c r="N289">
        <v>22.91</v>
      </c>
    </row>
    <row r="290" spans="1:14" x14ac:dyDescent="0.25">
      <c r="A290" s="1" t="s">
        <v>302</v>
      </c>
      <c r="B290" t="str">
        <f>HYPERLINK("https://www.suredividend.com/sure-analysis-research-database/","Clean Energy Fuels Corp")</f>
        <v>Clean Energy Fuels Corp</v>
      </c>
      <c r="C290" t="s">
        <v>1807</v>
      </c>
      <c r="D290">
        <v>3.41</v>
      </c>
      <c r="E290">
        <v>0</v>
      </c>
      <c r="F290" t="s">
        <v>1797</v>
      </c>
      <c r="G290" t="s">
        <v>1797</v>
      </c>
      <c r="H290">
        <v>0</v>
      </c>
      <c r="I290">
        <v>760.49939700000004</v>
      </c>
      <c r="J290" t="s">
        <v>1797</v>
      </c>
      <c r="K290">
        <v>0</v>
      </c>
      <c r="L290">
        <v>1.8908968906623309</v>
      </c>
      <c r="M290">
        <v>6.1</v>
      </c>
      <c r="N290">
        <v>3.03</v>
      </c>
    </row>
    <row r="291" spans="1:14" x14ac:dyDescent="0.25">
      <c r="A291" s="1" t="s">
        <v>303</v>
      </c>
      <c r="B291" t="str">
        <f>HYPERLINK("https://www.suredividend.com/sure-analysis-research-database/","Clover Health Investments Corp")</f>
        <v>Clover Health Investments Corp</v>
      </c>
      <c r="C291" t="s">
        <v>1797</v>
      </c>
      <c r="D291">
        <v>0.98130000000000006</v>
      </c>
      <c r="E291">
        <v>0</v>
      </c>
      <c r="F291" t="s">
        <v>1797</v>
      </c>
      <c r="G291" t="s">
        <v>1797</v>
      </c>
      <c r="H291">
        <v>0</v>
      </c>
      <c r="I291">
        <v>392.30038999999999</v>
      </c>
      <c r="J291">
        <v>0</v>
      </c>
      <c r="K291" t="s">
        <v>1797</v>
      </c>
      <c r="L291">
        <v>1.681307757006131</v>
      </c>
      <c r="M291">
        <v>1.63</v>
      </c>
      <c r="N291">
        <v>0.70779999999999998</v>
      </c>
    </row>
    <row r="292" spans="1:14" x14ac:dyDescent="0.25">
      <c r="A292" s="1" t="s">
        <v>304</v>
      </c>
      <c r="B292" t="str">
        <f>HYPERLINK("https://www.suredividend.com/sure-analysis-CLPR/","Clipper Realty Inc")</f>
        <v>Clipper Realty Inc</v>
      </c>
      <c r="C292" t="s">
        <v>1799</v>
      </c>
      <c r="D292">
        <v>5.2</v>
      </c>
      <c r="E292">
        <v>7.3076923076923081E-2</v>
      </c>
      <c r="F292">
        <v>0</v>
      </c>
      <c r="G292">
        <v>0</v>
      </c>
      <c r="H292">
        <v>0.37003416712356402</v>
      </c>
      <c r="I292">
        <v>83.528785999999997</v>
      </c>
      <c r="J292">
        <v>0</v>
      </c>
      <c r="K292" t="s">
        <v>1797</v>
      </c>
      <c r="L292">
        <v>0.74716189982346304</v>
      </c>
      <c r="M292">
        <v>6.76</v>
      </c>
      <c r="N292">
        <v>4.3899999999999997</v>
      </c>
    </row>
    <row r="293" spans="1:14" x14ac:dyDescent="0.25">
      <c r="A293" s="1" t="s">
        <v>305</v>
      </c>
      <c r="B293" t="str">
        <f>HYPERLINK("https://www.suredividend.com/sure-analysis-research-database/","Cleanspark Inc")</f>
        <v>Cleanspark Inc</v>
      </c>
      <c r="C293" t="s">
        <v>1803</v>
      </c>
      <c r="D293">
        <v>8.14</v>
      </c>
      <c r="E293">
        <v>0</v>
      </c>
      <c r="F293" t="s">
        <v>1797</v>
      </c>
      <c r="G293" t="s">
        <v>1797</v>
      </c>
      <c r="H293">
        <v>0</v>
      </c>
      <c r="I293">
        <v>1543.002356</v>
      </c>
      <c r="J293">
        <v>0</v>
      </c>
      <c r="K293" t="s">
        <v>1797</v>
      </c>
      <c r="L293">
        <v>3.1191511645383589</v>
      </c>
      <c r="M293">
        <v>13.56</v>
      </c>
      <c r="N293">
        <v>2.04</v>
      </c>
    </row>
    <row r="294" spans="1:14" x14ac:dyDescent="0.25">
      <c r="A294" s="1" t="s">
        <v>306</v>
      </c>
      <c r="B294" t="str">
        <f>HYPERLINK("https://www.suredividend.com/sure-analysis-research-database/","Clearwater Paper Corp")</f>
        <v>Clearwater Paper Corp</v>
      </c>
      <c r="C294" t="s">
        <v>1808</v>
      </c>
      <c r="D294">
        <v>34.67</v>
      </c>
      <c r="E294">
        <v>0</v>
      </c>
      <c r="F294" t="s">
        <v>1797</v>
      </c>
      <c r="G294" t="s">
        <v>1797</v>
      </c>
      <c r="H294">
        <v>0</v>
      </c>
      <c r="I294">
        <v>574.25110199999995</v>
      </c>
      <c r="J294">
        <v>6.8200843445368173</v>
      </c>
      <c r="K294">
        <v>0</v>
      </c>
      <c r="L294">
        <v>0.59725917494855807</v>
      </c>
      <c r="M294">
        <v>40.08</v>
      </c>
      <c r="N294">
        <v>29.22</v>
      </c>
    </row>
    <row r="295" spans="1:14" x14ac:dyDescent="0.25">
      <c r="A295" s="1" t="s">
        <v>307</v>
      </c>
      <c r="B295" t="str">
        <f>HYPERLINK("https://www.suredividend.com/sure-analysis-research-database/","CareMax Inc")</f>
        <v>CareMax Inc</v>
      </c>
      <c r="C295" t="s">
        <v>1797</v>
      </c>
      <c r="D295">
        <v>0.37</v>
      </c>
      <c r="E295">
        <v>0</v>
      </c>
      <c r="F295" t="s">
        <v>1797</v>
      </c>
      <c r="G295" t="s">
        <v>1797</v>
      </c>
      <c r="H295">
        <v>0</v>
      </c>
      <c r="I295">
        <v>41.566032</v>
      </c>
      <c r="J295" t="s">
        <v>1797</v>
      </c>
      <c r="K295">
        <v>0</v>
      </c>
      <c r="L295">
        <v>1.798347192312103</v>
      </c>
      <c r="M295">
        <v>4.8899999999999997</v>
      </c>
      <c r="N295">
        <v>0.32040000000000002</v>
      </c>
    </row>
    <row r="296" spans="1:14" x14ac:dyDescent="0.25">
      <c r="A296" s="1" t="s">
        <v>308</v>
      </c>
      <c r="B296" t="str">
        <f>HYPERLINK("https://www.suredividend.com/sure-analysis-research-database/","Cambium Networks Corp")</f>
        <v>Cambium Networks Corp</v>
      </c>
      <c r="C296" t="s">
        <v>1803</v>
      </c>
      <c r="D296">
        <v>4.83</v>
      </c>
      <c r="E296">
        <v>0</v>
      </c>
      <c r="F296" t="s">
        <v>1797</v>
      </c>
      <c r="G296" t="s">
        <v>1797</v>
      </c>
      <c r="H296">
        <v>0</v>
      </c>
      <c r="I296">
        <v>133.62256300000001</v>
      </c>
      <c r="J296" t="s">
        <v>1797</v>
      </c>
      <c r="K296">
        <v>0</v>
      </c>
      <c r="L296">
        <v>1.7026664082876819</v>
      </c>
      <c r="M296">
        <v>23.26</v>
      </c>
      <c r="N296">
        <v>3.53</v>
      </c>
    </row>
    <row r="297" spans="1:14" x14ac:dyDescent="0.25">
      <c r="A297" s="1" t="s">
        <v>309</v>
      </c>
      <c r="B297" t="str">
        <f>HYPERLINK("https://www.suredividend.com/sure-analysis-research-database/","Commercial Metals Co.")</f>
        <v>Commercial Metals Co.</v>
      </c>
      <c r="C297" t="s">
        <v>1808</v>
      </c>
      <c r="D297">
        <v>50.08</v>
      </c>
      <c r="E297">
        <v>1.2711507741145E-2</v>
      </c>
      <c r="F297">
        <v>0</v>
      </c>
      <c r="G297">
        <v>5.9223841048812183E-2</v>
      </c>
      <c r="H297">
        <v>0.63659230767658004</v>
      </c>
      <c r="I297">
        <v>5828.7024259999998</v>
      </c>
      <c r="J297">
        <v>7.5281041954178134</v>
      </c>
      <c r="K297">
        <v>9.7338273345042817E-2</v>
      </c>
      <c r="L297">
        <v>1.4316423481965621</v>
      </c>
      <c r="M297">
        <v>57.83</v>
      </c>
      <c r="N297">
        <v>39.69</v>
      </c>
    </row>
    <row r="298" spans="1:14" x14ac:dyDescent="0.25">
      <c r="A298" s="1" t="s">
        <v>310</v>
      </c>
      <c r="B298" t="str">
        <f>HYPERLINK("https://www.suredividend.com/sure-analysis-research-database/","Columbus Mckinnon Corp.")</f>
        <v>Columbus Mckinnon Corp.</v>
      </c>
      <c r="C298" t="s">
        <v>1798</v>
      </c>
      <c r="D298">
        <v>36.909999999999997</v>
      </c>
      <c r="E298">
        <v>7.5448932395310014E-3</v>
      </c>
      <c r="F298">
        <v>0</v>
      </c>
      <c r="G298">
        <v>6.9610375725068785E-2</v>
      </c>
      <c r="H298">
        <v>0.27848200947109403</v>
      </c>
      <c r="I298">
        <v>1060.7219419999999</v>
      </c>
      <c r="J298">
        <v>20.79357684936878</v>
      </c>
      <c r="K298">
        <v>0.1582284144722125</v>
      </c>
      <c r="L298">
        <v>1.3763044925092369</v>
      </c>
      <c r="M298">
        <v>42.54</v>
      </c>
      <c r="N298">
        <v>30.16</v>
      </c>
    </row>
    <row r="299" spans="1:14" x14ac:dyDescent="0.25">
      <c r="A299" s="1" t="s">
        <v>311</v>
      </c>
      <c r="B299" t="str">
        <f>HYPERLINK("https://www.suredividend.com/sure-analysis-research-database/","Cumulus Media Inc.")</f>
        <v>Cumulus Media Inc.</v>
      </c>
      <c r="C299" t="s">
        <v>1806</v>
      </c>
      <c r="D299">
        <v>4.93</v>
      </c>
      <c r="E299">
        <v>0</v>
      </c>
      <c r="F299" t="s">
        <v>1797</v>
      </c>
      <c r="G299" t="s">
        <v>1797</v>
      </c>
      <c r="H299">
        <v>0</v>
      </c>
      <c r="I299">
        <v>81.385278</v>
      </c>
      <c r="J299">
        <v>0</v>
      </c>
      <c r="K299" t="s">
        <v>1797</v>
      </c>
      <c r="L299">
        <v>1.0489934187051071</v>
      </c>
      <c r="M299">
        <v>6.94</v>
      </c>
      <c r="N299">
        <v>2.57</v>
      </c>
    </row>
    <row r="300" spans="1:14" x14ac:dyDescent="0.25">
      <c r="A300" s="1" t="s">
        <v>312</v>
      </c>
      <c r="B300" t="str">
        <f>HYPERLINK("https://www.suredividend.com/sure-analysis-CMP/","Compass Minerals International Inc")</f>
        <v>Compass Minerals International Inc</v>
      </c>
      <c r="C300" t="s">
        <v>1808</v>
      </c>
      <c r="D300">
        <v>20.45</v>
      </c>
      <c r="E300">
        <v>2.93398533007335E-2</v>
      </c>
      <c r="F300">
        <v>0</v>
      </c>
      <c r="G300">
        <v>-0.26927872418903731</v>
      </c>
      <c r="H300">
        <v>0.5950750891878881</v>
      </c>
      <c r="I300">
        <v>842.74533799999995</v>
      </c>
      <c r="J300">
        <v>55.443772266447368</v>
      </c>
      <c r="K300">
        <v>1.5966597509736731</v>
      </c>
      <c r="L300">
        <v>1.3533472403742599</v>
      </c>
      <c r="M300">
        <v>46.76</v>
      </c>
      <c r="N300">
        <v>19.899999999999999</v>
      </c>
    </row>
    <row r="301" spans="1:14" x14ac:dyDescent="0.25">
      <c r="A301" s="1" t="s">
        <v>313</v>
      </c>
      <c r="B301" t="str">
        <f>HYPERLINK("https://www.suredividend.com/sure-analysis-research-database/","CompoSecure Inc")</f>
        <v>CompoSecure Inc</v>
      </c>
      <c r="C301" t="s">
        <v>1797</v>
      </c>
      <c r="D301">
        <v>5.35</v>
      </c>
      <c r="E301">
        <v>0</v>
      </c>
      <c r="F301" t="s">
        <v>1797</v>
      </c>
      <c r="G301" t="s">
        <v>1797</v>
      </c>
      <c r="H301">
        <v>0</v>
      </c>
      <c r="I301">
        <v>103.558982</v>
      </c>
      <c r="J301">
        <v>5.7007036028845093</v>
      </c>
      <c r="K301">
        <v>0</v>
      </c>
      <c r="L301">
        <v>0.46183245243515197</v>
      </c>
      <c r="M301">
        <v>7.9</v>
      </c>
      <c r="N301">
        <v>4.6399999999999997</v>
      </c>
    </row>
    <row r="302" spans="1:14" x14ac:dyDescent="0.25">
      <c r="A302" s="1" t="s">
        <v>314</v>
      </c>
      <c r="B302" t="str">
        <f>HYPERLINK("https://www.suredividend.com/sure-analysis-research-database/","Cimpress plc")</f>
        <v>Cimpress plc</v>
      </c>
      <c r="C302" t="s">
        <v>1806</v>
      </c>
      <c r="D302">
        <v>73.44</v>
      </c>
      <c r="E302">
        <v>0</v>
      </c>
      <c r="F302" t="s">
        <v>1797</v>
      </c>
      <c r="G302" t="s">
        <v>1797</v>
      </c>
      <c r="H302">
        <v>0</v>
      </c>
      <c r="I302">
        <v>1952.7723169999999</v>
      </c>
      <c r="J302" t="s">
        <v>1797</v>
      </c>
      <c r="K302">
        <v>0</v>
      </c>
      <c r="L302">
        <v>1.95806192835693</v>
      </c>
      <c r="M302">
        <v>83.36</v>
      </c>
      <c r="N302">
        <v>26.52</v>
      </c>
    </row>
    <row r="303" spans="1:14" x14ac:dyDescent="0.25">
      <c r="A303" s="1" t="s">
        <v>315</v>
      </c>
      <c r="B303" t="str">
        <f>HYPERLINK("https://www.suredividend.com/sure-analysis-research-database/","Costamare Inc")</f>
        <v>Costamare Inc</v>
      </c>
      <c r="C303" t="s">
        <v>1798</v>
      </c>
      <c r="D303">
        <v>10.74</v>
      </c>
      <c r="E303">
        <v>4.2071989786101001E-2</v>
      </c>
      <c r="F303">
        <v>0</v>
      </c>
      <c r="G303">
        <v>2.834672210021361E-2</v>
      </c>
      <c r="H303">
        <v>0.45185317030272398</v>
      </c>
      <c r="I303">
        <v>1263.479108</v>
      </c>
      <c r="J303">
        <v>2.840766305728617</v>
      </c>
      <c r="K303">
        <v>0.12312075485087851</v>
      </c>
      <c r="L303">
        <v>0.96505328124914402</v>
      </c>
      <c r="M303">
        <v>11.7</v>
      </c>
      <c r="N303">
        <v>7.53</v>
      </c>
    </row>
    <row r="304" spans="1:14" x14ac:dyDescent="0.25">
      <c r="A304" s="1" t="s">
        <v>316</v>
      </c>
      <c r="B304" t="str">
        <f>HYPERLINK("https://www.suredividend.com/sure-analysis-research-database/","Chimerix Inc")</f>
        <v>Chimerix Inc</v>
      </c>
      <c r="C304" t="s">
        <v>1802</v>
      </c>
      <c r="D304">
        <v>0.96</v>
      </c>
      <c r="E304">
        <v>0</v>
      </c>
      <c r="F304" t="s">
        <v>1797</v>
      </c>
      <c r="G304" t="s">
        <v>1797</v>
      </c>
      <c r="H304">
        <v>0</v>
      </c>
      <c r="I304">
        <v>85.335648000000006</v>
      </c>
      <c r="J304" t="s">
        <v>1797</v>
      </c>
      <c r="K304">
        <v>0</v>
      </c>
      <c r="L304">
        <v>1.214781062730365</v>
      </c>
      <c r="M304">
        <v>2.0699999999999998</v>
      </c>
      <c r="N304">
        <v>0.88</v>
      </c>
    </row>
    <row r="305" spans="1:14" x14ac:dyDescent="0.25">
      <c r="A305" s="1" t="s">
        <v>317</v>
      </c>
      <c r="B305" t="str">
        <f>HYPERLINK("https://www.suredividend.com/sure-analysis-research-database/","Claros Mortgage Trust Inc")</f>
        <v>Claros Mortgage Trust Inc</v>
      </c>
      <c r="C305" t="s">
        <v>1797</v>
      </c>
      <c r="D305">
        <v>12.49</v>
      </c>
      <c r="E305">
        <v>9.569537239733901E-2</v>
      </c>
      <c r="F305" t="s">
        <v>1797</v>
      </c>
      <c r="G305" t="s">
        <v>1797</v>
      </c>
      <c r="H305">
        <v>1.1952352012427661</v>
      </c>
      <c r="I305">
        <v>1732.7213380000001</v>
      </c>
      <c r="J305" t="s">
        <v>1797</v>
      </c>
      <c r="K305" t="s">
        <v>1797</v>
      </c>
      <c r="L305">
        <v>1.4290164576440341</v>
      </c>
      <c r="M305">
        <v>15.3</v>
      </c>
      <c r="N305">
        <v>9.3800000000000008</v>
      </c>
    </row>
    <row r="306" spans="1:14" x14ac:dyDescent="0.25">
      <c r="A306" s="1" t="s">
        <v>318</v>
      </c>
      <c r="B306" t="str">
        <f>HYPERLINK("https://www.suredividend.com/sure-analysis-research-database/","Comtech Telecommunications Corp.")</f>
        <v>Comtech Telecommunications Corp.</v>
      </c>
      <c r="C306" t="s">
        <v>1803</v>
      </c>
      <c r="D306">
        <v>7.96</v>
      </c>
      <c r="E306">
        <v>1.2562814257552001E-2</v>
      </c>
      <c r="F306" t="s">
        <v>1797</v>
      </c>
      <c r="G306" t="s">
        <v>1797</v>
      </c>
      <c r="H306">
        <v>0.10000000149011599</v>
      </c>
      <c r="I306">
        <v>226.692442</v>
      </c>
      <c r="J306" t="s">
        <v>1797</v>
      </c>
      <c r="K306" t="s">
        <v>1797</v>
      </c>
      <c r="L306">
        <v>0.86484992554393203</v>
      </c>
      <c r="M306">
        <v>16.87</v>
      </c>
      <c r="N306">
        <v>7.26</v>
      </c>
    </row>
    <row r="307" spans="1:14" x14ac:dyDescent="0.25">
      <c r="A307" s="1" t="s">
        <v>319</v>
      </c>
      <c r="B307" t="str">
        <f>HYPERLINK("https://www.suredividend.com/sure-analysis-research-database/","Conduent Inc")</f>
        <v>Conduent Inc</v>
      </c>
      <c r="C307" t="s">
        <v>1803</v>
      </c>
      <c r="D307">
        <v>3.53</v>
      </c>
      <c r="E307">
        <v>0</v>
      </c>
      <c r="F307" t="s">
        <v>1797</v>
      </c>
      <c r="G307" t="s">
        <v>1797</v>
      </c>
      <c r="H307">
        <v>0</v>
      </c>
      <c r="I307">
        <v>767.02345600000001</v>
      </c>
      <c r="J307" t="s">
        <v>1797</v>
      </c>
      <c r="K307">
        <v>0</v>
      </c>
      <c r="L307">
        <v>1.294851170502664</v>
      </c>
      <c r="M307">
        <v>4.95</v>
      </c>
      <c r="N307">
        <v>2.4</v>
      </c>
    </row>
    <row r="308" spans="1:14" x14ac:dyDescent="0.25">
      <c r="A308" s="1" t="s">
        <v>320</v>
      </c>
      <c r="B308" t="str">
        <f>HYPERLINK("https://www.suredividend.com/sure-analysis-research-database/","Cinemark Holdings Inc")</f>
        <v>Cinemark Holdings Inc</v>
      </c>
      <c r="C308" t="s">
        <v>1806</v>
      </c>
      <c r="D308">
        <v>13.5</v>
      </c>
      <c r="E308">
        <v>0</v>
      </c>
      <c r="F308" t="s">
        <v>1797</v>
      </c>
      <c r="G308" t="s">
        <v>1797</v>
      </c>
      <c r="H308">
        <v>0</v>
      </c>
      <c r="I308">
        <v>1641.776337</v>
      </c>
      <c r="J308">
        <v>14.60655104092527</v>
      </c>
      <c r="K308">
        <v>0</v>
      </c>
      <c r="L308">
        <v>0.87464324136848703</v>
      </c>
      <c r="M308">
        <v>19.850000000000001</v>
      </c>
      <c r="N308">
        <v>10.33</v>
      </c>
    </row>
    <row r="309" spans="1:14" x14ac:dyDescent="0.25">
      <c r="A309" s="1" t="s">
        <v>321</v>
      </c>
      <c r="B309" t="str">
        <f>HYPERLINK("https://www.suredividend.com/sure-analysis-research-database/","Conmed Corp.")</f>
        <v>Conmed Corp.</v>
      </c>
      <c r="C309" t="s">
        <v>1802</v>
      </c>
      <c r="D309">
        <v>111.54</v>
      </c>
      <c r="E309">
        <v>7.1536062067750006E-3</v>
      </c>
      <c r="F309">
        <v>0</v>
      </c>
      <c r="G309">
        <v>0</v>
      </c>
      <c r="H309">
        <v>0.79791323630378508</v>
      </c>
      <c r="I309">
        <v>3430.1002760000001</v>
      </c>
      <c r="J309">
        <v>59.168223909128542</v>
      </c>
      <c r="K309">
        <v>0.40918627502758198</v>
      </c>
      <c r="L309">
        <v>1.4466228238989081</v>
      </c>
      <c r="M309">
        <v>137.97</v>
      </c>
      <c r="N309">
        <v>87.37</v>
      </c>
    </row>
    <row r="310" spans="1:14" x14ac:dyDescent="0.25">
      <c r="A310" s="1" t="s">
        <v>322</v>
      </c>
      <c r="B310" t="str">
        <f>HYPERLINK("https://www.suredividend.com/sure-analysis-research-database/","Cannae Holdings Inc")</f>
        <v>Cannae Holdings Inc</v>
      </c>
      <c r="C310" t="s">
        <v>1801</v>
      </c>
      <c r="D310">
        <v>20.28</v>
      </c>
      <c r="E310">
        <v>0</v>
      </c>
      <c r="F310" t="s">
        <v>1797</v>
      </c>
      <c r="G310" t="s">
        <v>1797</v>
      </c>
      <c r="H310">
        <v>0</v>
      </c>
      <c r="I310">
        <v>1434.0388330000001</v>
      </c>
      <c r="J310" t="s">
        <v>1797</v>
      </c>
      <c r="K310">
        <v>0</v>
      </c>
      <c r="L310">
        <v>1.4096581666915251</v>
      </c>
      <c r="M310">
        <v>25.51</v>
      </c>
      <c r="N310">
        <v>15.93</v>
      </c>
    </row>
    <row r="311" spans="1:14" x14ac:dyDescent="0.25">
      <c r="A311" s="1" t="s">
        <v>323</v>
      </c>
      <c r="B311" t="str">
        <f>HYPERLINK("https://www.suredividend.com/sure-analysis-research-database/","CNO Financial Group Inc")</f>
        <v>CNO Financial Group Inc</v>
      </c>
      <c r="C311" t="s">
        <v>1800</v>
      </c>
      <c r="D311">
        <v>27.11</v>
      </c>
      <c r="E311">
        <v>2.1571457947371999E-2</v>
      </c>
      <c r="F311">
        <v>7.1428571428571397E-2</v>
      </c>
      <c r="G311">
        <v>8.4471771197698553E-2</v>
      </c>
      <c r="H311">
        <v>0.58480222495325507</v>
      </c>
      <c r="I311">
        <v>3040.9462130000002</v>
      </c>
      <c r="J311">
        <v>10.72265942545839</v>
      </c>
      <c r="K311">
        <v>0.23772448168831509</v>
      </c>
      <c r="L311">
        <v>1.2025116330808809</v>
      </c>
      <c r="M311">
        <v>28.39</v>
      </c>
      <c r="N311">
        <v>19.59</v>
      </c>
    </row>
    <row r="312" spans="1:14" x14ac:dyDescent="0.25">
      <c r="A312" s="1" t="s">
        <v>324</v>
      </c>
      <c r="B312" t="str">
        <f>HYPERLINK("https://www.suredividend.com/sure-analysis-research-database/","ConnectOne Bancorp Inc.")</f>
        <v>ConnectOne Bancorp Inc.</v>
      </c>
      <c r="C312" t="s">
        <v>1800</v>
      </c>
      <c r="D312">
        <v>22.72</v>
      </c>
      <c r="E312">
        <v>2.8542444235098E-2</v>
      </c>
      <c r="F312">
        <v>9.6774193548387233E-2</v>
      </c>
      <c r="G312">
        <v>0.13564157249607761</v>
      </c>
      <c r="H312">
        <v>0.64848433302142805</v>
      </c>
      <c r="I312">
        <v>877.13672599999995</v>
      </c>
      <c r="J312">
        <v>9.3292568219527752</v>
      </c>
      <c r="K312">
        <v>0.26908063610847638</v>
      </c>
      <c r="L312">
        <v>1.5196785831476489</v>
      </c>
      <c r="M312">
        <v>24.51</v>
      </c>
      <c r="N312">
        <v>12.49</v>
      </c>
    </row>
    <row r="313" spans="1:14" x14ac:dyDescent="0.25">
      <c r="A313" s="1" t="s">
        <v>325</v>
      </c>
      <c r="B313" t="str">
        <f>HYPERLINK("https://www.suredividend.com/sure-analysis-CNS/","Cohen &amp; Steers Inc.")</f>
        <v>Cohen &amp; Steers Inc.</v>
      </c>
      <c r="C313" t="s">
        <v>1800</v>
      </c>
      <c r="D313">
        <v>68.180000000000007</v>
      </c>
      <c r="E313">
        <v>3.3440891757113518E-2</v>
      </c>
      <c r="F313">
        <v>3.6363636363636383E-2</v>
      </c>
      <c r="G313">
        <v>9.6262279352954172E-2</v>
      </c>
      <c r="H313">
        <v>2.2461083187521358</v>
      </c>
      <c r="I313">
        <v>3350.2716569999998</v>
      </c>
      <c r="J313">
        <v>25.432867661428681</v>
      </c>
      <c r="K313">
        <v>0.84440162359102866</v>
      </c>
      <c r="L313">
        <v>1.3614283684533539</v>
      </c>
      <c r="M313">
        <v>78.58</v>
      </c>
      <c r="N313">
        <v>49.51</v>
      </c>
    </row>
    <row r="314" spans="1:14" x14ac:dyDescent="0.25">
      <c r="A314" s="1" t="s">
        <v>326</v>
      </c>
      <c r="B314" t="str">
        <f>HYPERLINK("https://www.suredividend.com/sure-analysis-research-database/","Consolidated Communications Holdings Inc")</f>
        <v>Consolidated Communications Holdings Inc</v>
      </c>
      <c r="C314" t="s">
        <v>1806</v>
      </c>
      <c r="D314">
        <v>4.5599999999999996</v>
      </c>
      <c r="E314">
        <v>0</v>
      </c>
      <c r="F314" t="s">
        <v>1797</v>
      </c>
      <c r="G314" t="s">
        <v>1797</v>
      </c>
      <c r="H314">
        <v>0</v>
      </c>
      <c r="I314">
        <v>531.18521199999998</v>
      </c>
      <c r="J314" t="s">
        <v>1797</v>
      </c>
      <c r="K314">
        <v>0</v>
      </c>
      <c r="L314">
        <v>1.673259826843535</v>
      </c>
      <c r="M314">
        <v>4.79</v>
      </c>
      <c r="N314">
        <v>2.1</v>
      </c>
    </row>
    <row r="315" spans="1:14" x14ac:dyDescent="0.25">
      <c r="A315" s="1" t="s">
        <v>327</v>
      </c>
      <c r="B315" t="str">
        <f>HYPERLINK("https://www.suredividend.com/sure-analysis-research-database/","Century Casinos Inc.")</f>
        <v>Century Casinos Inc.</v>
      </c>
      <c r="C315" t="s">
        <v>1801</v>
      </c>
      <c r="D315">
        <v>4.3</v>
      </c>
      <c r="E315">
        <v>0</v>
      </c>
      <c r="F315" t="s">
        <v>1797</v>
      </c>
      <c r="G315" t="s">
        <v>1797</v>
      </c>
      <c r="H315">
        <v>0</v>
      </c>
      <c r="I315">
        <v>130.440203</v>
      </c>
      <c r="J315" t="s">
        <v>1797</v>
      </c>
      <c r="K315">
        <v>0</v>
      </c>
      <c r="L315">
        <v>1.963582032089018</v>
      </c>
      <c r="M315">
        <v>10.41</v>
      </c>
      <c r="N315">
        <v>4.12</v>
      </c>
    </row>
    <row r="316" spans="1:14" x14ac:dyDescent="0.25">
      <c r="A316" s="1" t="s">
        <v>328</v>
      </c>
      <c r="B316" t="str">
        <f>HYPERLINK("https://www.suredividend.com/sure-analysis-research-database/","CNX Resources Corp")</f>
        <v>CNX Resources Corp</v>
      </c>
      <c r="C316" t="s">
        <v>1807</v>
      </c>
      <c r="D316">
        <v>20.12</v>
      </c>
      <c r="E316">
        <v>0</v>
      </c>
      <c r="F316" t="s">
        <v>1797</v>
      </c>
      <c r="G316" t="s">
        <v>1797</v>
      </c>
      <c r="H316">
        <v>0</v>
      </c>
      <c r="I316">
        <v>3196.1276109999999</v>
      </c>
      <c r="J316">
        <v>1.3421720025196211</v>
      </c>
      <c r="K316">
        <v>0</v>
      </c>
      <c r="L316">
        <v>0.89243258679172111</v>
      </c>
      <c r="M316">
        <v>23.68</v>
      </c>
      <c r="N316">
        <v>14.36</v>
      </c>
    </row>
    <row r="317" spans="1:14" x14ac:dyDescent="0.25">
      <c r="A317" s="1" t="s">
        <v>329</v>
      </c>
      <c r="B317" t="str">
        <f>HYPERLINK("https://www.suredividend.com/sure-analysis-research-database/","PC Connection, Inc.")</f>
        <v>PC Connection, Inc.</v>
      </c>
      <c r="C317" t="s">
        <v>1803</v>
      </c>
      <c r="D317">
        <v>64.739999999999995</v>
      </c>
      <c r="E317">
        <v>4.920596389333E-3</v>
      </c>
      <c r="F317" t="s">
        <v>1797</v>
      </c>
      <c r="G317" t="s">
        <v>1797</v>
      </c>
      <c r="H317">
        <v>0.31855941024543211</v>
      </c>
      <c r="I317">
        <v>1700.817687</v>
      </c>
      <c r="J317">
        <v>21.71737176158128</v>
      </c>
      <c r="K317">
        <v>0.10762142238021349</v>
      </c>
      <c r="L317">
        <v>0.66545599773882702</v>
      </c>
      <c r="M317">
        <v>70.45</v>
      </c>
      <c r="N317">
        <v>37.4</v>
      </c>
    </row>
    <row r="318" spans="1:14" x14ac:dyDescent="0.25">
      <c r="A318" s="1" t="s">
        <v>330</v>
      </c>
      <c r="B318" t="str">
        <f>HYPERLINK("https://www.suredividend.com/sure-analysis-research-database/","Vita Coco Company Inc (The)")</f>
        <v>Vita Coco Company Inc (The)</v>
      </c>
      <c r="C318" t="s">
        <v>1797</v>
      </c>
      <c r="D318">
        <v>25.88</v>
      </c>
      <c r="E318">
        <v>0</v>
      </c>
      <c r="F318" t="s">
        <v>1797</v>
      </c>
      <c r="G318" t="s">
        <v>1797</v>
      </c>
      <c r="H318">
        <v>0</v>
      </c>
      <c r="I318">
        <v>1470.056593</v>
      </c>
      <c r="J318">
        <v>39.681924995950979</v>
      </c>
      <c r="K318">
        <v>0</v>
      </c>
      <c r="L318">
        <v>0.79762672106543708</v>
      </c>
      <c r="M318">
        <v>33.29</v>
      </c>
      <c r="N318">
        <v>12.58</v>
      </c>
    </row>
    <row r="319" spans="1:14" x14ac:dyDescent="0.25">
      <c r="A319" s="1" t="s">
        <v>331</v>
      </c>
      <c r="B319" t="str">
        <f>HYPERLINK("https://www.suredividend.com/sure-analysis-CODI/","Compass Diversified Holdings")</f>
        <v>Compass Diversified Holdings</v>
      </c>
      <c r="C319" t="s">
        <v>1798</v>
      </c>
      <c r="D319">
        <v>21.77</v>
      </c>
      <c r="E319">
        <v>4.5934772622875521E-2</v>
      </c>
      <c r="F319">
        <v>0</v>
      </c>
      <c r="G319">
        <v>-7.0332815225143785E-2</v>
      </c>
      <c r="H319">
        <v>0.98136374328412512</v>
      </c>
      <c r="I319">
        <v>1563.528562</v>
      </c>
      <c r="J319">
        <v>39.448178688785163</v>
      </c>
      <c r="K319">
        <v>1.7784772440814149</v>
      </c>
      <c r="L319">
        <v>0.98180039005638808</v>
      </c>
      <c r="M319">
        <v>22.94</v>
      </c>
      <c r="N319">
        <v>16.88</v>
      </c>
    </row>
    <row r="320" spans="1:14" x14ac:dyDescent="0.25">
      <c r="A320" s="1" t="s">
        <v>332</v>
      </c>
      <c r="B320" t="str">
        <f>HYPERLINK("https://www.suredividend.com/sure-analysis-research-database/","Cogent Biosciences Inc")</f>
        <v>Cogent Biosciences Inc</v>
      </c>
      <c r="C320" t="s">
        <v>1797</v>
      </c>
      <c r="D320">
        <v>5.0599999999999996</v>
      </c>
      <c r="E320">
        <v>0</v>
      </c>
      <c r="F320" t="s">
        <v>1797</v>
      </c>
      <c r="G320" t="s">
        <v>1797</v>
      </c>
      <c r="H320">
        <v>0</v>
      </c>
      <c r="I320">
        <v>435.78870000000001</v>
      </c>
      <c r="J320">
        <v>0</v>
      </c>
      <c r="K320" t="s">
        <v>1797</v>
      </c>
      <c r="L320">
        <v>1.2439897290077291</v>
      </c>
      <c r="M320">
        <v>15.68</v>
      </c>
      <c r="N320">
        <v>3.67</v>
      </c>
    </row>
    <row r="321" spans="1:14" x14ac:dyDescent="0.25">
      <c r="A321" s="1" t="s">
        <v>333</v>
      </c>
      <c r="B321" t="str">
        <f>HYPERLINK("https://www.suredividend.com/sure-analysis-research-database/","Cohu, Inc.")</f>
        <v>Cohu, Inc.</v>
      </c>
      <c r="C321" t="s">
        <v>1803</v>
      </c>
      <c r="D321">
        <v>32.99</v>
      </c>
      <c r="E321">
        <v>0</v>
      </c>
      <c r="F321" t="s">
        <v>1797</v>
      </c>
      <c r="G321" t="s">
        <v>1797</v>
      </c>
      <c r="H321">
        <v>0</v>
      </c>
      <c r="I321">
        <v>1567.0250000000001</v>
      </c>
      <c r="J321">
        <v>30.24444144213696</v>
      </c>
      <c r="K321">
        <v>0</v>
      </c>
      <c r="L321">
        <v>1.3507760374166831</v>
      </c>
      <c r="M321">
        <v>43.99</v>
      </c>
      <c r="N321">
        <v>29.07</v>
      </c>
    </row>
    <row r="322" spans="1:14" x14ac:dyDescent="0.25">
      <c r="A322" s="1" t="s">
        <v>334</v>
      </c>
      <c r="B322" t="str">
        <f>HYPERLINK("https://www.suredividend.com/sure-analysis-research-database/","Coca-Cola Consolidated Inc")</f>
        <v>Coca-Cola Consolidated Inc</v>
      </c>
      <c r="C322" t="s">
        <v>1804</v>
      </c>
      <c r="D322">
        <v>909.72</v>
      </c>
      <c r="E322">
        <v>2.1940520680629998E-3</v>
      </c>
      <c r="F322">
        <v>-0.83333333333333337</v>
      </c>
      <c r="G322">
        <v>0.1486983549970351</v>
      </c>
      <c r="H322">
        <v>1.995973047358883</v>
      </c>
      <c r="I322">
        <v>7613.4403119999997</v>
      </c>
      <c r="J322">
        <v>16.88184128918099</v>
      </c>
      <c r="K322">
        <v>4.1608777305792849E-2</v>
      </c>
      <c r="L322">
        <v>0.72810665587918411</v>
      </c>
      <c r="M322">
        <v>961.91</v>
      </c>
      <c r="N322">
        <v>471.86</v>
      </c>
    </row>
    <row r="323" spans="1:14" x14ac:dyDescent="0.25">
      <c r="A323" s="1" t="s">
        <v>335</v>
      </c>
      <c r="B323" t="str">
        <f>HYPERLINK("https://www.suredividend.com/sure-analysis-research-database/","Collegium Pharmaceutical Inc")</f>
        <v>Collegium Pharmaceutical Inc</v>
      </c>
      <c r="C323" t="s">
        <v>1802</v>
      </c>
      <c r="D323">
        <v>32.51</v>
      </c>
      <c r="E323">
        <v>0</v>
      </c>
      <c r="F323" t="s">
        <v>1797</v>
      </c>
      <c r="G323" t="s">
        <v>1797</v>
      </c>
      <c r="H323">
        <v>0</v>
      </c>
      <c r="I323">
        <v>1060.1794809999999</v>
      </c>
      <c r="J323">
        <v>117.58867360581191</v>
      </c>
      <c r="K323">
        <v>0</v>
      </c>
      <c r="L323">
        <v>0.76704959594470801</v>
      </c>
      <c r="M323">
        <v>34.96</v>
      </c>
      <c r="N323">
        <v>20.83</v>
      </c>
    </row>
    <row r="324" spans="1:14" x14ac:dyDescent="0.25">
      <c r="A324" s="1" t="s">
        <v>336</v>
      </c>
      <c r="B324" t="str">
        <f>HYPERLINK("https://www.suredividend.com/sure-analysis-research-database/","CommScope Holding Company Inc")</f>
        <v>CommScope Holding Company Inc</v>
      </c>
      <c r="C324" t="s">
        <v>1803</v>
      </c>
      <c r="D324">
        <v>2.4700000000000002</v>
      </c>
      <c r="E324">
        <v>0</v>
      </c>
      <c r="F324" t="s">
        <v>1797</v>
      </c>
      <c r="G324" t="s">
        <v>1797</v>
      </c>
      <c r="H324">
        <v>0</v>
      </c>
      <c r="I324">
        <v>523.78442299999995</v>
      </c>
      <c r="J324" t="s">
        <v>1797</v>
      </c>
      <c r="K324">
        <v>0</v>
      </c>
      <c r="L324">
        <v>2.0710222585490681</v>
      </c>
      <c r="M324">
        <v>9.34</v>
      </c>
      <c r="N324">
        <v>1.34</v>
      </c>
    </row>
    <row r="325" spans="1:14" x14ac:dyDescent="0.25">
      <c r="A325" s="1" t="s">
        <v>337</v>
      </c>
      <c r="B325" t="str">
        <f>HYPERLINK("https://www.suredividend.com/sure-analysis-research-database/","Compass Inc")</f>
        <v>Compass Inc</v>
      </c>
      <c r="C325" t="s">
        <v>1797</v>
      </c>
      <c r="D325">
        <v>3.4</v>
      </c>
      <c r="E325">
        <v>0</v>
      </c>
      <c r="F325" t="s">
        <v>1797</v>
      </c>
      <c r="G325" t="s">
        <v>1797</v>
      </c>
      <c r="H325">
        <v>0</v>
      </c>
      <c r="I325">
        <v>1642.3496</v>
      </c>
      <c r="J325" t="s">
        <v>1797</v>
      </c>
      <c r="K325">
        <v>0</v>
      </c>
      <c r="L325">
        <v>3.3469996986180508</v>
      </c>
      <c r="M325">
        <v>5.16</v>
      </c>
      <c r="N325">
        <v>1.82</v>
      </c>
    </row>
    <row r="326" spans="1:14" x14ac:dyDescent="0.25">
      <c r="A326" s="1" t="s">
        <v>338</v>
      </c>
      <c r="B326" t="str">
        <f>HYPERLINK("https://www.suredividend.com/sure-analysis-research-database/","Conns Inc")</f>
        <v>Conns Inc</v>
      </c>
      <c r="C326" t="s">
        <v>1801</v>
      </c>
      <c r="D326">
        <v>4.83</v>
      </c>
      <c r="E326">
        <v>0</v>
      </c>
      <c r="F326" t="s">
        <v>1797</v>
      </c>
      <c r="G326" t="s">
        <v>1797</v>
      </c>
      <c r="H326">
        <v>0</v>
      </c>
      <c r="I326">
        <v>118.577046</v>
      </c>
      <c r="J326" t="s">
        <v>1797</v>
      </c>
      <c r="K326">
        <v>0</v>
      </c>
      <c r="L326">
        <v>2.2129845633680469</v>
      </c>
      <c r="M326">
        <v>11.69</v>
      </c>
      <c r="N326">
        <v>2.5499999999999998</v>
      </c>
    </row>
    <row r="327" spans="1:14" x14ac:dyDescent="0.25">
      <c r="A327" s="1" t="s">
        <v>339</v>
      </c>
      <c r="B327" t="str">
        <f>HYPERLINK("https://www.suredividend.com/sure-analysis-research-database/","Traeger Inc")</f>
        <v>Traeger Inc</v>
      </c>
      <c r="C327" t="s">
        <v>1797</v>
      </c>
      <c r="D327">
        <v>2.36</v>
      </c>
      <c r="E327">
        <v>0</v>
      </c>
      <c r="F327" t="s">
        <v>1797</v>
      </c>
      <c r="G327" t="s">
        <v>1797</v>
      </c>
      <c r="H327">
        <v>0</v>
      </c>
      <c r="I327">
        <v>296.90991300000002</v>
      </c>
      <c r="J327" t="s">
        <v>1797</v>
      </c>
      <c r="K327">
        <v>0</v>
      </c>
      <c r="L327">
        <v>1.9491732222872289</v>
      </c>
      <c r="M327">
        <v>6.7</v>
      </c>
      <c r="N327">
        <v>2.0499999999999998</v>
      </c>
    </row>
    <row r="328" spans="1:14" x14ac:dyDescent="0.25">
      <c r="A328" s="1" t="s">
        <v>340</v>
      </c>
      <c r="B328" t="str">
        <f>HYPERLINK("https://www.suredividend.com/sure-analysis-research-database/","Mr. Cooper Group Inc")</f>
        <v>Mr. Cooper Group Inc</v>
      </c>
      <c r="C328" t="s">
        <v>1800</v>
      </c>
      <c r="D328">
        <v>62.12</v>
      </c>
      <c r="E328">
        <v>0</v>
      </c>
      <c r="F328" t="s">
        <v>1797</v>
      </c>
      <c r="G328" t="s">
        <v>1797</v>
      </c>
      <c r="H328">
        <v>0</v>
      </c>
      <c r="I328">
        <v>4091.2445069999999</v>
      </c>
      <c r="J328">
        <v>8.9917461695824166</v>
      </c>
      <c r="K328">
        <v>0</v>
      </c>
      <c r="L328">
        <v>1.1348658085301071</v>
      </c>
      <c r="M328">
        <v>67.959999999999994</v>
      </c>
      <c r="N328">
        <v>37.54</v>
      </c>
    </row>
    <row r="329" spans="1:14" x14ac:dyDescent="0.25">
      <c r="A329" s="1" t="s">
        <v>341</v>
      </c>
      <c r="B329" t="str">
        <f>HYPERLINK("https://www.suredividend.com/sure-analysis-research-database/","Corcept Therapeutics Inc")</f>
        <v>Corcept Therapeutics Inc</v>
      </c>
      <c r="C329" t="s">
        <v>1802</v>
      </c>
      <c r="D329">
        <v>23.2</v>
      </c>
      <c r="E329">
        <v>0</v>
      </c>
      <c r="F329" t="s">
        <v>1797</v>
      </c>
      <c r="G329" t="s">
        <v>1797</v>
      </c>
      <c r="H329">
        <v>0</v>
      </c>
      <c r="I329">
        <v>2391.4560000000001</v>
      </c>
      <c r="J329">
        <v>26.16873481714924</v>
      </c>
      <c r="K329">
        <v>0</v>
      </c>
      <c r="L329">
        <v>0.637315475634188</v>
      </c>
      <c r="M329">
        <v>34.28</v>
      </c>
      <c r="N329">
        <v>17.86</v>
      </c>
    </row>
    <row r="330" spans="1:14" x14ac:dyDescent="0.25">
      <c r="A330" s="1" t="s">
        <v>342</v>
      </c>
      <c r="B330" t="str">
        <f>HYPERLINK("https://www.suredividend.com/sure-analysis-research-database/","Coursera Inc")</f>
        <v>Coursera Inc</v>
      </c>
      <c r="C330" t="s">
        <v>1797</v>
      </c>
      <c r="D330">
        <v>19.600000000000001</v>
      </c>
      <c r="E330">
        <v>0</v>
      </c>
      <c r="F330" t="s">
        <v>1797</v>
      </c>
      <c r="G330" t="s">
        <v>1797</v>
      </c>
      <c r="H330">
        <v>0</v>
      </c>
      <c r="I330">
        <v>2989.9342139999999</v>
      </c>
      <c r="J330" t="s">
        <v>1797</v>
      </c>
      <c r="K330">
        <v>0</v>
      </c>
      <c r="L330">
        <v>1.607574449359825</v>
      </c>
      <c r="M330">
        <v>21.26</v>
      </c>
      <c r="N330">
        <v>9.91</v>
      </c>
    </row>
    <row r="331" spans="1:14" x14ac:dyDescent="0.25">
      <c r="A331" s="1" t="s">
        <v>343</v>
      </c>
      <c r="B331" t="str">
        <f>HYPERLINK("https://www.suredividend.com/sure-analysis-research-database/","Callon Petroleum Co.")</f>
        <v>Callon Petroleum Co.</v>
      </c>
      <c r="C331" t="s">
        <v>1807</v>
      </c>
      <c r="D331">
        <v>33.25</v>
      </c>
      <c r="E331">
        <v>0</v>
      </c>
      <c r="F331" t="s">
        <v>1797</v>
      </c>
      <c r="G331" t="s">
        <v>1797</v>
      </c>
      <c r="H331">
        <v>0</v>
      </c>
      <c r="I331">
        <v>2253.480446</v>
      </c>
      <c r="J331">
        <v>4.4650519147283596</v>
      </c>
      <c r="K331">
        <v>0</v>
      </c>
      <c r="L331">
        <v>1.20058002503346</v>
      </c>
      <c r="M331">
        <v>44.49</v>
      </c>
      <c r="N331">
        <v>28.62</v>
      </c>
    </row>
    <row r="332" spans="1:14" x14ac:dyDescent="0.25">
      <c r="A332" s="1" t="s">
        <v>344</v>
      </c>
      <c r="B332" t="str">
        <f>HYPERLINK("https://www.suredividend.com/sure-analysis-research-database/","Central Pacific Financial Corp.")</f>
        <v>Central Pacific Financial Corp.</v>
      </c>
      <c r="C332" t="s">
        <v>1800</v>
      </c>
      <c r="D332">
        <v>19.100000000000001</v>
      </c>
      <c r="E332">
        <v>5.2619728647545001E-2</v>
      </c>
      <c r="F332">
        <v>0</v>
      </c>
      <c r="G332">
        <v>4.3640227150435917E-2</v>
      </c>
      <c r="H332">
        <v>1.005036817168115</v>
      </c>
      <c r="I332">
        <v>516.52452800000003</v>
      </c>
      <c r="J332">
        <v>8.0727139269192296</v>
      </c>
      <c r="K332">
        <v>0.42586305812208258</v>
      </c>
      <c r="L332">
        <v>1.265409021130087</v>
      </c>
      <c r="M332">
        <v>22.81</v>
      </c>
      <c r="N332">
        <v>12.42</v>
      </c>
    </row>
    <row r="333" spans="1:14" x14ac:dyDescent="0.25">
      <c r="A333" s="1" t="s">
        <v>345</v>
      </c>
      <c r="B333" t="str">
        <f>HYPERLINK("https://www.suredividend.com/sure-analysis-CPK/","Chesapeake Utilities Corp")</f>
        <v>Chesapeake Utilities Corp</v>
      </c>
      <c r="C333" t="s">
        <v>1805</v>
      </c>
      <c r="D333">
        <v>103.29</v>
      </c>
      <c r="E333">
        <v>2.284829121889825E-2</v>
      </c>
      <c r="F333">
        <v>0.1028037383177569</v>
      </c>
      <c r="G333">
        <v>9.7817267562252397E-2</v>
      </c>
      <c r="H333">
        <v>2.2871131899905199</v>
      </c>
      <c r="I333">
        <v>1838.2253780000001</v>
      </c>
      <c r="J333">
        <v>20.880857144853131</v>
      </c>
      <c r="K333">
        <v>0.46391748275669781</v>
      </c>
      <c r="L333">
        <v>0.61247880427109502</v>
      </c>
      <c r="M333">
        <v>130.86000000000001</v>
      </c>
      <c r="N333">
        <v>83.33</v>
      </c>
    </row>
    <row r="334" spans="1:14" x14ac:dyDescent="0.25">
      <c r="A334" s="1" t="s">
        <v>346</v>
      </c>
      <c r="B334" t="str">
        <f>HYPERLINK("https://www.suredividend.com/sure-analysis-research-database/","Catalyst Pharmaceuticals Inc")</f>
        <v>Catalyst Pharmaceuticals Inc</v>
      </c>
      <c r="C334" t="s">
        <v>1802</v>
      </c>
      <c r="D334">
        <v>14.49</v>
      </c>
      <c r="E334">
        <v>0</v>
      </c>
      <c r="F334" t="s">
        <v>1797</v>
      </c>
      <c r="G334" t="s">
        <v>1797</v>
      </c>
      <c r="H334">
        <v>0</v>
      </c>
      <c r="I334">
        <v>1703.5141839999999</v>
      </c>
      <c r="J334">
        <v>27.459648013927168</v>
      </c>
      <c r="K334">
        <v>0</v>
      </c>
      <c r="L334">
        <v>0.89035695900053102</v>
      </c>
      <c r="M334">
        <v>21.53</v>
      </c>
      <c r="N334">
        <v>11.09</v>
      </c>
    </row>
    <row r="335" spans="1:14" x14ac:dyDescent="0.25">
      <c r="A335" s="1" t="s">
        <v>347</v>
      </c>
      <c r="B335" t="str">
        <f>HYPERLINK("https://www.suredividend.com/sure-analysis-research-database/","Computer Programs &amp; Systems Inc")</f>
        <v>Computer Programs &amp; Systems Inc</v>
      </c>
      <c r="C335" t="s">
        <v>1802</v>
      </c>
      <c r="D335">
        <v>9.3699999999999992</v>
      </c>
      <c r="E335">
        <v>0</v>
      </c>
      <c r="F335" t="s">
        <v>1797</v>
      </c>
      <c r="G335" t="s">
        <v>1797</v>
      </c>
      <c r="H335">
        <v>0</v>
      </c>
      <c r="I335">
        <v>136.32203100000001</v>
      </c>
      <c r="J335" t="s">
        <v>1797</v>
      </c>
      <c r="K335">
        <v>0</v>
      </c>
      <c r="L335">
        <v>0.83322292822478805</v>
      </c>
      <c r="M335">
        <v>31.62</v>
      </c>
      <c r="N335">
        <v>9.23</v>
      </c>
    </row>
    <row r="336" spans="1:14" x14ac:dyDescent="0.25">
      <c r="A336" s="1" t="s">
        <v>348</v>
      </c>
      <c r="B336" t="str">
        <f>HYPERLINK("https://www.suredividend.com/sure-analysis-research-database/","Consumer Portfolio Service, Inc.")</f>
        <v>Consumer Portfolio Service, Inc.</v>
      </c>
      <c r="C336" t="s">
        <v>1800</v>
      </c>
      <c r="D336">
        <v>8.49</v>
      </c>
      <c r="E336">
        <v>0</v>
      </c>
      <c r="F336" t="s">
        <v>1797</v>
      </c>
      <c r="G336" t="s">
        <v>1797</v>
      </c>
      <c r="H336">
        <v>0</v>
      </c>
      <c r="I336">
        <v>179.311092</v>
      </c>
      <c r="J336">
        <v>0</v>
      </c>
      <c r="K336" t="s">
        <v>1797</v>
      </c>
      <c r="L336">
        <v>1.4498113592989159</v>
      </c>
      <c r="M336">
        <v>13.75</v>
      </c>
      <c r="N336">
        <v>7.82</v>
      </c>
    </row>
    <row r="337" spans="1:14" x14ac:dyDescent="0.25">
      <c r="A337" s="1" t="s">
        <v>349</v>
      </c>
      <c r="B337" t="str">
        <f>HYPERLINK("https://www.suredividend.com/sure-analysis-research-database/","Cepton Inc")</f>
        <v>Cepton Inc</v>
      </c>
      <c r="C337" t="s">
        <v>1797</v>
      </c>
      <c r="D337">
        <v>3.04</v>
      </c>
      <c r="E337">
        <v>0</v>
      </c>
      <c r="F337" t="s">
        <v>1797</v>
      </c>
      <c r="G337" t="s">
        <v>1797</v>
      </c>
      <c r="H337">
        <v>0</v>
      </c>
      <c r="I337">
        <v>48.174681999999997</v>
      </c>
      <c r="J337" t="s">
        <v>1797</v>
      </c>
      <c r="K337">
        <v>0</v>
      </c>
      <c r="L337">
        <v>1.8682881889846421</v>
      </c>
      <c r="M337">
        <v>14.4</v>
      </c>
      <c r="N337">
        <v>2.38</v>
      </c>
    </row>
    <row r="338" spans="1:14" x14ac:dyDescent="0.25">
      <c r="A338" s="1" t="s">
        <v>350</v>
      </c>
      <c r="B338" t="str">
        <f>HYPERLINK("https://www.suredividend.com/sure-analysis-research-database/","CRA International Inc.")</f>
        <v>CRA International Inc.</v>
      </c>
      <c r="C338" t="s">
        <v>1798</v>
      </c>
      <c r="D338">
        <v>104.4</v>
      </c>
      <c r="E338">
        <v>1.4208004430194E-2</v>
      </c>
      <c r="F338">
        <v>0.16666666666666671</v>
      </c>
      <c r="G338">
        <v>0.15996225865400129</v>
      </c>
      <c r="H338">
        <v>1.4833156625122821</v>
      </c>
      <c r="I338">
        <v>730.97810600000003</v>
      </c>
      <c r="J338">
        <v>20.550988400011249</v>
      </c>
      <c r="K338">
        <v>0.29905557711941172</v>
      </c>
      <c r="L338">
        <v>0.54718166445210403</v>
      </c>
      <c r="M338">
        <v>124.8</v>
      </c>
      <c r="N338">
        <v>80.59</v>
      </c>
    </row>
    <row r="339" spans="1:14" x14ac:dyDescent="0.25">
      <c r="A339" s="1" t="s">
        <v>351</v>
      </c>
      <c r="B339" t="str">
        <f>HYPERLINK("https://www.suredividend.com/sure-analysis-research-database/","Caribou Biosciences Inc")</f>
        <v>Caribou Biosciences Inc</v>
      </c>
      <c r="C339" t="s">
        <v>1797</v>
      </c>
      <c r="D339">
        <v>5.4349999999999996</v>
      </c>
      <c r="E339">
        <v>0</v>
      </c>
      <c r="F339" t="s">
        <v>1797</v>
      </c>
      <c r="G339" t="s">
        <v>1797</v>
      </c>
      <c r="H339">
        <v>0</v>
      </c>
      <c r="I339">
        <v>480.62322399999999</v>
      </c>
      <c r="J339" t="s">
        <v>1797</v>
      </c>
      <c r="K339">
        <v>0</v>
      </c>
      <c r="L339">
        <v>2.0378226728232991</v>
      </c>
      <c r="M339">
        <v>8.59</v>
      </c>
      <c r="N339">
        <v>3.44</v>
      </c>
    </row>
    <row r="340" spans="1:14" x14ac:dyDescent="0.25">
      <c r="A340" s="1" t="s">
        <v>352</v>
      </c>
      <c r="B340" t="str">
        <f>HYPERLINK("https://www.suredividend.com/sure-analysis-research-database/","California Resources Corporation")</f>
        <v>California Resources Corporation</v>
      </c>
      <c r="C340" t="s">
        <v>1807</v>
      </c>
      <c r="D340">
        <v>51.68</v>
      </c>
      <c r="E340">
        <v>2.2204097147495001E-2</v>
      </c>
      <c r="F340" t="s">
        <v>1797</v>
      </c>
      <c r="G340" t="s">
        <v>1797</v>
      </c>
      <c r="H340">
        <v>1.1475077405825671</v>
      </c>
      <c r="I340">
        <v>3546.2739000000001</v>
      </c>
      <c r="J340">
        <v>7.7260869274074073</v>
      </c>
      <c r="K340">
        <v>0.1818554263997729</v>
      </c>
      <c r="L340">
        <v>0.714851812503002</v>
      </c>
      <c r="M340">
        <v>58.09</v>
      </c>
      <c r="N340">
        <v>33.4</v>
      </c>
    </row>
    <row r="341" spans="1:14" x14ac:dyDescent="0.25">
      <c r="A341" s="1" t="s">
        <v>353</v>
      </c>
      <c r="B341" t="str">
        <f>HYPERLINK("https://www.suredividend.com/sure-analysis-research-database/","Credo Technology Group Holding Ltd")</f>
        <v>Credo Technology Group Holding Ltd</v>
      </c>
      <c r="C341" t="s">
        <v>1797</v>
      </c>
      <c r="D341">
        <v>18.899999999999999</v>
      </c>
      <c r="E341">
        <v>0</v>
      </c>
      <c r="F341" t="s">
        <v>1797</v>
      </c>
      <c r="G341" t="s">
        <v>1797</v>
      </c>
      <c r="H341">
        <v>0</v>
      </c>
      <c r="I341">
        <v>2847.4616390000001</v>
      </c>
      <c r="J341" t="s">
        <v>1797</v>
      </c>
      <c r="K341">
        <v>0</v>
      </c>
      <c r="L341">
        <v>1.9050546039317711</v>
      </c>
      <c r="M341">
        <v>20.77</v>
      </c>
      <c r="N341">
        <v>7.2</v>
      </c>
    </row>
    <row r="342" spans="1:14" x14ac:dyDescent="0.25">
      <c r="A342" s="1" t="s">
        <v>354</v>
      </c>
      <c r="B342" t="str">
        <f>HYPERLINK("https://www.suredividend.com/sure-analysis-research-database/","Charge Enterprises Inc")</f>
        <v>Charge Enterprises Inc</v>
      </c>
      <c r="C342" t="s">
        <v>1805</v>
      </c>
      <c r="D342">
        <v>0.22700000000000001</v>
      </c>
      <c r="E342">
        <v>0</v>
      </c>
      <c r="F342" t="s">
        <v>1797</v>
      </c>
      <c r="G342" t="s">
        <v>1797</v>
      </c>
      <c r="H342">
        <v>0</v>
      </c>
      <c r="I342">
        <v>48.814050000000002</v>
      </c>
      <c r="J342" t="s">
        <v>1797</v>
      </c>
      <c r="K342">
        <v>0</v>
      </c>
      <c r="L342">
        <v>1.517986355643443</v>
      </c>
      <c r="M342">
        <v>1.6</v>
      </c>
      <c r="N342">
        <v>0.08</v>
      </c>
    </row>
    <row r="343" spans="1:14" x14ac:dyDescent="0.25">
      <c r="A343" s="1" t="s">
        <v>355</v>
      </c>
      <c r="B343" t="str">
        <f>HYPERLINK("https://www.suredividend.com/sure-analysis-research-database/","Crescent Energy Co.")</f>
        <v>Crescent Energy Co.</v>
      </c>
      <c r="C343" t="s">
        <v>1797</v>
      </c>
      <c r="D343">
        <v>11.87</v>
      </c>
      <c r="E343">
        <v>4.3894894510644003E-2</v>
      </c>
      <c r="F343" t="s">
        <v>1797</v>
      </c>
      <c r="G343" t="s">
        <v>1797</v>
      </c>
      <c r="H343">
        <v>0.52103239784134603</v>
      </c>
      <c r="I343">
        <v>1051.786456</v>
      </c>
      <c r="J343">
        <v>50.409128013419597</v>
      </c>
      <c r="K343">
        <v>1.4089572683649161</v>
      </c>
      <c r="L343">
        <v>1.0141545471639759</v>
      </c>
      <c r="M343">
        <v>14.07</v>
      </c>
      <c r="N343">
        <v>8.99</v>
      </c>
    </row>
    <row r="344" spans="1:14" x14ac:dyDescent="0.25">
      <c r="A344" s="1" t="s">
        <v>356</v>
      </c>
      <c r="B344" t="str">
        <f>HYPERLINK("https://www.suredividend.com/sure-analysis-research-database/","Comstock Resources, Inc.")</f>
        <v>Comstock Resources, Inc.</v>
      </c>
      <c r="C344" t="s">
        <v>1807</v>
      </c>
      <c r="D344">
        <v>8.91</v>
      </c>
      <c r="E344">
        <v>5.5121823946299997E-2</v>
      </c>
      <c r="F344" t="s">
        <v>1797</v>
      </c>
      <c r="G344" t="s">
        <v>1797</v>
      </c>
      <c r="H344">
        <v>0.49113545136153303</v>
      </c>
      <c r="I344">
        <v>2480.8065150000002</v>
      </c>
      <c r="J344">
        <v>3.9986501131185621</v>
      </c>
      <c r="K344">
        <v>0.22843509365652701</v>
      </c>
      <c r="L344">
        <v>1.376754215460311</v>
      </c>
      <c r="M344">
        <v>13.22</v>
      </c>
      <c r="N344">
        <v>8.2899999999999991</v>
      </c>
    </row>
    <row r="345" spans="1:14" x14ac:dyDescent="0.25">
      <c r="A345" s="1" t="s">
        <v>357</v>
      </c>
      <c r="B345" t="str">
        <f>HYPERLINK("https://www.suredividend.com/sure-analysis-research-database/","Americas Car Mart, Inc.")</f>
        <v>Americas Car Mart, Inc.</v>
      </c>
      <c r="C345" t="s">
        <v>1801</v>
      </c>
      <c r="D345">
        <v>60.62</v>
      </c>
      <c r="E345">
        <v>0</v>
      </c>
      <c r="F345" t="s">
        <v>1797</v>
      </c>
      <c r="G345" t="s">
        <v>1797</v>
      </c>
      <c r="H345">
        <v>0</v>
      </c>
      <c r="I345">
        <v>387.53384</v>
      </c>
      <c r="J345" t="s">
        <v>1797</v>
      </c>
      <c r="K345">
        <v>0</v>
      </c>
      <c r="L345">
        <v>1.7999850568393589</v>
      </c>
      <c r="M345">
        <v>127.96</v>
      </c>
      <c r="N345">
        <v>58.12</v>
      </c>
    </row>
    <row r="346" spans="1:14" x14ac:dyDescent="0.25">
      <c r="A346" s="1" t="s">
        <v>358</v>
      </c>
      <c r="B346" t="str">
        <f>HYPERLINK("https://www.suredividend.com/sure-analysis-research-database/","Cerence Inc")</f>
        <v>Cerence Inc</v>
      </c>
      <c r="C346" t="s">
        <v>1803</v>
      </c>
      <c r="D346">
        <v>18.989999999999998</v>
      </c>
      <c r="E346">
        <v>0</v>
      </c>
      <c r="F346" t="s">
        <v>1797</v>
      </c>
      <c r="G346" t="s">
        <v>1797</v>
      </c>
      <c r="H346">
        <v>0</v>
      </c>
      <c r="I346">
        <v>783.09991600000001</v>
      </c>
      <c r="J346" t="s">
        <v>1797</v>
      </c>
      <c r="K346">
        <v>0</v>
      </c>
      <c r="L346">
        <v>1.826409566033496</v>
      </c>
      <c r="M346">
        <v>36.79</v>
      </c>
      <c r="N346">
        <v>14.47</v>
      </c>
    </row>
    <row r="347" spans="1:14" x14ac:dyDescent="0.25">
      <c r="A347" s="1" t="s">
        <v>359</v>
      </c>
      <c r="B347" t="str">
        <f>HYPERLINK("https://www.suredividend.com/sure-analysis-research-database/","Crinetics Pharmaceuticals Inc")</f>
        <v>Crinetics Pharmaceuticals Inc</v>
      </c>
      <c r="C347" t="s">
        <v>1802</v>
      </c>
      <c r="D347">
        <v>37.19</v>
      </c>
      <c r="E347">
        <v>0</v>
      </c>
      <c r="F347" t="s">
        <v>1797</v>
      </c>
      <c r="G347" t="s">
        <v>1797</v>
      </c>
      <c r="H347">
        <v>0</v>
      </c>
      <c r="I347">
        <v>2484.2919999999999</v>
      </c>
      <c r="J347" t="s">
        <v>1797</v>
      </c>
      <c r="K347">
        <v>0</v>
      </c>
      <c r="L347">
        <v>1.037767134208738</v>
      </c>
      <c r="M347">
        <v>38.979999999999997</v>
      </c>
      <c r="N347">
        <v>15.23</v>
      </c>
    </row>
    <row r="348" spans="1:14" x14ac:dyDescent="0.25">
      <c r="A348" s="1" t="s">
        <v>360</v>
      </c>
      <c r="B348" t="str">
        <f>HYPERLINK("https://www.suredividend.com/sure-analysis-research-database/","Crocs Inc")</f>
        <v>Crocs Inc</v>
      </c>
      <c r="C348" t="s">
        <v>1801</v>
      </c>
      <c r="D348">
        <v>103.39</v>
      </c>
      <c r="E348">
        <v>0</v>
      </c>
      <c r="F348" t="s">
        <v>1797</v>
      </c>
      <c r="G348" t="s">
        <v>1797</v>
      </c>
      <c r="H348">
        <v>0</v>
      </c>
      <c r="I348">
        <v>6265.4340000000002</v>
      </c>
      <c r="J348">
        <v>9.2586007403412083</v>
      </c>
      <c r="K348">
        <v>0</v>
      </c>
      <c r="L348">
        <v>1.612913189114447</v>
      </c>
      <c r="M348">
        <v>151.32</v>
      </c>
      <c r="N348">
        <v>74</v>
      </c>
    </row>
    <row r="349" spans="1:14" x14ac:dyDescent="0.25">
      <c r="A349" s="1" t="s">
        <v>361</v>
      </c>
      <c r="B349" t="str">
        <f>HYPERLINK("https://www.suredividend.com/sure-analysis-research-database/","Carpenter Technology Corp.")</f>
        <v>Carpenter Technology Corp.</v>
      </c>
      <c r="C349" t="s">
        <v>1798</v>
      </c>
      <c r="D349">
        <v>67.569999999999993</v>
      </c>
      <c r="E349">
        <v>1.1778968543102E-2</v>
      </c>
      <c r="F349">
        <v>0</v>
      </c>
      <c r="G349">
        <v>0</v>
      </c>
      <c r="H349">
        <v>0.79590490445740403</v>
      </c>
      <c r="I349">
        <v>3331.6336510000001</v>
      </c>
      <c r="J349">
        <v>31.195071635861421</v>
      </c>
      <c r="K349">
        <v>0.36847449280435368</v>
      </c>
      <c r="L349">
        <v>1.5723061074724729</v>
      </c>
      <c r="M349">
        <v>74.06</v>
      </c>
      <c r="N349">
        <v>37.840000000000003</v>
      </c>
    </row>
    <row r="350" spans="1:14" x14ac:dyDescent="0.25">
      <c r="A350" s="1" t="s">
        <v>362</v>
      </c>
      <c r="B350" t="str">
        <f>HYPERLINK("https://www.suredividend.com/sure-analysis-research-database/","Corsair Gaming Inc")</f>
        <v>Corsair Gaming Inc</v>
      </c>
      <c r="C350" t="s">
        <v>1797</v>
      </c>
      <c r="D350">
        <v>13.56</v>
      </c>
      <c r="E350">
        <v>0</v>
      </c>
      <c r="F350" t="s">
        <v>1797</v>
      </c>
      <c r="G350" t="s">
        <v>1797</v>
      </c>
      <c r="H350">
        <v>0</v>
      </c>
      <c r="I350">
        <v>1396.389396</v>
      </c>
      <c r="J350">
        <v>147.5007283870286</v>
      </c>
      <c r="K350">
        <v>0</v>
      </c>
      <c r="L350">
        <v>1.4486436022651641</v>
      </c>
      <c r="M350">
        <v>20.72</v>
      </c>
      <c r="N350">
        <v>11.45</v>
      </c>
    </row>
    <row r="351" spans="1:14" x14ac:dyDescent="0.25">
      <c r="A351" s="1" t="s">
        <v>363</v>
      </c>
      <c r="B351" t="str">
        <f>HYPERLINK("https://www.suredividend.com/sure-analysis-research-database/","Corvel Corp.")</f>
        <v>Corvel Corp.</v>
      </c>
      <c r="C351" t="s">
        <v>1800</v>
      </c>
      <c r="D351">
        <v>232.51</v>
      </c>
      <c r="E351">
        <v>0</v>
      </c>
      <c r="F351" t="s">
        <v>1797</v>
      </c>
      <c r="G351" t="s">
        <v>1797</v>
      </c>
      <c r="H351">
        <v>0</v>
      </c>
      <c r="I351">
        <v>3979.11499</v>
      </c>
      <c r="J351">
        <v>53.252967570963982</v>
      </c>
      <c r="K351">
        <v>0</v>
      </c>
      <c r="L351">
        <v>0.64818378592291004</v>
      </c>
      <c r="M351">
        <v>255.6</v>
      </c>
      <c r="N351">
        <v>155.1</v>
      </c>
    </row>
    <row r="352" spans="1:14" x14ac:dyDescent="0.25">
      <c r="A352" s="1" t="s">
        <v>364</v>
      </c>
      <c r="B352" t="str">
        <f>HYPERLINK("https://www.suredividend.com/sure-analysis-research-database/","CSG Systems International Inc.")</f>
        <v>CSG Systems International Inc.</v>
      </c>
      <c r="C352" t="s">
        <v>1803</v>
      </c>
      <c r="D352">
        <v>52.54</v>
      </c>
      <c r="E352">
        <v>2.0977940956206999E-2</v>
      </c>
      <c r="F352">
        <v>5.6603773584905648E-2</v>
      </c>
      <c r="G352">
        <v>4.7045617133854252E-2</v>
      </c>
      <c r="H352">
        <v>1.1021810178391549</v>
      </c>
      <c r="I352">
        <v>1558.9198570000001</v>
      </c>
      <c r="J352">
        <v>21.14506418040013</v>
      </c>
      <c r="K352">
        <v>0.45733652192496049</v>
      </c>
      <c r="L352">
        <v>0.83722701070732508</v>
      </c>
      <c r="M352">
        <v>67.900000000000006</v>
      </c>
      <c r="N352">
        <v>45.53</v>
      </c>
    </row>
    <row r="353" spans="1:14" x14ac:dyDescent="0.25">
      <c r="A353" s="1" t="s">
        <v>365</v>
      </c>
      <c r="B353" t="str">
        <f>HYPERLINK("https://www.suredividend.com/sure-analysis-research-database/","Centerspace")</f>
        <v>Centerspace</v>
      </c>
      <c r="C353" t="s">
        <v>1797</v>
      </c>
      <c r="D353">
        <v>55.98</v>
      </c>
      <c r="E353">
        <v>5.1210453171546003E-2</v>
      </c>
      <c r="F353">
        <v>0</v>
      </c>
      <c r="G353">
        <v>8.4281584386185493E-3</v>
      </c>
      <c r="H353">
        <v>2.866761168543154</v>
      </c>
      <c r="I353">
        <v>842.64169300000003</v>
      </c>
      <c r="J353">
        <v>20.528203396511401</v>
      </c>
      <c r="K353">
        <v>1.160632052041763</v>
      </c>
      <c r="L353">
        <v>1.1131898899818999</v>
      </c>
      <c r="M353">
        <v>68.41</v>
      </c>
      <c r="N353">
        <v>46.16</v>
      </c>
    </row>
    <row r="354" spans="1:14" x14ac:dyDescent="0.25">
      <c r="A354" s="1" t="s">
        <v>366</v>
      </c>
      <c r="B354" t="str">
        <f>HYPERLINK("https://www.suredividend.com/sure-analysis-research-database/","Caesarstone Ltd")</f>
        <v>Caesarstone Ltd</v>
      </c>
      <c r="C354" t="s">
        <v>1798</v>
      </c>
      <c r="D354">
        <v>4.13</v>
      </c>
      <c r="E354">
        <v>0</v>
      </c>
      <c r="F354" t="s">
        <v>1797</v>
      </c>
      <c r="G354" t="s">
        <v>1797</v>
      </c>
      <c r="H354">
        <v>0</v>
      </c>
      <c r="I354">
        <v>142.51516100000001</v>
      </c>
      <c r="J354" t="s">
        <v>1797</v>
      </c>
      <c r="K354">
        <v>0</v>
      </c>
      <c r="L354">
        <v>0.78456285832976902</v>
      </c>
      <c r="M354">
        <v>6.55</v>
      </c>
      <c r="N354">
        <v>3.5</v>
      </c>
    </row>
    <row r="355" spans="1:14" x14ac:dyDescent="0.25">
      <c r="A355" s="1" t="s">
        <v>367</v>
      </c>
      <c r="B355" t="str">
        <f>HYPERLINK("https://www.suredividend.com/sure-analysis-research-database/","Castle Biosciences Inc")</f>
        <v>Castle Biosciences Inc</v>
      </c>
      <c r="C355" t="s">
        <v>1802</v>
      </c>
      <c r="D355">
        <v>20.03</v>
      </c>
      <c r="E355">
        <v>0</v>
      </c>
      <c r="F355" t="s">
        <v>1797</v>
      </c>
      <c r="G355" t="s">
        <v>1797</v>
      </c>
      <c r="H355">
        <v>0</v>
      </c>
      <c r="I355">
        <v>539.01827600000001</v>
      </c>
      <c r="J355" t="s">
        <v>1797</v>
      </c>
      <c r="K355">
        <v>0</v>
      </c>
      <c r="L355">
        <v>1.75641543893045</v>
      </c>
      <c r="M355">
        <v>29.59</v>
      </c>
      <c r="N355">
        <v>9.26</v>
      </c>
    </row>
    <row r="356" spans="1:14" x14ac:dyDescent="0.25">
      <c r="A356" s="1" t="s">
        <v>368</v>
      </c>
      <c r="B356" t="str">
        <f>HYPERLINK("https://www.suredividend.com/sure-analysis-research-database/","Constellium SE")</f>
        <v>Constellium SE</v>
      </c>
      <c r="C356" t="s">
        <v>1808</v>
      </c>
      <c r="D356">
        <v>18.239999999999998</v>
      </c>
      <c r="E356">
        <v>0</v>
      </c>
      <c r="F356" t="s">
        <v>1797</v>
      </c>
      <c r="G356" t="s">
        <v>1797</v>
      </c>
      <c r="H356">
        <v>0</v>
      </c>
      <c r="I356">
        <v>2632.0610379999998</v>
      </c>
      <c r="J356">
        <v>0</v>
      </c>
      <c r="K356" t="s">
        <v>1797</v>
      </c>
      <c r="L356">
        <v>1.604959544586007</v>
      </c>
      <c r="M356">
        <v>20.68</v>
      </c>
      <c r="N356">
        <v>13.34</v>
      </c>
    </row>
    <row r="357" spans="1:14" x14ac:dyDescent="0.25">
      <c r="A357" s="1" t="s">
        <v>369</v>
      </c>
      <c r="B357" t="str">
        <f>HYPERLINK("https://www.suredividend.com/sure-analysis-research-database/","CapStar Financial Holdings Inc")</f>
        <v>CapStar Financial Holdings Inc</v>
      </c>
      <c r="C357" t="s">
        <v>1800</v>
      </c>
      <c r="D357">
        <v>18.12</v>
      </c>
      <c r="E357">
        <v>2.3342314962497002E-2</v>
      </c>
      <c r="F357" t="s">
        <v>1797</v>
      </c>
      <c r="G357" t="s">
        <v>1797</v>
      </c>
      <c r="H357">
        <v>0.42296274712045911</v>
      </c>
      <c r="I357">
        <v>375.30087800000001</v>
      </c>
      <c r="J357">
        <v>11.20033658469619</v>
      </c>
      <c r="K357">
        <v>0.26940302364360452</v>
      </c>
      <c r="L357">
        <v>1.2287326611407321</v>
      </c>
      <c r="M357">
        <v>19.47</v>
      </c>
      <c r="N357">
        <v>10.78</v>
      </c>
    </row>
    <row r="358" spans="1:14" x14ac:dyDescent="0.25">
      <c r="A358" s="1" t="s">
        <v>370</v>
      </c>
      <c r="B358" t="str">
        <f>HYPERLINK("https://www.suredividend.com/sure-analysis-research-database/","Carriage Services, Inc.")</f>
        <v>Carriage Services, Inc.</v>
      </c>
      <c r="C358" t="s">
        <v>1801</v>
      </c>
      <c r="D358">
        <v>23.9</v>
      </c>
      <c r="E358">
        <v>1.8705911014852999E-2</v>
      </c>
      <c r="F358">
        <v>0</v>
      </c>
      <c r="G358">
        <v>8.4471771197698553E-2</v>
      </c>
      <c r="H358">
        <v>0.44707127325499202</v>
      </c>
      <c r="I358">
        <v>358.05687</v>
      </c>
      <c r="J358">
        <v>12.01573442397396</v>
      </c>
      <c r="K358">
        <v>0.23164314676424461</v>
      </c>
      <c r="L358">
        <v>1.2699019301312719</v>
      </c>
      <c r="M358">
        <v>35.53</v>
      </c>
      <c r="N358">
        <v>18.059999999999999</v>
      </c>
    </row>
    <row r="359" spans="1:14" x14ac:dyDescent="0.25">
      <c r="A359" s="1" t="s">
        <v>371</v>
      </c>
      <c r="B359" t="str">
        <f>HYPERLINK("https://www.suredividend.com/sure-analysis-research-database/","CSW Industrials Inc")</f>
        <v>CSW Industrials Inc</v>
      </c>
      <c r="C359" t="s">
        <v>1798</v>
      </c>
      <c r="D359">
        <v>213.93</v>
      </c>
      <c r="E359">
        <v>3.4494218906589999E-3</v>
      </c>
      <c r="F359" t="s">
        <v>1797</v>
      </c>
      <c r="G359" t="s">
        <v>1797</v>
      </c>
      <c r="H359">
        <v>0.73793482506887809</v>
      </c>
      <c r="I359">
        <v>3326.7717339999999</v>
      </c>
      <c r="J359">
        <v>32.196538499811282</v>
      </c>
      <c r="K359">
        <v>0.11096764286750049</v>
      </c>
      <c r="L359">
        <v>1.0323473665132039</v>
      </c>
      <c r="M359">
        <v>215.18</v>
      </c>
      <c r="N359">
        <v>118.04</v>
      </c>
    </row>
    <row r="360" spans="1:14" x14ac:dyDescent="0.25">
      <c r="A360" s="1" t="s">
        <v>372</v>
      </c>
      <c r="B360" t="str">
        <f>HYPERLINK("https://www.suredividend.com/sure-analysis-CTBI/","Community Trust Bancorp, Inc.")</f>
        <v>Community Trust Bancorp, Inc.</v>
      </c>
      <c r="C360" t="s">
        <v>1800</v>
      </c>
      <c r="D360">
        <v>40.82</v>
      </c>
      <c r="E360">
        <v>4.5075943165115137E-2</v>
      </c>
      <c r="F360">
        <v>4.5454545454545407E-2</v>
      </c>
      <c r="G360">
        <v>5.0246072638682637E-2</v>
      </c>
      <c r="H360">
        <v>1.7398982091416659</v>
      </c>
      <c r="I360">
        <v>734.753469</v>
      </c>
      <c r="J360">
        <v>8.9836341370372175</v>
      </c>
      <c r="K360">
        <v>0.38072170878373429</v>
      </c>
      <c r="L360">
        <v>0.9991444501012261</v>
      </c>
      <c r="M360">
        <v>45.74</v>
      </c>
      <c r="N360">
        <v>30.46</v>
      </c>
    </row>
    <row r="361" spans="1:14" x14ac:dyDescent="0.25">
      <c r="A361" s="1" t="s">
        <v>373</v>
      </c>
      <c r="B361" t="str">
        <f>HYPERLINK("https://www.suredividend.com/sure-analysis-research-database/","CTI BioPharma Corp")</f>
        <v>CTI BioPharma Corp</v>
      </c>
      <c r="C361" t="s">
        <v>1802</v>
      </c>
      <c r="D361">
        <v>9.09</v>
      </c>
      <c r="E361">
        <v>0</v>
      </c>
      <c r="F361" t="s">
        <v>1797</v>
      </c>
      <c r="G361" t="s">
        <v>1797</v>
      </c>
      <c r="H361">
        <v>0</v>
      </c>
      <c r="I361">
        <v>0</v>
      </c>
      <c r="J361">
        <v>0</v>
      </c>
      <c r="K361">
        <v>0</v>
      </c>
    </row>
    <row r="362" spans="1:14" x14ac:dyDescent="0.25">
      <c r="A362" s="1" t="s">
        <v>374</v>
      </c>
      <c r="B362" t="str">
        <f>HYPERLINK("https://www.suredividend.com/sure-analysis-research-database/","Cytek BioSciences Inc")</f>
        <v>Cytek BioSciences Inc</v>
      </c>
      <c r="C362" t="s">
        <v>1797</v>
      </c>
      <c r="D362">
        <v>8.2100000000000009</v>
      </c>
      <c r="E362">
        <v>0</v>
      </c>
      <c r="F362" t="s">
        <v>1797</v>
      </c>
      <c r="G362" t="s">
        <v>1797</v>
      </c>
      <c r="H362">
        <v>0</v>
      </c>
      <c r="I362">
        <v>1112.8585539999999</v>
      </c>
      <c r="J362" t="s">
        <v>1797</v>
      </c>
      <c r="K362">
        <v>0</v>
      </c>
      <c r="L362">
        <v>1.4717791634903701</v>
      </c>
      <c r="M362">
        <v>13.77</v>
      </c>
      <c r="N362">
        <v>3.8</v>
      </c>
    </row>
    <row r="363" spans="1:14" x14ac:dyDescent="0.25">
      <c r="A363" s="1" t="s">
        <v>375</v>
      </c>
      <c r="B363" t="str">
        <f>HYPERLINK("https://www.suredividend.com/sure-analysis-research-database/","Cantaloupe Inc")</f>
        <v>Cantaloupe Inc</v>
      </c>
      <c r="C363" t="s">
        <v>1797</v>
      </c>
      <c r="D363">
        <v>6.9</v>
      </c>
      <c r="E363">
        <v>0</v>
      </c>
      <c r="F363" t="s">
        <v>1797</v>
      </c>
      <c r="G363" t="s">
        <v>1797</v>
      </c>
      <c r="H363">
        <v>0</v>
      </c>
      <c r="I363">
        <v>501.81878399999999</v>
      </c>
      <c r="J363">
        <v>0</v>
      </c>
      <c r="K363" t="s">
        <v>1797</v>
      </c>
      <c r="L363">
        <v>1.4340364015757441</v>
      </c>
      <c r="M363">
        <v>8.2899999999999991</v>
      </c>
      <c r="N363">
        <v>4.22</v>
      </c>
    </row>
    <row r="364" spans="1:14" x14ac:dyDescent="0.25">
      <c r="A364" s="1" t="s">
        <v>376</v>
      </c>
      <c r="B364" t="str">
        <f>HYPERLINK("https://www.suredividend.com/sure-analysis-CTO/","CTO Realty Growth Inc")</f>
        <v>CTO Realty Growth Inc</v>
      </c>
      <c r="C364" t="s">
        <v>1799</v>
      </c>
      <c r="D364">
        <v>17.03</v>
      </c>
      <c r="E364">
        <v>8.9254257193188483E-2</v>
      </c>
      <c r="F364">
        <v>0</v>
      </c>
      <c r="G364">
        <v>0.3060407249698005</v>
      </c>
      <c r="H364">
        <v>1.470079155597011</v>
      </c>
      <c r="I364">
        <v>386.35014100000001</v>
      </c>
      <c r="J364" t="s">
        <v>1797</v>
      </c>
      <c r="K364" t="s">
        <v>1797</v>
      </c>
      <c r="L364">
        <v>0.84566067850834903</v>
      </c>
      <c r="M364">
        <v>18.38</v>
      </c>
      <c r="N364">
        <v>14.68</v>
      </c>
    </row>
    <row r="365" spans="1:14" x14ac:dyDescent="0.25">
      <c r="A365" s="1" t="s">
        <v>377</v>
      </c>
      <c r="B365" t="str">
        <f>HYPERLINK("https://www.suredividend.com/sure-analysis-research-database/","Custom Truck One Source Inc")</f>
        <v>Custom Truck One Source Inc</v>
      </c>
      <c r="C365" t="s">
        <v>1797</v>
      </c>
      <c r="D365">
        <v>6.24</v>
      </c>
      <c r="E365">
        <v>0</v>
      </c>
      <c r="F365" t="s">
        <v>1797</v>
      </c>
      <c r="G365" t="s">
        <v>1797</v>
      </c>
      <c r="H365">
        <v>0</v>
      </c>
      <c r="I365">
        <v>1515.573365</v>
      </c>
      <c r="J365">
        <v>23.128990573046231</v>
      </c>
      <c r="K365">
        <v>0</v>
      </c>
      <c r="L365">
        <v>1.232872876434546</v>
      </c>
      <c r="M365">
        <v>7.64</v>
      </c>
      <c r="N365">
        <v>4.42</v>
      </c>
    </row>
    <row r="366" spans="1:14" x14ac:dyDescent="0.25">
      <c r="A366" s="1" t="s">
        <v>378</v>
      </c>
      <c r="B366" t="str">
        <f>HYPERLINK("https://www.suredividend.com/sure-analysis-CTRE/","CareTrust REIT Inc")</f>
        <v>CareTrust REIT Inc</v>
      </c>
      <c r="C366" t="s">
        <v>1799</v>
      </c>
      <c r="D366">
        <v>22.44</v>
      </c>
      <c r="E366">
        <v>4.9910873440285212E-2</v>
      </c>
      <c r="F366">
        <v>1.8181818181818299E-2</v>
      </c>
      <c r="G366">
        <v>4.4708438422444978E-2</v>
      </c>
      <c r="H366">
        <v>1.0981588580165409</v>
      </c>
      <c r="I366">
        <v>2672.8755689999998</v>
      </c>
      <c r="J366">
        <v>64.535711637250415</v>
      </c>
      <c r="K366">
        <v>2.649357920425913</v>
      </c>
      <c r="L366">
        <v>0.72440687591522102</v>
      </c>
      <c r="M366">
        <v>23.2</v>
      </c>
      <c r="N366">
        <v>16.899999999999999</v>
      </c>
    </row>
    <row r="367" spans="1:14" x14ac:dyDescent="0.25">
      <c r="A367" s="1" t="s">
        <v>379</v>
      </c>
      <c r="B367" t="str">
        <f>HYPERLINK("https://www.suredividend.com/sure-analysis-research-database/","Citi Trends Inc")</f>
        <v>Citi Trends Inc</v>
      </c>
      <c r="C367" t="s">
        <v>1801</v>
      </c>
      <c r="D367">
        <v>28.22</v>
      </c>
      <c r="E367">
        <v>0</v>
      </c>
      <c r="F367" t="s">
        <v>1797</v>
      </c>
      <c r="G367" t="s">
        <v>1797</v>
      </c>
      <c r="H367">
        <v>0</v>
      </c>
      <c r="I367">
        <v>241.12141600000001</v>
      </c>
      <c r="J367" t="s">
        <v>1797</v>
      </c>
      <c r="K367">
        <v>0</v>
      </c>
      <c r="L367">
        <v>1.4943201594850599</v>
      </c>
      <c r="M367">
        <v>34.94</v>
      </c>
      <c r="N367">
        <v>14.21</v>
      </c>
    </row>
    <row r="368" spans="1:14" x14ac:dyDescent="0.25">
      <c r="A368" s="1" t="s">
        <v>380</v>
      </c>
      <c r="B368" t="str">
        <f>HYPERLINK("https://www.suredividend.com/sure-analysis-research-database/","CTS Corp.")</f>
        <v>CTS Corp.</v>
      </c>
      <c r="C368" t="s">
        <v>1803</v>
      </c>
      <c r="D368">
        <v>41.93</v>
      </c>
      <c r="E368">
        <v>3.8104757097020001E-3</v>
      </c>
      <c r="F368">
        <v>0</v>
      </c>
      <c r="G368">
        <v>0</v>
      </c>
      <c r="H368">
        <v>0.15977324650782801</v>
      </c>
      <c r="I368">
        <v>1306.4561980000001</v>
      </c>
      <c r="J368">
        <v>21.719247870395002</v>
      </c>
      <c r="K368">
        <v>8.4536109263401063E-2</v>
      </c>
      <c r="L368">
        <v>0.75046672278481807</v>
      </c>
      <c r="M368">
        <v>49.45</v>
      </c>
      <c r="N368">
        <v>35.47</v>
      </c>
    </row>
    <row r="369" spans="1:14" x14ac:dyDescent="0.25">
      <c r="A369" s="1" t="s">
        <v>381</v>
      </c>
      <c r="B369" t="str">
        <f>HYPERLINK("https://www.suredividend.com/sure-analysis-research-database/","Innovid Corp")</f>
        <v>Innovid Corp</v>
      </c>
      <c r="C369" t="s">
        <v>1797</v>
      </c>
      <c r="D369">
        <v>1.53</v>
      </c>
      <c r="E369">
        <v>0</v>
      </c>
      <c r="F369" t="s">
        <v>1797</v>
      </c>
      <c r="G369" t="s">
        <v>1797</v>
      </c>
      <c r="H369">
        <v>0</v>
      </c>
      <c r="I369">
        <v>215.06331599999999</v>
      </c>
      <c r="J369" t="s">
        <v>1797</v>
      </c>
      <c r="K369">
        <v>0</v>
      </c>
      <c r="L369">
        <v>1.1851406851927839</v>
      </c>
      <c r="M369">
        <v>2.73</v>
      </c>
      <c r="N369">
        <v>0.75</v>
      </c>
    </row>
    <row r="370" spans="1:14" x14ac:dyDescent="0.25">
      <c r="A370" s="1" t="s">
        <v>382</v>
      </c>
      <c r="B370" t="str">
        <f>HYPERLINK("https://www.suredividend.com/sure-analysis-research-database/","Customers Bancorp Inc")</f>
        <v>Customers Bancorp Inc</v>
      </c>
      <c r="C370" t="s">
        <v>1800</v>
      </c>
      <c r="D370">
        <v>51.57</v>
      </c>
      <c r="E370">
        <v>0</v>
      </c>
      <c r="F370" t="s">
        <v>1797</v>
      </c>
      <c r="G370" t="s">
        <v>1797</v>
      </c>
      <c r="H370">
        <v>0</v>
      </c>
      <c r="I370">
        <v>1611.5606949999999</v>
      </c>
      <c r="J370">
        <v>7.9446713551526269</v>
      </c>
      <c r="K370">
        <v>0</v>
      </c>
      <c r="L370">
        <v>2.4107435320999611</v>
      </c>
      <c r="M370">
        <v>60.09</v>
      </c>
      <c r="N370">
        <v>6.87</v>
      </c>
    </row>
    <row r="371" spans="1:14" x14ac:dyDescent="0.25">
      <c r="A371" s="1" t="s">
        <v>383</v>
      </c>
      <c r="B371" t="str">
        <f>HYPERLINK("https://www.suredividend.com/sure-analysis-research-database/","CURO Group Holdings Corp")</f>
        <v>CURO Group Holdings Corp</v>
      </c>
      <c r="C371" t="s">
        <v>1800</v>
      </c>
      <c r="D371">
        <v>0.75700000000000001</v>
      </c>
      <c r="E371">
        <v>0</v>
      </c>
      <c r="F371" t="s">
        <v>1797</v>
      </c>
      <c r="G371" t="s">
        <v>1797</v>
      </c>
      <c r="H371">
        <v>0</v>
      </c>
      <c r="I371">
        <v>31.264510000000001</v>
      </c>
      <c r="J371" t="s">
        <v>1797</v>
      </c>
      <c r="K371">
        <v>0</v>
      </c>
      <c r="L371">
        <v>2.7098643592032539</v>
      </c>
      <c r="M371">
        <v>4.96</v>
      </c>
      <c r="N371">
        <v>0.57699999999999996</v>
      </c>
    </row>
    <row r="372" spans="1:14" x14ac:dyDescent="0.25">
      <c r="A372" s="1" t="s">
        <v>384</v>
      </c>
      <c r="B372" t="str">
        <f>HYPERLINK("https://www.suredividend.com/sure-analysis-research-database/","Torrid Holdings Inc")</f>
        <v>Torrid Holdings Inc</v>
      </c>
      <c r="C372" t="s">
        <v>1797</v>
      </c>
      <c r="D372">
        <v>5.91</v>
      </c>
      <c r="E372">
        <v>0</v>
      </c>
      <c r="F372" t="s">
        <v>1797</v>
      </c>
      <c r="G372" t="s">
        <v>1797</v>
      </c>
      <c r="H372">
        <v>0</v>
      </c>
      <c r="I372">
        <v>615.24716999999998</v>
      </c>
      <c r="J372">
        <v>0</v>
      </c>
      <c r="K372" t="s">
        <v>1797</v>
      </c>
      <c r="L372">
        <v>1.290221127521852</v>
      </c>
      <c r="M372">
        <v>6.86</v>
      </c>
      <c r="N372">
        <v>1.21</v>
      </c>
    </row>
    <row r="373" spans="1:14" x14ac:dyDescent="0.25">
      <c r="A373" s="1" t="s">
        <v>385</v>
      </c>
      <c r="B373" t="str">
        <f>HYPERLINK("https://www.suredividend.com/sure-analysis-research-database/","Cutera Inc")</f>
        <v>Cutera Inc</v>
      </c>
      <c r="C373" t="s">
        <v>1802</v>
      </c>
      <c r="D373">
        <v>3.74</v>
      </c>
      <c r="E373">
        <v>0</v>
      </c>
      <c r="F373" t="s">
        <v>1797</v>
      </c>
      <c r="G373" t="s">
        <v>1797</v>
      </c>
      <c r="H373">
        <v>0</v>
      </c>
      <c r="I373">
        <v>74.590092999999996</v>
      </c>
      <c r="J373" t="s">
        <v>1797</v>
      </c>
      <c r="K373">
        <v>0</v>
      </c>
      <c r="L373">
        <v>2.9104661992619469</v>
      </c>
      <c r="M373">
        <v>37.340000000000003</v>
      </c>
      <c r="N373">
        <v>1.38</v>
      </c>
    </row>
    <row r="374" spans="1:14" x14ac:dyDescent="0.25">
      <c r="A374" s="1" t="s">
        <v>386</v>
      </c>
      <c r="B374" t="str">
        <f>HYPERLINK("https://www.suredividend.com/sure-analysis-research-database/","CVB Financial Corp.")</f>
        <v>CVB Financial Corp.</v>
      </c>
      <c r="C374" t="s">
        <v>1800</v>
      </c>
      <c r="D374">
        <v>19.079999999999998</v>
      </c>
      <c r="E374">
        <v>4.0737584361810013E-2</v>
      </c>
      <c r="F374">
        <v>0</v>
      </c>
      <c r="G374">
        <v>2.1295687600135119E-2</v>
      </c>
      <c r="H374">
        <v>0.77727310962334606</v>
      </c>
      <c r="I374">
        <v>2658.5670180000002</v>
      </c>
      <c r="J374">
        <v>11.195616269850291</v>
      </c>
      <c r="K374">
        <v>0.45190297071124769</v>
      </c>
      <c r="L374">
        <v>1.559121673713461</v>
      </c>
      <c r="M374">
        <v>24.08</v>
      </c>
      <c r="N374">
        <v>10.02</v>
      </c>
    </row>
    <row r="375" spans="1:14" x14ac:dyDescent="0.25">
      <c r="A375" s="1" t="s">
        <v>387</v>
      </c>
      <c r="B375" t="str">
        <f>HYPERLINK("https://www.suredividend.com/sure-analysis-research-database/","Cavco Industries Inc")</f>
        <v>Cavco Industries Inc</v>
      </c>
      <c r="C375" t="s">
        <v>1801</v>
      </c>
      <c r="D375">
        <v>316.05</v>
      </c>
      <c r="E375">
        <v>0</v>
      </c>
      <c r="F375" t="s">
        <v>1797</v>
      </c>
      <c r="G375" t="s">
        <v>1797</v>
      </c>
      <c r="H375">
        <v>0</v>
      </c>
      <c r="I375">
        <v>2631.2309759999998</v>
      </c>
      <c r="J375">
        <v>13.512062609894629</v>
      </c>
      <c r="K375">
        <v>0</v>
      </c>
      <c r="L375">
        <v>1.6437156670247659</v>
      </c>
      <c r="M375">
        <v>365.63</v>
      </c>
      <c r="N375">
        <v>233.84</v>
      </c>
    </row>
    <row r="376" spans="1:14" x14ac:dyDescent="0.25">
      <c r="A376" s="1" t="s">
        <v>388</v>
      </c>
      <c r="B376" t="str">
        <f>HYPERLINK("https://www.suredividend.com/sure-analysis-research-database/","Calavo Growers, Inc")</f>
        <v>Calavo Growers, Inc</v>
      </c>
      <c r="C376" t="s">
        <v>1804</v>
      </c>
      <c r="D376">
        <v>28.35</v>
      </c>
      <c r="E376">
        <v>1.0506707772624E-2</v>
      </c>
      <c r="F376" t="s">
        <v>1797</v>
      </c>
      <c r="G376" t="s">
        <v>1797</v>
      </c>
      <c r="H376">
        <v>0.29786516535389701</v>
      </c>
      <c r="I376">
        <v>503.52607899999998</v>
      </c>
      <c r="J376" t="s">
        <v>1797</v>
      </c>
      <c r="K376" t="s">
        <v>1797</v>
      </c>
      <c r="L376">
        <v>0.88875130732448204</v>
      </c>
      <c r="M376">
        <v>38.67</v>
      </c>
      <c r="N376">
        <v>21.59</v>
      </c>
    </row>
    <row r="377" spans="1:14" x14ac:dyDescent="0.25">
      <c r="A377" s="1" t="s">
        <v>389</v>
      </c>
      <c r="B377" t="str">
        <f>HYPERLINK("https://www.suredividend.com/sure-analysis-research-database/","CVR Energy Inc")</f>
        <v>CVR Energy Inc</v>
      </c>
      <c r="C377" t="s">
        <v>1807</v>
      </c>
      <c r="D377">
        <v>30.84</v>
      </c>
      <c r="E377">
        <v>6.1385659547127998E-2</v>
      </c>
      <c r="F377">
        <v>2</v>
      </c>
      <c r="G377">
        <v>0.13396657763302719</v>
      </c>
      <c r="H377">
        <v>1.8931337404334341</v>
      </c>
      <c r="I377">
        <v>3100.3636729999998</v>
      </c>
      <c r="J377">
        <v>3.929485010342205</v>
      </c>
      <c r="K377">
        <v>0.24116353381317629</v>
      </c>
      <c r="L377">
        <v>0.84728994674983005</v>
      </c>
      <c r="M377">
        <v>36.47</v>
      </c>
      <c r="N377">
        <v>20.94</v>
      </c>
    </row>
    <row r="378" spans="1:14" x14ac:dyDescent="0.25">
      <c r="A378" s="1" t="s">
        <v>390</v>
      </c>
      <c r="B378" t="str">
        <f>HYPERLINK("https://www.suredividend.com/sure-analysis-research-database/","Covenant Logistics Group Inc")</f>
        <v>Covenant Logistics Group Inc</v>
      </c>
      <c r="C378" t="s">
        <v>1797</v>
      </c>
      <c r="D378">
        <v>46.29</v>
      </c>
      <c r="E378">
        <v>9.43432930068E-3</v>
      </c>
      <c r="F378" t="s">
        <v>1797</v>
      </c>
      <c r="G378" t="s">
        <v>1797</v>
      </c>
      <c r="H378">
        <v>0.43671510332848501</v>
      </c>
      <c r="I378">
        <v>490.52286299999997</v>
      </c>
      <c r="J378">
        <v>9.0943668196228913</v>
      </c>
      <c r="K378">
        <v>0.1128462799298411</v>
      </c>
      <c r="L378">
        <v>0.89699252236489102</v>
      </c>
      <c r="M378">
        <v>57.02</v>
      </c>
      <c r="N378">
        <v>28.8</v>
      </c>
    </row>
    <row r="379" spans="1:14" x14ac:dyDescent="0.25">
      <c r="A379" s="1" t="s">
        <v>391</v>
      </c>
      <c r="B379" t="str">
        <f>HYPERLINK("https://www.suredividend.com/sure-analysis-research-database/","Commvault Systems Inc")</f>
        <v>Commvault Systems Inc</v>
      </c>
      <c r="C379" t="s">
        <v>1803</v>
      </c>
      <c r="D379">
        <v>78.28</v>
      </c>
      <c r="E379">
        <v>0</v>
      </c>
      <c r="F379" t="s">
        <v>1797</v>
      </c>
      <c r="G379" t="s">
        <v>1797</v>
      </c>
      <c r="H379">
        <v>0</v>
      </c>
      <c r="I379">
        <v>3428.0377600000002</v>
      </c>
      <c r="J379" t="s">
        <v>1797</v>
      </c>
      <c r="K379">
        <v>0</v>
      </c>
      <c r="L379">
        <v>0.89518996201095002</v>
      </c>
      <c r="M379">
        <v>81</v>
      </c>
      <c r="N379">
        <v>53.7</v>
      </c>
    </row>
    <row r="380" spans="1:14" x14ac:dyDescent="0.25">
      <c r="A380" s="1" t="s">
        <v>392</v>
      </c>
      <c r="B380" t="str">
        <f>HYPERLINK("https://www.suredividend.com/sure-analysis-research-database/","Cvent Holding Corp")</f>
        <v>Cvent Holding Corp</v>
      </c>
      <c r="C380" t="s">
        <v>1797</v>
      </c>
      <c r="D380">
        <v>8.52</v>
      </c>
      <c r="E380">
        <v>0</v>
      </c>
      <c r="F380" t="s">
        <v>1797</v>
      </c>
      <c r="G380" t="s">
        <v>1797</v>
      </c>
      <c r="H380">
        <v>0</v>
      </c>
      <c r="I380">
        <v>0</v>
      </c>
      <c r="J380">
        <v>0</v>
      </c>
      <c r="K380" t="s">
        <v>1797</v>
      </c>
    </row>
    <row r="381" spans="1:14" x14ac:dyDescent="0.25">
      <c r="A381" s="1" t="s">
        <v>393</v>
      </c>
      <c r="B381" t="str">
        <f>HYPERLINK("https://www.suredividend.com/sure-analysis-CWEN/","Clearway Energy Inc")</f>
        <v>Clearway Energy Inc</v>
      </c>
      <c r="C381" t="s">
        <v>1805</v>
      </c>
      <c r="D381">
        <v>25.84</v>
      </c>
      <c r="E381">
        <v>6.1532507739938083E-2</v>
      </c>
      <c r="F381">
        <v>7.9520697167756005E-2</v>
      </c>
      <c r="G381">
        <v>0.14662321394247241</v>
      </c>
      <c r="H381">
        <v>1.5075579999159481</v>
      </c>
      <c r="I381">
        <v>2961.432315</v>
      </c>
      <c r="J381">
        <v>54.841339169074082</v>
      </c>
      <c r="K381">
        <v>3.2666478871418159</v>
      </c>
      <c r="L381">
        <v>1.0995329232703941</v>
      </c>
      <c r="M381">
        <v>33.21</v>
      </c>
      <c r="N381">
        <v>18.3</v>
      </c>
    </row>
    <row r="382" spans="1:14" x14ac:dyDescent="0.25">
      <c r="A382" s="1" t="s">
        <v>394</v>
      </c>
      <c r="B382" t="str">
        <f>HYPERLINK("https://www.suredividend.com/sure-analysis-CWH/","Camping World Holdings Inc")</f>
        <v>Camping World Holdings Inc</v>
      </c>
      <c r="C382" t="s">
        <v>1801</v>
      </c>
      <c r="D382">
        <v>25.29</v>
      </c>
      <c r="E382">
        <v>1.9770660340055361E-2</v>
      </c>
      <c r="F382">
        <v>-0.8</v>
      </c>
      <c r="G382">
        <v>0.1129605904513471</v>
      </c>
      <c r="H382">
        <v>1.4723906133105911</v>
      </c>
      <c r="I382">
        <v>1132.490499</v>
      </c>
      <c r="J382">
        <v>77.498836604393347</v>
      </c>
      <c r="K382">
        <v>6.4805924881628121</v>
      </c>
      <c r="L382">
        <v>1.8437005021351209</v>
      </c>
      <c r="M382">
        <v>32.53</v>
      </c>
      <c r="N382">
        <v>16.100000000000001</v>
      </c>
    </row>
    <row r="383" spans="1:14" x14ac:dyDescent="0.25">
      <c r="A383" s="1" t="s">
        <v>395</v>
      </c>
      <c r="B383" t="str">
        <f>HYPERLINK("https://www.suredividend.com/sure-analysis-research-database/","Cushman &amp; Wakefield plc")</f>
        <v>Cushman &amp; Wakefield plc</v>
      </c>
      <c r="C383" t="s">
        <v>1799</v>
      </c>
      <c r="D383">
        <v>9.93</v>
      </c>
      <c r="E383">
        <v>0</v>
      </c>
      <c r="F383" t="s">
        <v>1797</v>
      </c>
      <c r="G383" t="s">
        <v>1797</v>
      </c>
      <c r="H383">
        <v>0</v>
      </c>
      <c r="I383">
        <v>2256.6257660000001</v>
      </c>
      <c r="J383" t="s">
        <v>1797</v>
      </c>
      <c r="K383">
        <v>0</v>
      </c>
      <c r="L383">
        <v>1.912077822724356</v>
      </c>
      <c r="M383">
        <v>15.63</v>
      </c>
      <c r="N383">
        <v>6.24</v>
      </c>
    </row>
    <row r="384" spans="1:14" x14ac:dyDescent="0.25">
      <c r="A384" s="1" t="s">
        <v>396</v>
      </c>
      <c r="B384" t="str">
        <f>HYPERLINK("https://www.suredividend.com/sure-analysis-research-database/","Casella Waste Systems, Inc.")</f>
        <v>Casella Waste Systems, Inc.</v>
      </c>
      <c r="C384" t="s">
        <v>1798</v>
      </c>
      <c r="D384">
        <v>85.62</v>
      </c>
      <c r="E384">
        <v>0</v>
      </c>
      <c r="F384" t="s">
        <v>1797</v>
      </c>
      <c r="G384" t="s">
        <v>1797</v>
      </c>
      <c r="H384">
        <v>0</v>
      </c>
      <c r="I384">
        <v>4879.8711450000001</v>
      </c>
      <c r="J384">
        <v>136.95577291908731</v>
      </c>
      <c r="K384">
        <v>0</v>
      </c>
      <c r="L384">
        <v>0.65376004996669201</v>
      </c>
      <c r="M384">
        <v>95.78</v>
      </c>
      <c r="N384">
        <v>72.33</v>
      </c>
    </row>
    <row r="385" spans="1:14" x14ac:dyDescent="0.25">
      <c r="A385" s="1" t="s">
        <v>397</v>
      </c>
      <c r="B385" t="str">
        <f>HYPERLINK("https://www.suredividend.com/sure-analysis-CWT/","California Water Service Group")</f>
        <v>California Water Service Group</v>
      </c>
      <c r="C385" t="s">
        <v>1805</v>
      </c>
      <c r="D385">
        <v>48.71</v>
      </c>
      <c r="E385">
        <v>2.1350851981112709E-2</v>
      </c>
      <c r="F385">
        <v>4.0000000000000042E-2</v>
      </c>
      <c r="G385">
        <v>5.6528580043697867E-2</v>
      </c>
      <c r="H385">
        <v>1.0321915812182381</v>
      </c>
      <c r="I385">
        <v>2811.1028099999999</v>
      </c>
      <c r="J385">
        <v>67.979851276842723</v>
      </c>
      <c r="K385">
        <v>1.408558380483403</v>
      </c>
      <c r="L385">
        <v>0.68017642530880207</v>
      </c>
      <c r="M385">
        <v>62.72</v>
      </c>
      <c r="N385">
        <v>45.21</v>
      </c>
    </row>
    <row r="386" spans="1:14" x14ac:dyDescent="0.25">
      <c r="A386" s="1" t="s">
        <v>398</v>
      </c>
      <c r="B386" t="str">
        <f>HYPERLINK("https://www.suredividend.com/sure-analysis-research-database/","CoreCivic Inc")</f>
        <v>CoreCivic Inc</v>
      </c>
      <c r="C386" t="s">
        <v>1799</v>
      </c>
      <c r="D386">
        <v>13.58</v>
      </c>
      <c r="E386">
        <v>0</v>
      </c>
      <c r="F386" t="s">
        <v>1797</v>
      </c>
      <c r="G386" t="s">
        <v>1797</v>
      </c>
      <c r="H386">
        <v>0</v>
      </c>
      <c r="I386">
        <v>1542.7578149999999</v>
      </c>
      <c r="J386">
        <v>23.532357338885589</v>
      </c>
      <c r="K386">
        <v>0</v>
      </c>
      <c r="L386">
        <v>0.68922364599515806</v>
      </c>
      <c r="M386">
        <v>15.06</v>
      </c>
      <c r="N386">
        <v>7.84</v>
      </c>
    </row>
    <row r="387" spans="1:14" x14ac:dyDescent="0.25">
      <c r="A387" s="1" t="s">
        <v>399</v>
      </c>
      <c r="B387" t="str">
        <f>HYPERLINK("https://www.suredividend.com/sure-analysis-research-database/","Community Health Systems, Inc.")</f>
        <v>Community Health Systems, Inc.</v>
      </c>
      <c r="C387" t="s">
        <v>1802</v>
      </c>
      <c r="D387">
        <v>3.63</v>
      </c>
      <c r="E387">
        <v>0</v>
      </c>
      <c r="F387" t="s">
        <v>1797</v>
      </c>
      <c r="G387" t="s">
        <v>1797</v>
      </c>
      <c r="H387">
        <v>0</v>
      </c>
      <c r="I387">
        <v>496.58731399999999</v>
      </c>
      <c r="J387">
        <v>2.1131375071914889</v>
      </c>
      <c r="K387">
        <v>0</v>
      </c>
      <c r="L387">
        <v>2.3146175055905491</v>
      </c>
      <c r="M387">
        <v>8.01</v>
      </c>
      <c r="N387">
        <v>2.0099999999999998</v>
      </c>
    </row>
    <row r="388" spans="1:14" x14ac:dyDescent="0.25">
      <c r="A388" s="1" t="s">
        <v>400</v>
      </c>
      <c r="B388" t="str">
        <f>HYPERLINK("https://www.suredividend.com/sure-analysis-research-database/","CryoPort Inc")</f>
        <v>CryoPort Inc</v>
      </c>
      <c r="C388" t="s">
        <v>1798</v>
      </c>
      <c r="D388">
        <v>14.61</v>
      </c>
      <c r="E388">
        <v>0</v>
      </c>
      <c r="F388" t="s">
        <v>1797</v>
      </c>
      <c r="G388" t="s">
        <v>1797</v>
      </c>
      <c r="H388">
        <v>0</v>
      </c>
      <c r="I388">
        <v>715.35990500000003</v>
      </c>
      <c r="J388">
        <v>0</v>
      </c>
      <c r="K388" t="s">
        <v>1797</v>
      </c>
      <c r="L388">
        <v>2.6012953802179908</v>
      </c>
      <c r="M388">
        <v>26.01</v>
      </c>
      <c r="N388">
        <v>9</v>
      </c>
    </row>
    <row r="389" spans="1:14" x14ac:dyDescent="0.25">
      <c r="A389" s="1" t="s">
        <v>401</v>
      </c>
      <c r="B389" t="str">
        <f>HYPERLINK("https://www.suredividend.com/sure-analysis-research-database/","Cytokinetics Inc")</f>
        <v>Cytokinetics Inc</v>
      </c>
      <c r="C389" t="s">
        <v>1802</v>
      </c>
      <c r="D389">
        <v>85.6</v>
      </c>
      <c r="E389">
        <v>0</v>
      </c>
      <c r="F389" t="s">
        <v>1797</v>
      </c>
      <c r="G389" t="s">
        <v>1797</v>
      </c>
      <c r="H389">
        <v>0</v>
      </c>
      <c r="I389">
        <v>8393.3921829999999</v>
      </c>
      <c r="J389" t="s">
        <v>1797</v>
      </c>
      <c r="K389">
        <v>0</v>
      </c>
      <c r="L389">
        <v>1.5062333724821999</v>
      </c>
      <c r="M389">
        <v>110.25</v>
      </c>
      <c r="N389">
        <v>25.98</v>
      </c>
    </row>
    <row r="390" spans="1:14" x14ac:dyDescent="0.25">
      <c r="A390" s="1" t="s">
        <v>402</v>
      </c>
      <c r="B390" t="str">
        <f>HYPERLINK("https://www.suredividend.com/sure-analysis-research-database/","Citizens &amp; Northern Corp")</f>
        <v>Citizens &amp; Northern Corp</v>
      </c>
      <c r="C390" t="s">
        <v>1800</v>
      </c>
      <c r="D390">
        <v>20.059999999999999</v>
      </c>
      <c r="E390">
        <v>5.3465427049177013E-2</v>
      </c>
      <c r="F390">
        <v>0</v>
      </c>
      <c r="G390">
        <v>7.3000451952116574E-3</v>
      </c>
      <c r="H390">
        <v>1.0725164666064999</v>
      </c>
      <c r="I390">
        <v>306.41180600000001</v>
      </c>
      <c r="J390">
        <v>11.16579717076015</v>
      </c>
      <c r="K390">
        <v>0.59917121039469268</v>
      </c>
      <c r="L390">
        <v>0.83696900308485511</v>
      </c>
      <c r="M390">
        <v>23.5</v>
      </c>
      <c r="N390">
        <v>15.78</v>
      </c>
    </row>
    <row r="391" spans="1:14" x14ac:dyDescent="0.25">
      <c r="A391" s="1" t="s">
        <v>403</v>
      </c>
      <c r="B391" t="str">
        <f>HYPERLINK("https://www.suredividend.com/sure-analysis-research-database/","Dana Inc")</f>
        <v>Dana Inc</v>
      </c>
      <c r="C391" t="s">
        <v>1801</v>
      </c>
      <c r="D391">
        <v>13.11</v>
      </c>
      <c r="E391">
        <v>3.0180048817300999E-2</v>
      </c>
      <c r="F391" t="s">
        <v>1797</v>
      </c>
      <c r="G391" t="s">
        <v>1797</v>
      </c>
      <c r="H391">
        <v>0.39566043999482797</v>
      </c>
      <c r="I391">
        <v>1892.273173</v>
      </c>
      <c r="J391" t="s">
        <v>1797</v>
      </c>
      <c r="K391" t="s">
        <v>1797</v>
      </c>
      <c r="L391">
        <v>1.7800858294430939</v>
      </c>
      <c r="M391">
        <v>19.47</v>
      </c>
      <c r="N391">
        <v>11</v>
      </c>
    </row>
    <row r="392" spans="1:14" x14ac:dyDescent="0.25">
      <c r="A392" s="1" t="s">
        <v>404</v>
      </c>
      <c r="B392" t="str">
        <f>HYPERLINK("https://www.suredividend.com/sure-analysis-research-database/","Day One Biopharmaceuticals Inc")</f>
        <v>Day One Biopharmaceuticals Inc</v>
      </c>
      <c r="C392" t="s">
        <v>1797</v>
      </c>
      <c r="D392">
        <v>13.94</v>
      </c>
      <c r="E392">
        <v>0</v>
      </c>
      <c r="F392" t="s">
        <v>1797</v>
      </c>
      <c r="G392" t="s">
        <v>1797</v>
      </c>
      <c r="H392">
        <v>0</v>
      </c>
      <c r="I392">
        <v>1213.3784860000001</v>
      </c>
      <c r="J392">
        <v>0</v>
      </c>
      <c r="K392" t="s">
        <v>1797</v>
      </c>
      <c r="L392">
        <v>1.064672269549308</v>
      </c>
      <c r="M392">
        <v>24</v>
      </c>
      <c r="N392">
        <v>9.67</v>
      </c>
    </row>
    <row r="393" spans="1:14" x14ac:dyDescent="0.25">
      <c r="A393" s="1" t="s">
        <v>405</v>
      </c>
      <c r="B393" t="str">
        <f>HYPERLINK("https://www.suredividend.com/sure-analysis-research-database/","Designer Brands Inc")</f>
        <v>Designer Brands Inc</v>
      </c>
      <c r="C393" t="s">
        <v>1801</v>
      </c>
      <c r="D393">
        <v>8.68</v>
      </c>
      <c r="E393">
        <v>2.2887926588157002E-2</v>
      </c>
      <c r="F393" t="s">
        <v>1797</v>
      </c>
      <c r="G393" t="s">
        <v>1797</v>
      </c>
      <c r="H393">
        <v>0.198667202785207</v>
      </c>
      <c r="I393">
        <v>426.40042599999998</v>
      </c>
      <c r="J393">
        <v>4.1022524425887266</v>
      </c>
      <c r="K393">
        <v>0.12573873594000451</v>
      </c>
      <c r="L393">
        <v>1.7857039576841141</v>
      </c>
      <c r="M393">
        <v>13.33</v>
      </c>
      <c r="N393">
        <v>6.06</v>
      </c>
    </row>
    <row r="394" spans="1:14" x14ac:dyDescent="0.25">
      <c r="A394" s="1" t="s">
        <v>406</v>
      </c>
      <c r="B394" t="str">
        <f>HYPERLINK("https://www.suredividend.com/sure-analysis-research-database/","DigitalBridge Group Inc")</f>
        <v>DigitalBridge Group Inc</v>
      </c>
      <c r="C394" t="s">
        <v>1797</v>
      </c>
      <c r="D394">
        <v>18.170000000000002</v>
      </c>
      <c r="E394">
        <v>2.1994139685510001E-3</v>
      </c>
      <c r="F394" t="s">
        <v>1797</v>
      </c>
      <c r="G394" t="s">
        <v>1797</v>
      </c>
      <c r="H394">
        <v>3.9963351808585013E-2</v>
      </c>
      <c r="I394">
        <v>2966.151202</v>
      </c>
      <c r="J394">
        <v>390.90026387058521</v>
      </c>
      <c r="K394">
        <v>0.85574629140438974</v>
      </c>
      <c r="L394">
        <v>2.2310449794794449</v>
      </c>
      <c r="M394">
        <v>18.41</v>
      </c>
      <c r="N394">
        <v>9.9600000000000009</v>
      </c>
    </row>
    <row r="395" spans="1:14" x14ac:dyDescent="0.25">
      <c r="A395" s="1" t="s">
        <v>407</v>
      </c>
      <c r="B395" t="str">
        <f>HYPERLINK("https://www.suredividend.com/sure-analysis-research-database/","Dakota Gold Corp")</f>
        <v>Dakota Gold Corp</v>
      </c>
      <c r="C395" t="s">
        <v>1797</v>
      </c>
      <c r="D395">
        <v>2.12</v>
      </c>
      <c r="E395">
        <v>0</v>
      </c>
      <c r="F395" t="s">
        <v>1797</v>
      </c>
      <c r="G395" t="s">
        <v>1797</v>
      </c>
      <c r="H395">
        <v>0</v>
      </c>
      <c r="I395">
        <v>183.889377</v>
      </c>
      <c r="J395">
        <v>0</v>
      </c>
      <c r="K395" t="s">
        <v>1797</v>
      </c>
      <c r="L395">
        <v>0.67183247309752203</v>
      </c>
      <c r="M395">
        <v>3.95</v>
      </c>
      <c r="N395">
        <v>2.08</v>
      </c>
    </row>
    <row r="396" spans="1:14" x14ac:dyDescent="0.25">
      <c r="A396" s="1" t="s">
        <v>408</v>
      </c>
      <c r="B396" t="str">
        <f>HYPERLINK("https://www.suredividend.com/sure-analysis-research-database/","DocGo Inc")</f>
        <v>DocGo Inc</v>
      </c>
      <c r="C396" t="s">
        <v>1797</v>
      </c>
      <c r="D396">
        <v>3.21</v>
      </c>
      <c r="E396">
        <v>0</v>
      </c>
      <c r="F396" t="s">
        <v>1797</v>
      </c>
      <c r="G396" t="s">
        <v>1797</v>
      </c>
      <c r="H396">
        <v>0</v>
      </c>
      <c r="I396">
        <v>333.50721600000003</v>
      </c>
      <c r="J396">
        <v>45.358438301278241</v>
      </c>
      <c r="K396">
        <v>0</v>
      </c>
      <c r="L396">
        <v>1.199069785225273</v>
      </c>
      <c r="M396">
        <v>10.82</v>
      </c>
      <c r="N396">
        <v>2.78</v>
      </c>
    </row>
    <row r="397" spans="1:14" x14ac:dyDescent="0.25">
      <c r="A397" s="1" t="s">
        <v>409</v>
      </c>
      <c r="B397" t="str">
        <f>HYPERLINK("https://www.suredividend.com/sure-analysis-research-database/","Ducommun Inc.")</f>
        <v>Ducommun Inc.</v>
      </c>
      <c r="C397" t="s">
        <v>1798</v>
      </c>
      <c r="D397">
        <v>50.21</v>
      </c>
      <c r="E397">
        <v>0</v>
      </c>
      <c r="F397" t="s">
        <v>1797</v>
      </c>
      <c r="G397" t="s">
        <v>1797</v>
      </c>
      <c r="H397">
        <v>0</v>
      </c>
      <c r="I397">
        <v>733.06600000000003</v>
      </c>
      <c r="J397">
        <v>38.788613154135128</v>
      </c>
      <c r="K397">
        <v>0</v>
      </c>
      <c r="L397">
        <v>0.78900228876178502</v>
      </c>
      <c r="M397">
        <v>58.28</v>
      </c>
      <c r="N397">
        <v>40.24</v>
      </c>
    </row>
    <row r="398" spans="1:14" x14ac:dyDescent="0.25">
      <c r="A398" s="1" t="s">
        <v>410</v>
      </c>
      <c r="B398" t="str">
        <f>HYPERLINK("https://www.suredividend.com/sure-analysis-research-database/","Dime Community Bancshares Inc")</f>
        <v>Dime Community Bancshares Inc</v>
      </c>
      <c r="C398" t="s">
        <v>1800</v>
      </c>
      <c r="D398">
        <v>25.52</v>
      </c>
      <c r="E398">
        <v>2.8649023525317001E-2</v>
      </c>
      <c r="F398">
        <v>4.1666666666666741E-2</v>
      </c>
      <c r="G398">
        <v>0.1229551070568209</v>
      </c>
      <c r="H398">
        <v>0.73112308036610008</v>
      </c>
      <c r="I398">
        <v>990.70901100000003</v>
      </c>
      <c r="J398">
        <v>8.9172728237623762</v>
      </c>
      <c r="K398">
        <v>0.25124504479934712</v>
      </c>
      <c r="L398">
        <v>1.7513531474604651</v>
      </c>
      <c r="M398">
        <v>31.45</v>
      </c>
      <c r="N398">
        <v>14.79</v>
      </c>
    </row>
    <row r="399" spans="1:14" x14ac:dyDescent="0.25">
      <c r="A399" s="1" t="s">
        <v>411</v>
      </c>
      <c r="B399" t="str">
        <f>HYPERLINK("https://www.suredividend.com/sure-analysis-research-database/","Deciphera Pharmaceuticals Inc")</f>
        <v>Deciphera Pharmaceuticals Inc</v>
      </c>
      <c r="C399" t="s">
        <v>1802</v>
      </c>
      <c r="D399">
        <v>14.84</v>
      </c>
      <c r="E399">
        <v>0</v>
      </c>
      <c r="F399" t="s">
        <v>1797</v>
      </c>
      <c r="G399" t="s">
        <v>1797</v>
      </c>
      <c r="H399">
        <v>0</v>
      </c>
      <c r="I399">
        <v>1189.027368</v>
      </c>
      <c r="J399" t="s">
        <v>1797</v>
      </c>
      <c r="K399">
        <v>0</v>
      </c>
      <c r="L399">
        <v>1.016026502594062</v>
      </c>
      <c r="M399">
        <v>21.76</v>
      </c>
      <c r="N399">
        <v>9.9</v>
      </c>
    </row>
    <row r="400" spans="1:14" x14ac:dyDescent="0.25">
      <c r="A400" s="1" t="s">
        <v>412</v>
      </c>
      <c r="B400" t="str">
        <f>HYPERLINK("https://www.suredividend.com/sure-analysis-research-database/","3D Systems Corp.")</f>
        <v>3D Systems Corp.</v>
      </c>
      <c r="C400" t="s">
        <v>1803</v>
      </c>
      <c r="D400">
        <v>5.19</v>
      </c>
      <c r="E400">
        <v>0</v>
      </c>
      <c r="F400" t="s">
        <v>1797</v>
      </c>
      <c r="G400" t="s">
        <v>1797</v>
      </c>
      <c r="H400">
        <v>0</v>
      </c>
      <c r="I400">
        <v>692.52271399999995</v>
      </c>
      <c r="J400" t="s">
        <v>1797</v>
      </c>
      <c r="K400">
        <v>0</v>
      </c>
      <c r="L400">
        <v>2.8056462133726341</v>
      </c>
      <c r="M400">
        <v>12.67</v>
      </c>
      <c r="N400">
        <v>3.5</v>
      </c>
    </row>
    <row r="401" spans="1:14" x14ac:dyDescent="0.25">
      <c r="A401" s="1" t="s">
        <v>413</v>
      </c>
      <c r="B401" t="str">
        <f>HYPERLINK("https://www.suredividend.com/sure-analysis-DDS/","Dillard`s Inc.")</f>
        <v>Dillard`s Inc.</v>
      </c>
      <c r="C401" t="s">
        <v>1801</v>
      </c>
      <c r="D401">
        <v>385.44</v>
      </c>
      <c r="E401">
        <v>2.5944375259443751E-3</v>
      </c>
      <c r="F401">
        <v>0.25</v>
      </c>
      <c r="G401">
        <v>0.10756634324829011</v>
      </c>
      <c r="H401">
        <v>0.86561514108713111</v>
      </c>
      <c r="I401">
        <v>4716.0861949999999</v>
      </c>
      <c r="J401">
        <v>6.0654638786620723</v>
      </c>
      <c r="K401">
        <v>1.8643444778960391E-2</v>
      </c>
      <c r="L401">
        <v>1.4299042396792601</v>
      </c>
      <c r="M401">
        <v>410.53</v>
      </c>
      <c r="N401">
        <v>257.97000000000003</v>
      </c>
    </row>
    <row r="402" spans="1:14" x14ac:dyDescent="0.25">
      <c r="A402" s="1" t="s">
        <v>414</v>
      </c>
      <c r="B402" t="str">
        <f>HYPERLINK("https://www.suredividend.com/sure-analysis-DEA/","Easterly Government Properties Inc")</f>
        <v>Easterly Government Properties Inc</v>
      </c>
      <c r="C402" t="s">
        <v>1799</v>
      </c>
      <c r="D402">
        <v>13.49</v>
      </c>
      <c r="E402">
        <v>7.8576723498888071E-2</v>
      </c>
      <c r="F402">
        <v>0</v>
      </c>
      <c r="G402">
        <v>3.8169048926584011E-3</v>
      </c>
      <c r="H402">
        <v>1.0277174251676719</v>
      </c>
      <c r="I402">
        <v>1284.2605189999999</v>
      </c>
      <c r="J402">
        <v>42.701929134497092</v>
      </c>
      <c r="K402">
        <v>3.159291193260596</v>
      </c>
      <c r="L402">
        <v>1.014794650868627</v>
      </c>
      <c r="M402">
        <v>15.53</v>
      </c>
      <c r="N402">
        <v>10.039999999999999</v>
      </c>
    </row>
    <row r="403" spans="1:14" x14ac:dyDescent="0.25">
      <c r="A403" s="1" t="s">
        <v>415</v>
      </c>
      <c r="B403" t="str">
        <f>HYPERLINK("https://www.suredividend.com/sure-analysis-research-database/","Denbury Inc.")</f>
        <v>Denbury Inc.</v>
      </c>
      <c r="C403" t="s">
        <v>1797</v>
      </c>
      <c r="D403">
        <v>88.66</v>
      </c>
      <c r="E403">
        <v>0</v>
      </c>
      <c r="F403" t="s">
        <v>1797</v>
      </c>
      <c r="G403" t="s">
        <v>1797</v>
      </c>
      <c r="H403">
        <v>0</v>
      </c>
      <c r="I403">
        <v>4561.2742630000002</v>
      </c>
      <c r="J403" t="s">
        <v>1797</v>
      </c>
      <c r="K403">
        <v>0</v>
      </c>
      <c r="M403">
        <v>100.65</v>
      </c>
      <c r="N403">
        <v>75.33</v>
      </c>
    </row>
    <row r="404" spans="1:14" x14ac:dyDescent="0.25">
      <c r="A404" s="1" t="s">
        <v>416</v>
      </c>
      <c r="B404" t="str">
        <f>HYPERLINK("https://www.suredividend.com/sure-analysis-research-database/","Denny`s Corp.")</f>
        <v>Denny`s Corp.</v>
      </c>
      <c r="C404" t="s">
        <v>1801</v>
      </c>
      <c r="D404">
        <v>10.43</v>
      </c>
      <c r="E404">
        <v>0</v>
      </c>
      <c r="F404" t="s">
        <v>1797</v>
      </c>
      <c r="G404" t="s">
        <v>1797</v>
      </c>
      <c r="H404">
        <v>0</v>
      </c>
      <c r="I404">
        <v>553.68118100000004</v>
      </c>
      <c r="J404">
        <v>18.5711806842423</v>
      </c>
      <c r="K404">
        <v>0</v>
      </c>
      <c r="L404">
        <v>1.1566914480808479</v>
      </c>
      <c r="M404">
        <v>13</v>
      </c>
      <c r="N404">
        <v>8.1199999999999992</v>
      </c>
    </row>
    <row r="405" spans="1:14" x14ac:dyDescent="0.25">
      <c r="A405" s="1" t="s">
        <v>417</v>
      </c>
      <c r="B405" t="str">
        <f>HYPERLINK("https://www.suredividend.com/sure-analysis-research-database/","Dream Finders Homes Inc")</f>
        <v>Dream Finders Homes Inc</v>
      </c>
      <c r="C405" t="s">
        <v>1797</v>
      </c>
      <c r="D405">
        <v>32.64</v>
      </c>
      <c r="E405">
        <v>0</v>
      </c>
      <c r="F405" t="s">
        <v>1797</v>
      </c>
      <c r="G405" t="s">
        <v>1797</v>
      </c>
      <c r="H405">
        <v>0</v>
      </c>
      <c r="I405">
        <v>1073.2725270000001</v>
      </c>
      <c r="J405">
        <v>3.8292595577311421</v>
      </c>
      <c r="K405">
        <v>0</v>
      </c>
      <c r="L405">
        <v>1.760180314905365</v>
      </c>
      <c r="M405">
        <v>37</v>
      </c>
      <c r="N405">
        <v>10.07</v>
      </c>
    </row>
    <row r="406" spans="1:14" x14ac:dyDescent="0.25">
      <c r="A406" s="1" t="s">
        <v>418</v>
      </c>
      <c r="B406" t="str">
        <f>HYPERLINK("https://www.suredividend.com/sure-analysis-research-database/","Donnelley Financial Solutions Inc")</f>
        <v>Donnelley Financial Solutions Inc</v>
      </c>
      <c r="C406" t="s">
        <v>1800</v>
      </c>
      <c r="D406">
        <v>60</v>
      </c>
      <c r="E406">
        <v>0</v>
      </c>
      <c r="F406" t="s">
        <v>1797</v>
      </c>
      <c r="G406" t="s">
        <v>1797</v>
      </c>
      <c r="H406">
        <v>0</v>
      </c>
      <c r="I406">
        <v>1746.4584</v>
      </c>
      <c r="J406">
        <v>21.16919272727273</v>
      </c>
      <c r="K406">
        <v>0</v>
      </c>
      <c r="L406">
        <v>1.110117944749422</v>
      </c>
      <c r="M406">
        <v>63.85</v>
      </c>
      <c r="N406">
        <v>35.71</v>
      </c>
    </row>
    <row r="407" spans="1:14" x14ac:dyDescent="0.25">
      <c r="A407" s="1" t="s">
        <v>419</v>
      </c>
      <c r="B407" t="str">
        <f>HYPERLINK("https://www.suredividend.com/sure-analysis-DGICA/","Donegal Group Inc.")</f>
        <v>Donegal Group Inc.</v>
      </c>
      <c r="C407" t="s">
        <v>1800</v>
      </c>
      <c r="D407">
        <v>13.96</v>
      </c>
      <c r="E407">
        <v>4.8710601719197708E-2</v>
      </c>
      <c r="F407">
        <v>3.030303030303028E-2</v>
      </c>
      <c r="G407">
        <v>3.5921415782331101E-2</v>
      </c>
      <c r="H407">
        <v>0.80595768624610808</v>
      </c>
      <c r="I407">
        <v>471.58184499999999</v>
      </c>
      <c r="J407">
        <v>47.755549151222823</v>
      </c>
      <c r="K407">
        <v>2.6261247515350541</v>
      </c>
      <c r="L407">
        <v>0.33393343911484902</v>
      </c>
      <c r="M407">
        <v>15.04</v>
      </c>
      <c r="N407">
        <v>13.09</v>
      </c>
    </row>
    <row r="408" spans="1:14" x14ac:dyDescent="0.25">
      <c r="A408" s="1" t="s">
        <v>420</v>
      </c>
      <c r="B408" t="str">
        <f>HYPERLINK("https://www.suredividend.com/sure-analysis-research-database/","Digi International, Inc.")</f>
        <v>Digi International, Inc.</v>
      </c>
      <c r="C408" t="s">
        <v>1803</v>
      </c>
      <c r="D408">
        <v>23.89</v>
      </c>
      <c r="E408">
        <v>0</v>
      </c>
      <c r="F408" t="s">
        <v>1797</v>
      </c>
      <c r="G408" t="s">
        <v>1797</v>
      </c>
      <c r="H408">
        <v>0</v>
      </c>
      <c r="I408">
        <v>864.78130499999997</v>
      </c>
      <c r="J408">
        <v>34.912446708114658</v>
      </c>
      <c r="K408">
        <v>0</v>
      </c>
      <c r="L408">
        <v>1.211295340471112</v>
      </c>
      <c r="M408">
        <v>42.95</v>
      </c>
      <c r="N408">
        <v>21.25</v>
      </c>
    </row>
    <row r="409" spans="1:14" x14ac:dyDescent="0.25">
      <c r="A409" s="1" t="s">
        <v>421</v>
      </c>
      <c r="B409" t="str">
        <f>HYPERLINK("https://www.suredividend.com/sure-analysis-research-database/","Diversified Healthcare Trust")</f>
        <v>Diversified Healthcare Trust</v>
      </c>
      <c r="C409" t="s">
        <v>1799</v>
      </c>
      <c r="D409">
        <v>3.02</v>
      </c>
      <c r="E409">
        <v>1.3048808979442E-2</v>
      </c>
      <c r="F409">
        <v>0</v>
      </c>
      <c r="G409">
        <v>-0.51939633471230828</v>
      </c>
      <c r="H409">
        <v>3.9407403117914998E-2</v>
      </c>
      <c r="I409">
        <v>726.16005399999995</v>
      </c>
      <c r="J409" t="s">
        <v>1797</v>
      </c>
      <c r="K409" t="s">
        <v>1797</v>
      </c>
      <c r="L409">
        <v>2.1276125801242558</v>
      </c>
      <c r="M409">
        <v>3.96</v>
      </c>
      <c r="N409">
        <v>0.61899999999999999</v>
      </c>
    </row>
    <row r="410" spans="1:14" x14ac:dyDescent="0.25">
      <c r="A410" s="1" t="s">
        <v>422</v>
      </c>
      <c r="B410" t="str">
        <f>HYPERLINK("https://www.suredividend.com/sure-analysis-research-database/","Diamond Hill Investment Group, Inc.")</f>
        <v>Diamond Hill Investment Group, Inc.</v>
      </c>
      <c r="C410" t="s">
        <v>1800</v>
      </c>
      <c r="D410">
        <v>160.66</v>
      </c>
      <c r="E410">
        <v>3.6342642757146E-2</v>
      </c>
      <c r="F410" t="s">
        <v>1797</v>
      </c>
      <c r="G410" t="s">
        <v>1797</v>
      </c>
      <c r="H410">
        <v>5.8388089853631531</v>
      </c>
      <c r="I410">
        <v>462.44904600000001</v>
      </c>
      <c r="J410">
        <v>10.63338562500339</v>
      </c>
      <c r="K410">
        <v>0.40101710064307372</v>
      </c>
      <c r="L410">
        <v>0.89355117722984112</v>
      </c>
      <c r="M410">
        <v>181.58</v>
      </c>
      <c r="N410">
        <v>143.15</v>
      </c>
    </row>
    <row r="411" spans="1:14" x14ac:dyDescent="0.25">
      <c r="A411" s="1" t="s">
        <v>423</v>
      </c>
      <c r="B411" t="str">
        <f>HYPERLINK("https://www.suredividend.com/sure-analysis-research-database/","DHT Holdings Inc")</f>
        <v>DHT Holdings Inc</v>
      </c>
      <c r="C411" t="s">
        <v>1807</v>
      </c>
      <c r="D411">
        <v>10.96</v>
      </c>
      <c r="E411">
        <v>0.100508113643221</v>
      </c>
      <c r="F411">
        <v>-0.5</v>
      </c>
      <c r="G411">
        <v>0.1888654957871243</v>
      </c>
      <c r="H411">
        <v>1.101568925529713</v>
      </c>
      <c r="I411">
        <v>1782.644</v>
      </c>
      <c r="J411">
        <v>9.4812915853353701</v>
      </c>
      <c r="K411">
        <v>0.9578860221997505</v>
      </c>
      <c r="L411">
        <v>0.5718764419211001</v>
      </c>
      <c r="M411">
        <v>11.36</v>
      </c>
      <c r="N411">
        <v>6.72</v>
      </c>
    </row>
    <row r="412" spans="1:14" x14ac:dyDescent="0.25">
      <c r="A412" s="1" t="s">
        <v>424</v>
      </c>
      <c r="B412" t="str">
        <f>HYPERLINK("https://www.suredividend.com/sure-analysis-research-database/","DHI Group Inc")</f>
        <v>DHI Group Inc</v>
      </c>
      <c r="C412" t="s">
        <v>1798</v>
      </c>
      <c r="D412">
        <v>2.2999999999999998</v>
      </c>
      <c r="E412">
        <v>0</v>
      </c>
      <c r="F412" t="s">
        <v>1797</v>
      </c>
      <c r="G412" t="s">
        <v>1797</v>
      </c>
      <c r="H412">
        <v>0</v>
      </c>
      <c r="I412">
        <v>107.68110299999999</v>
      </c>
      <c r="J412">
        <v>29.15027160259881</v>
      </c>
      <c r="K412">
        <v>0</v>
      </c>
      <c r="L412">
        <v>1.4983283912323631</v>
      </c>
      <c r="M412">
        <v>6.31</v>
      </c>
      <c r="N412">
        <v>1.97</v>
      </c>
    </row>
    <row r="413" spans="1:14" x14ac:dyDescent="0.25">
      <c r="A413" s="1" t="s">
        <v>425</v>
      </c>
      <c r="B413" t="str">
        <f>HYPERLINK("https://www.suredividend.com/sure-analysis-research-database/","1stdibs.com Inc")</f>
        <v>1stdibs.com Inc</v>
      </c>
      <c r="C413" t="s">
        <v>1797</v>
      </c>
      <c r="D413">
        <v>4.68</v>
      </c>
      <c r="E413">
        <v>0</v>
      </c>
      <c r="F413" t="s">
        <v>1797</v>
      </c>
      <c r="G413" t="s">
        <v>1797</v>
      </c>
      <c r="H413">
        <v>0</v>
      </c>
      <c r="I413">
        <v>187.11224100000001</v>
      </c>
      <c r="J413" t="s">
        <v>1797</v>
      </c>
      <c r="K413">
        <v>0</v>
      </c>
      <c r="L413">
        <v>0.81852185899731611</v>
      </c>
      <c r="M413">
        <v>6.63</v>
      </c>
      <c r="N413">
        <v>3.45</v>
      </c>
    </row>
    <row r="414" spans="1:14" x14ac:dyDescent="0.25">
      <c r="A414" s="1" t="s">
        <v>426</v>
      </c>
      <c r="B414" t="str">
        <f>HYPERLINK("https://www.suredividend.com/sure-analysis-research-database/","DICE Therapeutics Inc")</f>
        <v>DICE Therapeutics Inc</v>
      </c>
      <c r="C414" t="s">
        <v>1797</v>
      </c>
      <c r="D414">
        <v>47.55</v>
      </c>
      <c r="E414">
        <v>0</v>
      </c>
      <c r="F414" t="s">
        <v>1797</v>
      </c>
      <c r="G414" t="s">
        <v>1797</v>
      </c>
      <c r="H414">
        <v>0</v>
      </c>
      <c r="I414">
        <v>0</v>
      </c>
      <c r="J414">
        <v>0</v>
      </c>
      <c r="K414" t="s">
        <v>1797</v>
      </c>
    </row>
    <row r="415" spans="1:14" x14ac:dyDescent="0.25">
      <c r="A415" s="1" t="s">
        <v>427</v>
      </c>
      <c r="B415" t="str">
        <f>HYPERLINK("https://www.suredividend.com/sure-analysis-research-database/","Dine Brands Global Inc")</f>
        <v>Dine Brands Global Inc</v>
      </c>
      <c r="C415" t="s">
        <v>1801</v>
      </c>
      <c r="D415">
        <v>44.39</v>
      </c>
      <c r="E415">
        <v>4.5287959287052003E-2</v>
      </c>
      <c r="F415" t="s">
        <v>1797</v>
      </c>
      <c r="G415" t="s">
        <v>1797</v>
      </c>
      <c r="H415">
        <v>2.0103325127522651</v>
      </c>
      <c r="I415">
        <v>685.51503600000001</v>
      </c>
      <c r="J415">
        <v>9.3135568221835765</v>
      </c>
      <c r="K415">
        <v>0.41794854734974318</v>
      </c>
      <c r="L415">
        <v>0.97418853045113407</v>
      </c>
      <c r="M415">
        <v>79.510000000000005</v>
      </c>
      <c r="N415">
        <v>41.56</v>
      </c>
    </row>
    <row r="416" spans="1:14" x14ac:dyDescent="0.25">
      <c r="A416" s="1" t="s">
        <v>428</v>
      </c>
      <c r="B416" t="str">
        <f>HYPERLINK("https://www.suredividend.com/sure-analysis-research-database/","Diodes, Inc.")</f>
        <v>Diodes, Inc.</v>
      </c>
      <c r="C416" t="s">
        <v>1803</v>
      </c>
      <c r="D416">
        <v>72.27</v>
      </c>
      <c r="E416">
        <v>0</v>
      </c>
      <c r="F416" t="s">
        <v>1797</v>
      </c>
      <c r="G416" t="s">
        <v>1797</v>
      </c>
      <c r="H416">
        <v>0</v>
      </c>
      <c r="I416">
        <v>3319.956099</v>
      </c>
      <c r="J416">
        <v>11.29463429365077</v>
      </c>
      <c r="K416">
        <v>0</v>
      </c>
      <c r="L416">
        <v>1.6851255641102749</v>
      </c>
      <c r="M416">
        <v>97.45</v>
      </c>
      <c r="N416">
        <v>60</v>
      </c>
    </row>
    <row r="417" spans="1:14" x14ac:dyDescent="0.25">
      <c r="A417" s="1" t="s">
        <v>429</v>
      </c>
      <c r="B417" t="str">
        <f>HYPERLINK("https://www.suredividend.com/sure-analysis-research-database/","Daily Journal Corporation")</f>
        <v>Daily Journal Corporation</v>
      </c>
      <c r="C417" t="s">
        <v>1806</v>
      </c>
      <c r="D417">
        <v>318</v>
      </c>
      <c r="E417">
        <v>0</v>
      </c>
      <c r="F417" t="s">
        <v>1797</v>
      </c>
      <c r="G417" t="s">
        <v>1797</v>
      </c>
      <c r="H417">
        <v>0</v>
      </c>
      <c r="I417">
        <v>437.89426800000001</v>
      </c>
      <c r="J417">
        <v>0</v>
      </c>
      <c r="K417" t="s">
        <v>1797</v>
      </c>
      <c r="M417">
        <v>357.34</v>
      </c>
      <c r="N417">
        <v>267</v>
      </c>
    </row>
    <row r="418" spans="1:14" x14ac:dyDescent="0.25">
      <c r="A418" s="1" t="s">
        <v>430</v>
      </c>
      <c r="B418" t="str">
        <f>HYPERLINK("https://www.suredividend.com/sure-analysis-research-database/","Delek US Holdings Inc")</f>
        <v>Delek US Holdings Inc</v>
      </c>
      <c r="C418" t="s">
        <v>1807</v>
      </c>
      <c r="D418">
        <v>25.36</v>
      </c>
      <c r="E418">
        <v>3.5977591705200998E-2</v>
      </c>
      <c r="F418" t="s">
        <v>1797</v>
      </c>
      <c r="G418" t="s">
        <v>1797</v>
      </c>
      <c r="H418">
        <v>0.91239172564392013</v>
      </c>
      <c r="I418">
        <v>1621.3540929999999</v>
      </c>
      <c r="J418">
        <v>0</v>
      </c>
      <c r="K418" t="s">
        <v>1797</v>
      </c>
      <c r="L418">
        <v>0.78788882035426611</v>
      </c>
      <c r="M418">
        <v>30.91</v>
      </c>
      <c r="N418">
        <v>18.84</v>
      </c>
    </row>
    <row r="419" spans="1:14" x14ac:dyDescent="0.25">
      <c r="A419" s="1" t="s">
        <v>431</v>
      </c>
      <c r="B419" t="str">
        <f>HYPERLINK("https://www.suredividend.com/sure-analysis-research-database/","Duluth Holdings Inc")</f>
        <v>Duluth Holdings Inc</v>
      </c>
      <c r="C419" t="s">
        <v>1801</v>
      </c>
      <c r="D419">
        <v>5.23</v>
      </c>
      <c r="E419">
        <v>0</v>
      </c>
      <c r="F419" t="s">
        <v>1797</v>
      </c>
      <c r="G419" t="s">
        <v>1797</v>
      </c>
      <c r="H419">
        <v>0</v>
      </c>
      <c r="I419">
        <v>162.710849</v>
      </c>
      <c r="J419" t="s">
        <v>1797</v>
      </c>
      <c r="K419">
        <v>0</v>
      </c>
      <c r="L419">
        <v>0.93952664041435408</v>
      </c>
      <c r="M419">
        <v>7.88</v>
      </c>
      <c r="N419">
        <v>4.6500000000000004</v>
      </c>
    </row>
    <row r="420" spans="1:14" x14ac:dyDescent="0.25">
      <c r="A420" s="1" t="s">
        <v>432</v>
      </c>
      <c r="B420" t="str">
        <f>HYPERLINK("https://www.suredividend.com/sure-analysis-research-database/","Deluxe Corp.")</f>
        <v>Deluxe Corp.</v>
      </c>
      <c r="C420" t="s">
        <v>1806</v>
      </c>
      <c r="D420">
        <v>20.05</v>
      </c>
      <c r="E420">
        <v>5.8421926110853013E-2</v>
      </c>
      <c r="F420">
        <v>0</v>
      </c>
      <c r="G420">
        <v>0</v>
      </c>
      <c r="H420">
        <v>1.1713596185226061</v>
      </c>
      <c r="I420">
        <v>876.035527</v>
      </c>
      <c r="J420">
        <v>29.137082659815071</v>
      </c>
      <c r="K420">
        <v>1.699100113899922</v>
      </c>
      <c r="L420">
        <v>1.519015454531853</v>
      </c>
      <c r="M420">
        <v>21.97</v>
      </c>
      <c r="N420">
        <v>12.94</v>
      </c>
    </row>
    <row r="421" spans="1:14" x14ac:dyDescent="0.25">
      <c r="A421" s="1" t="s">
        <v>433</v>
      </c>
      <c r="B421" t="str">
        <f>HYPERLINK("https://www.suredividend.com/sure-analysis-research-database/","Desktop Metal Inc")</f>
        <v>Desktop Metal Inc</v>
      </c>
      <c r="C421" t="s">
        <v>1797</v>
      </c>
      <c r="D421">
        <v>0.62</v>
      </c>
      <c r="E421">
        <v>0</v>
      </c>
      <c r="F421" t="s">
        <v>1797</v>
      </c>
      <c r="G421" t="s">
        <v>1797</v>
      </c>
      <c r="H421">
        <v>0</v>
      </c>
      <c r="I421">
        <v>201.33647400000001</v>
      </c>
      <c r="J421" t="s">
        <v>1797</v>
      </c>
      <c r="K421">
        <v>0</v>
      </c>
      <c r="L421">
        <v>2.929607764143245</v>
      </c>
      <c r="M421">
        <v>2.5499999999999998</v>
      </c>
      <c r="N421">
        <v>0.61</v>
      </c>
    </row>
    <row r="422" spans="1:14" x14ac:dyDescent="0.25">
      <c r="A422" s="1" t="s">
        <v>434</v>
      </c>
      <c r="B422" t="str">
        <f>HYPERLINK("https://www.suredividend.com/sure-analysis-research-database/","Digimarc Corporation")</f>
        <v>Digimarc Corporation</v>
      </c>
      <c r="C422" t="s">
        <v>1803</v>
      </c>
      <c r="D422">
        <v>36.270000000000003</v>
      </c>
      <c r="E422">
        <v>0</v>
      </c>
      <c r="F422" t="s">
        <v>1797</v>
      </c>
      <c r="G422" t="s">
        <v>1797</v>
      </c>
      <c r="H422">
        <v>0</v>
      </c>
      <c r="I422">
        <v>738.37994500000002</v>
      </c>
      <c r="J422" t="s">
        <v>1797</v>
      </c>
      <c r="K422">
        <v>0</v>
      </c>
      <c r="L422">
        <v>1.520980220664893</v>
      </c>
      <c r="M422">
        <v>38.950000000000003</v>
      </c>
      <c r="N422">
        <v>16.13</v>
      </c>
    </row>
    <row r="423" spans="1:14" x14ac:dyDescent="0.25">
      <c r="A423" s="1" t="s">
        <v>435</v>
      </c>
      <c r="B423" t="str">
        <f>HYPERLINK("https://www.suredividend.com/sure-analysis-research-database/","Denali Therapeutics Inc")</f>
        <v>Denali Therapeutics Inc</v>
      </c>
      <c r="C423" t="s">
        <v>1802</v>
      </c>
      <c r="D423">
        <v>18.54</v>
      </c>
      <c r="E423">
        <v>0</v>
      </c>
      <c r="F423" t="s">
        <v>1797</v>
      </c>
      <c r="G423" t="s">
        <v>1797</v>
      </c>
      <c r="H423">
        <v>0</v>
      </c>
      <c r="I423">
        <v>2575.07051</v>
      </c>
      <c r="J423" t="s">
        <v>1797</v>
      </c>
      <c r="K423">
        <v>0</v>
      </c>
      <c r="L423">
        <v>1.629495489452071</v>
      </c>
      <c r="M423">
        <v>33.31</v>
      </c>
      <c r="N423">
        <v>15.45</v>
      </c>
    </row>
    <row r="424" spans="1:14" x14ac:dyDescent="0.25">
      <c r="A424" s="1" t="s">
        <v>436</v>
      </c>
      <c r="B424" t="str">
        <f>HYPERLINK("https://www.suredividend.com/sure-analysis-research-database/","Danimer Scientific Inc")</f>
        <v>Danimer Scientific Inc</v>
      </c>
      <c r="C424" t="s">
        <v>1797</v>
      </c>
      <c r="D424">
        <v>0.83450000000000002</v>
      </c>
      <c r="E424">
        <v>0</v>
      </c>
      <c r="F424" t="s">
        <v>1797</v>
      </c>
      <c r="G424" t="s">
        <v>1797</v>
      </c>
      <c r="H424">
        <v>0</v>
      </c>
      <c r="I424">
        <v>85.148430000000005</v>
      </c>
      <c r="J424" t="s">
        <v>1797</v>
      </c>
      <c r="K424">
        <v>0</v>
      </c>
      <c r="L424">
        <v>2.1897346093994732</v>
      </c>
      <c r="M424">
        <v>4.59</v>
      </c>
      <c r="N424">
        <v>0.83010000000000006</v>
      </c>
    </row>
    <row r="425" spans="1:14" x14ac:dyDescent="0.25">
      <c r="A425" s="1" t="s">
        <v>437</v>
      </c>
      <c r="B425" t="str">
        <f>HYPERLINK("https://www.suredividend.com/sure-analysis-research-database/","NOW Inc")</f>
        <v>NOW Inc</v>
      </c>
      <c r="C425" t="s">
        <v>1807</v>
      </c>
      <c r="D425">
        <v>9.9700000000000006</v>
      </c>
      <c r="E425">
        <v>0</v>
      </c>
      <c r="F425" t="s">
        <v>1797</v>
      </c>
      <c r="G425" t="s">
        <v>1797</v>
      </c>
      <c r="H425">
        <v>0</v>
      </c>
      <c r="I425">
        <v>1060.1216549999999</v>
      </c>
      <c r="J425">
        <v>8.0925317193129782</v>
      </c>
      <c r="K425">
        <v>0</v>
      </c>
      <c r="L425">
        <v>1.262915745999186</v>
      </c>
      <c r="M425">
        <v>14.86</v>
      </c>
      <c r="N425">
        <v>8.83</v>
      </c>
    </row>
    <row r="426" spans="1:14" x14ac:dyDescent="0.25">
      <c r="A426" s="1" t="s">
        <v>438</v>
      </c>
      <c r="B426" t="str">
        <f>HYPERLINK("https://www.suredividend.com/sure-analysis-research-database/","Krispy Kreme Inc")</f>
        <v>Krispy Kreme Inc</v>
      </c>
      <c r="C426" t="s">
        <v>1797</v>
      </c>
      <c r="D426">
        <v>13.71</v>
      </c>
      <c r="E426">
        <v>1.0141598375004999E-2</v>
      </c>
      <c r="F426" t="s">
        <v>1797</v>
      </c>
      <c r="G426" t="s">
        <v>1797</v>
      </c>
      <c r="H426">
        <v>0.13904131372133099</v>
      </c>
      <c r="I426">
        <v>2311.5059999999999</v>
      </c>
      <c r="J426" t="s">
        <v>1797</v>
      </c>
      <c r="K426" t="s">
        <v>1797</v>
      </c>
      <c r="L426">
        <v>0.639365190469522</v>
      </c>
      <c r="M426">
        <v>16.059999999999999</v>
      </c>
      <c r="N426">
        <v>11.09</v>
      </c>
    </row>
    <row r="427" spans="1:14" x14ac:dyDescent="0.25">
      <c r="A427" s="1" t="s">
        <v>439</v>
      </c>
      <c r="B427" t="str">
        <f>HYPERLINK("https://www.suredividend.com/sure-analysis-research-database/","Diamond Offshore Drilling, Inc.")</f>
        <v>Diamond Offshore Drilling, Inc.</v>
      </c>
      <c r="C427" t="s">
        <v>1807</v>
      </c>
      <c r="D427">
        <v>12.13</v>
      </c>
      <c r="E427">
        <v>0</v>
      </c>
      <c r="F427" t="s">
        <v>1797</v>
      </c>
      <c r="G427" t="s">
        <v>1797</v>
      </c>
      <c r="H427">
        <v>0</v>
      </c>
      <c r="I427">
        <v>1241.165884</v>
      </c>
      <c r="J427" t="s">
        <v>1797</v>
      </c>
      <c r="K427">
        <v>0</v>
      </c>
      <c r="L427">
        <v>1.470521479885353</v>
      </c>
      <c r="M427">
        <v>17.32</v>
      </c>
      <c r="N427">
        <v>9.56</v>
      </c>
    </row>
    <row r="428" spans="1:14" x14ac:dyDescent="0.25">
      <c r="A428" s="1" t="s">
        <v>440</v>
      </c>
      <c r="B428" t="str">
        <f>HYPERLINK("https://www.suredividend.com/sure-analysis-DOC/","Physicians Realty Trust")</f>
        <v>Physicians Realty Trust</v>
      </c>
      <c r="C428" t="s">
        <v>1799</v>
      </c>
      <c r="D428">
        <v>13.76</v>
      </c>
      <c r="E428">
        <v>6.6860465116279078E-2</v>
      </c>
      <c r="F428">
        <v>0</v>
      </c>
      <c r="G428">
        <v>0</v>
      </c>
      <c r="H428">
        <v>0.89590142223066604</v>
      </c>
      <c r="I428">
        <v>3283.064476</v>
      </c>
      <c r="J428">
        <v>70.594428149486092</v>
      </c>
      <c r="K428">
        <v>4.7603688747644313</v>
      </c>
      <c r="L428">
        <v>1.000060623693422</v>
      </c>
      <c r="M428">
        <v>15.26</v>
      </c>
      <c r="N428">
        <v>10.34</v>
      </c>
    </row>
    <row r="429" spans="1:14" x14ac:dyDescent="0.25">
      <c r="A429" s="1" t="s">
        <v>441</v>
      </c>
      <c r="B429" t="str">
        <f>HYPERLINK("https://www.suredividend.com/sure-analysis-research-database/","DigitalOcean Holdings Inc")</f>
        <v>DigitalOcean Holdings Inc</v>
      </c>
      <c r="C429" t="s">
        <v>1797</v>
      </c>
      <c r="D429">
        <v>35.67</v>
      </c>
      <c r="E429">
        <v>0</v>
      </c>
      <c r="F429" t="s">
        <v>1797</v>
      </c>
      <c r="G429" t="s">
        <v>1797</v>
      </c>
      <c r="H429">
        <v>0</v>
      </c>
      <c r="I429">
        <v>3067.9387109999998</v>
      </c>
      <c r="J429" t="s">
        <v>1797</v>
      </c>
      <c r="K429">
        <v>0</v>
      </c>
      <c r="L429">
        <v>2.0715788945437441</v>
      </c>
      <c r="M429">
        <v>51.69</v>
      </c>
      <c r="N429">
        <v>19.39</v>
      </c>
    </row>
    <row r="430" spans="1:14" x14ac:dyDescent="0.25">
      <c r="A430" s="1" t="s">
        <v>442</v>
      </c>
      <c r="B430" t="str">
        <f>HYPERLINK("https://www.suredividend.com/sure-analysis-research-database/","Doma Holdings Inc")</f>
        <v>Doma Holdings Inc</v>
      </c>
      <c r="C430" t="s">
        <v>1797</v>
      </c>
      <c r="D430">
        <v>4.32</v>
      </c>
      <c r="E430">
        <v>0</v>
      </c>
      <c r="F430" t="s">
        <v>1797</v>
      </c>
      <c r="G430" t="s">
        <v>1797</v>
      </c>
      <c r="H430">
        <v>0</v>
      </c>
      <c r="I430">
        <v>58.046725000000002</v>
      </c>
      <c r="J430" t="s">
        <v>1797</v>
      </c>
      <c r="K430">
        <v>0</v>
      </c>
      <c r="L430">
        <v>1.59974268438218</v>
      </c>
      <c r="M430">
        <v>23.6</v>
      </c>
      <c r="N430">
        <v>3.86</v>
      </c>
    </row>
    <row r="431" spans="1:14" x14ac:dyDescent="0.25">
      <c r="A431" s="1" t="s">
        <v>443</v>
      </c>
      <c r="B431" t="str">
        <f>HYPERLINK("https://www.suredividend.com/sure-analysis-research-database/","Domo Inc.")</f>
        <v>Domo Inc.</v>
      </c>
      <c r="C431" t="s">
        <v>1803</v>
      </c>
      <c r="D431">
        <v>9.3800000000000008</v>
      </c>
      <c r="E431">
        <v>0</v>
      </c>
      <c r="F431" t="s">
        <v>1797</v>
      </c>
      <c r="G431" t="s">
        <v>1797</v>
      </c>
      <c r="H431">
        <v>0</v>
      </c>
      <c r="I431">
        <v>307.84361799999999</v>
      </c>
      <c r="J431" t="s">
        <v>1797</v>
      </c>
      <c r="K431">
        <v>0</v>
      </c>
      <c r="L431">
        <v>2.2532125312397988</v>
      </c>
      <c r="M431">
        <v>19.09</v>
      </c>
      <c r="N431">
        <v>7.78</v>
      </c>
    </row>
    <row r="432" spans="1:14" x14ac:dyDescent="0.25">
      <c r="A432" s="1" t="s">
        <v>444</v>
      </c>
      <c r="B432" t="str">
        <f>HYPERLINK("https://www.suredividend.com/sure-analysis-research-database/","Masonite International Corp")</f>
        <v>Masonite International Corp</v>
      </c>
      <c r="C432" t="s">
        <v>1798</v>
      </c>
      <c r="D432">
        <v>86.67</v>
      </c>
      <c r="E432">
        <v>0</v>
      </c>
      <c r="F432" t="s">
        <v>1797</v>
      </c>
      <c r="G432" t="s">
        <v>1797</v>
      </c>
      <c r="H432">
        <v>0</v>
      </c>
      <c r="I432">
        <v>1898.578199</v>
      </c>
      <c r="J432">
        <v>11.91668517916659</v>
      </c>
      <c r="K432">
        <v>0</v>
      </c>
      <c r="L432">
        <v>1.4304665500361871</v>
      </c>
      <c r="M432">
        <v>109.58</v>
      </c>
      <c r="N432">
        <v>76.87</v>
      </c>
    </row>
    <row r="433" spans="1:14" x14ac:dyDescent="0.25">
      <c r="A433" s="1" t="s">
        <v>445</v>
      </c>
      <c r="B433" t="str">
        <f>HYPERLINK("https://www.suredividend.com/sure-analysis-research-database/","Dorman Products Inc")</f>
        <v>Dorman Products Inc</v>
      </c>
      <c r="C433" t="s">
        <v>1801</v>
      </c>
      <c r="D433">
        <v>80.77</v>
      </c>
      <c r="E433">
        <v>0</v>
      </c>
      <c r="F433" t="s">
        <v>1797</v>
      </c>
      <c r="G433" t="s">
        <v>1797</v>
      </c>
      <c r="H433">
        <v>0</v>
      </c>
      <c r="I433">
        <v>2543.2950489999998</v>
      </c>
      <c r="J433">
        <v>26.270723869704891</v>
      </c>
      <c r="K433">
        <v>0</v>
      </c>
      <c r="L433">
        <v>1.1028828140515681</v>
      </c>
      <c r="M433">
        <v>102.25</v>
      </c>
      <c r="N433">
        <v>60.01</v>
      </c>
    </row>
    <row r="434" spans="1:14" x14ac:dyDescent="0.25">
      <c r="A434" s="1" t="s">
        <v>446</v>
      </c>
      <c r="B434" t="str">
        <f>HYPERLINK("https://www.suredividend.com/sure-analysis-research-database/","Douglas Elliman Inc")</f>
        <v>Douglas Elliman Inc</v>
      </c>
      <c r="C434" t="s">
        <v>1797</v>
      </c>
      <c r="D434">
        <v>2.41</v>
      </c>
      <c r="E434">
        <v>1.9758644831079E-2</v>
      </c>
      <c r="F434" t="s">
        <v>1797</v>
      </c>
      <c r="G434" t="s">
        <v>1797</v>
      </c>
      <c r="H434">
        <v>4.7618334042901E-2</v>
      </c>
      <c r="I434">
        <v>213.78464099999999</v>
      </c>
      <c r="J434" t="s">
        <v>1797</v>
      </c>
      <c r="K434" t="s">
        <v>1797</v>
      </c>
      <c r="L434">
        <v>1.760647775756623</v>
      </c>
      <c r="M434">
        <v>4.9400000000000004</v>
      </c>
      <c r="N434">
        <v>1.57</v>
      </c>
    </row>
    <row r="435" spans="1:14" x14ac:dyDescent="0.25">
      <c r="A435" s="1" t="s">
        <v>447</v>
      </c>
      <c r="B435" t="str">
        <f>HYPERLINK("https://www.suredividend.com/sure-analysis-research-database/","Diamondrock Hospitality Co.")</f>
        <v>Diamondrock Hospitality Co.</v>
      </c>
      <c r="C435" t="s">
        <v>1799</v>
      </c>
      <c r="D435">
        <v>9.3699999999999992</v>
      </c>
      <c r="E435">
        <v>1.2740502313128999E-2</v>
      </c>
      <c r="F435" t="s">
        <v>1797</v>
      </c>
      <c r="G435" t="s">
        <v>1797</v>
      </c>
      <c r="H435">
        <v>0.119378506674027</v>
      </c>
      <c r="I435">
        <v>1964.2068360000001</v>
      </c>
      <c r="J435">
        <v>23.410448206738732</v>
      </c>
      <c r="K435">
        <v>0.30399416010702068</v>
      </c>
      <c r="L435">
        <v>1.3048859295174431</v>
      </c>
      <c r="M435">
        <v>9.8699999999999992</v>
      </c>
      <c r="N435">
        <v>7.04</v>
      </c>
    </row>
    <row r="436" spans="1:14" x14ac:dyDescent="0.25">
      <c r="A436" s="1" t="s">
        <v>448</v>
      </c>
      <c r="B436" t="str">
        <f>HYPERLINK("https://www.suredividend.com/sure-analysis-research-database/","Dril-Quip, Inc.")</f>
        <v>Dril-Quip, Inc.</v>
      </c>
      <c r="C436" t="s">
        <v>1807</v>
      </c>
      <c r="D436">
        <v>21.04</v>
      </c>
      <c r="E436">
        <v>0</v>
      </c>
      <c r="F436" t="s">
        <v>1797</v>
      </c>
      <c r="G436" t="s">
        <v>1797</v>
      </c>
      <c r="H436">
        <v>0</v>
      </c>
      <c r="I436">
        <v>719.21143500000005</v>
      </c>
      <c r="J436" t="s">
        <v>1797</v>
      </c>
      <c r="K436">
        <v>0</v>
      </c>
      <c r="L436">
        <v>1.0401061800415989</v>
      </c>
      <c r="M436">
        <v>35.950000000000003</v>
      </c>
      <c r="N436">
        <v>19.89</v>
      </c>
    </row>
    <row r="437" spans="1:14" x14ac:dyDescent="0.25">
      <c r="A437" s="1" t="s">
        <v>449</v>
      </c>
      <c r="B437" t="str">
        <f>HYPERLINK("https://www.suredividend.com/sure-analysis-research-database/","Diversey Holdings Ltd")</f>
        <v>Diversey Holdings Ltd</v>
      </c>
      <c r="C437" t="s">
        <v>1797</v>
      </c>
      <c r="D437">
        <v>8.39</v>
      </c>
      <c r="E437">
        <v>0</v>
      </c>
      <c r="F437" t="s">
        <v>1797</v>
      </c>
      <c r="G437" t="s">
        <v>1797</v>
      </c>
      <c r="H437">
        <v>0</v>
      </c>
      <c r="I437">
        <v>0</v>
      </c>
      <c r="J437">
        <v>0</v>
      </c>
      <c r="K437" t="s">
        <v>1797</v>
      </c>
    </row>
    <row r="438" spans="1:14" x14ac:dyDescent="0.25">
      <c r="A438" s="1" t="s">
        <v>450</v>
      </c>
      <c r="B438" t="str">
        <f>HYPERLINK("https://www.suredividend.com/sure-analysis-research-database/","Design Therapeutics Inc")</f>
        <v>Design Therapeutics Inc</v>
      </c>
      <c r="C438" t="s">
        <v>1797</v>
      </c>
      <c r="D438">
        <v>2.44</v>
      </c>
      <c r="E438">
        <v>0</v>
      </c>
      <c r="F438" t="s">
        <v>1797</v>
      </c>
      <c r="G438" t="s">
        <v>1797</v>
      </c>
      <c r="H438">
        <v>0</v>
      </c>
      <c r="I438">
        <v>136.64485999999999</v>
      </c>
      <c r="J438">
        <v>0</v>
      </c>
      <c r="K438" t="s">
        <v>1797</v>
      </c>
      <c r="L438">
        <v>1.610965087371049</v>
      </c>
      <c r="M438">
        <v>9.06</v>
      </c>
      <c r="N438">
        <v>1.94</v>
      </c>
    </row>
    <row r="439" spans="1:14" x14ac:dyDescent="0.25">
      <c r="A439" s="1" t="s">
        <v>451</v>
      </c>
      <c r="B439" t="str">
        <f>HYPERLINK("https://www.suredividend.com/sure-analysis-research-database/","Distribution Solutions Group Inc")</f>
        <v>Distribution Solutions Group Inc</v>
      </c>
      <c r="C439" t="s">
        <v>1797</v>
      </c>
      <c r="D439">
        <v>31.09</v>
      </c>
      <c r="E439">
        <v>0</v>
      </c>
      <c r="F439" t="s">
        <v>1797</v>
      </c>
      <c r="G439" t="s">
        <v>1797</v>
      </c>
      <c r="H439">
        <v>0</v>
      </c>
      <c r="I439">
        <v>1456.4412070000001</v>
      </c>
      <c r="J439">
        <v>196.65692780178239</v>
      </c>
      <c r="K439">
        <v>0</v>
      </c>
      <c r="L439">
        <v>1.1902387468078679</v>
      </c>
      <c r="M439">
        <v>33.18</v>
      </c>
      <c r="N439">
        <v>18.09</v>
      </c>
    </row>
    <row r="440" spans="1:14" x14ac:dyDescent="0.25">
      <c r="A440" s="1" t="s">
        <v>452</v>
      </c>
      <c r="B440" t="str">
        <f>HYPERLINK("https://www.suredividend.com/sure-analysis-research-database/","Daseke Inc")</f>
        <v>Daseke Inc</v>
      </c>
      <c r="C440" t="s">
        <v>1798</v>
      </c>
      <c r="D440">
        <v>8.1</v>
      </c>
      <c r="E440">
        <v>0</v>
      </c>
      <c r="F440" t="s">
        <v>1797</v>
      </c>
      <c r="G440" t="s">
        <v>1797</v>
      </c>
      <c r="H440">
        <v>0</v>
      </c>
      <c r="I440">
        <v>376.66343000000001</v>
      </c>
      <c r="J440">
        <v>51.597730109589037</v>
      </c>
      <c r="K440">
        <v>0</v>
      </c>
      <c r="L440">
        <v>1.5909461277987369</v>
      </c>
      <c r="M440">
        <v>9.57</v>
      </c>
      <c r="N440">
        <v>4.0599999999999996</v>
      </c>
    </row>
    <row r="441" spans="1:14" x14ac:dyDescent="0.25">
      <c r="A441" s="1" t="s">
        <v>453</v>
      </c>
      <c r="B441" t="str">
        <f>HYPERLINK("https://www.suredividend.com/sure-analysis-research-database/","Viant Technology Inc")</f>
        <v>Viant Technology Inc</v>
      </c>
      <c r="C441" t="s">
        <v>1797</v>
      </c>
      <c r="D441">
        <v>6.91</v>
      </c>
      <c r="E441">
        <v>0</v>
      </c>
      <c r="F441" t="s">
        <v>1797</v>
      </c>
      <c r="G441" t="s">
        <v>1797</v>
      </c>
      <c r="H441">
        <v>0</v>
      </c>
      <c r="I441">
        <v>107.388953</v>
      </c>
      <c r="J441" t="s">
        <v>1797</v>
      </c>
      <c r="K441">
        <v>0</v>
      </c>
      <c r="L441">
        <v>1.5600885882007229</v>
      </c>
      <c r="M441">
        <v>7.61</v>
      </c>
      <c r="N441">
        <v>3.66</v>
      </c>
    </row>
    <row r="442" spans="1:14" x14ac:dyDescent="0.25">
      <c r="A442" s="1" t="s">
        <v>454</v>
      </c>
      <c r="B442" t="str">
        <f>HYPERLINK("https://www.suredividend.com/sure-analysis-research-database/","Solo Brands Inc")</f>
        <v>Solo Brands Inc</v>
      </c>
      <c r="C442" t="s">
        <v>1797</v>
      </c>
      <c r="D442">
        <v>3.06</v>
      </c>
      <c r="E442">
        <v>0</v>
      </c>
      <c r="F442" t="s">
        <v>1797</v>
      </c>
      <c r="G442" t="s">
        <v>1797</v>
      </c>
      <c r="H442">
        <v>0</v>
      </c>
      <c r="I442">
        <v>177.009996</v>
      </c>
      <c r="J442">
        <v>7.434583402914865</v>
      </c>
      <c r="K442">
        <v>0</v>
      </c>
      <c r="L442">
        <v>0.45723332802092198</v>
      </c>
      <c r="M442">
        <v>8.86</v>
      </c>
      <c r="N442">
        <v>3.05</v>
      </c>
    </row>
    <row r="443" spans="1:14" x14ac:dyDescent="0.25">
      <c r="A443" s="1" t="s">
        <v>455</v>
      </c>
      <c r="B443" t="str">
        <f>HYPERLINK("https://www.suredividend.com/sure-analysis-research-database/","Duolingo Inc")</f>
        <v>Duolingo Inc</v>
      </c>
      <c r="C443" t="s">
        <v>1797</v>
      </c>
      <c r="D443">
        <v>212.01</v>
      </c>
      <c r="E443">
        <v>0</v>
      </c>
      <c r="F443" t="s">
        <v>1797</v>
      </c>
      <c r="G443" t="s">
        <v>1797</v>
      </c>
      <c r="H443">
        <v>0</v>
      </c>
      <c r="I443">
        <v>7589.4786450000001</v>
      </c>
      <c r="J443" t="s">
        <v>1797</v>
      </c>
      <c r="K443">
        <v>0</v>
      </c>
      <c r="L443">
        <v>1.7880141493232471</v>
      </c>
      <c r="M443">
        <v>245.87</v>
      </c>
      <c r="N443">
        <v>79.239999999999995</v>
      </c>
    </row>
    <row r="444" spans="1:14" x14ac:dyDescent="0.25">
      <c r="A444" s="1" t="s">
        <v>456</v>
      </c>
      <c r="B444" t="str">
        <f>HYPERLINK("https://www.suredividend.com/sure-analysis-research-database/","Dynavax Technologies Corp.")</f>
        <v>Dynavax Technologies Corp.</v>
      </c>
      <c r="C444" t="s">
        <v>1802</v>
      </c>
      <c r="D444">
        <v>13.93</v>
      </c>
      <c r="E444">
        <v>0</v>
      </c>
      <c r="F444" t="s">
        <v>1797</v>
      </c>
      <c r="G444" t="s">
        <v>1797</v>
      </c>
      <c r="H444">
        <v>0</v>
      </c>
      <c r="I444">
        <v>1800.6036409999999</v>
      </c>
      <c r="J444">
        <v>29.531163638003701</v>
      </c>
      <c r="K444">
        <v>0</v>
      </c>
      <c r="L444">
        <v>0.92582975390601108</v>
      </c>
      <c r="M444">
        <v>15.15</v>
      </c>
      <c r="N444">
        <v>9.42</v>
      </c>
    </row>
    <row r="445" spans="1:14" x14ac:dyDescent="0.25">
      <c r="A445" s="1" t="s">
        <v>457</v>
      </c>
      <c r="B445" t="str">
        <f>HYPERLINK("https://www.suredividend.com/sure-analysis-DX/","Dynex Capital, Inc.")</f>
        <v>Dynex Capital, Inc.</v>
      </c>
      <c r="C445" t="s">
        <v>1799</v>
      </c>
      <c r="D445">
        <v>12.81</v>
      </c>
      <c r="E445">
        <v>0.1217798594847775</v>
      </c>
      <c r="F445">
        <v>0</v>
      </c>
      <c r="G445">
        <v>0</v>
      </c>
      <c r="H445">
        <v>1.4696326689332671</v>
      </c>
      <c r="I445">
        <v>725.62460199999998</v>
      </c>
      <c r="J445">
        <v>140.6249228837209</v>
      </c>
      <c r="K445">
        <v>15.08863109787749</v>
      </c>
      <c r="L445">
        <v>1.3031004671577009</v>
      </c>
      <c r="M445">
        <v>13.31</v>
      </c>
      <c r="N445">
        <v>9.36</v>
      </c>
    </row>
    <row r="446" spans="1:14" x14ac:dyDescent="0.25">
      <c r="A446" s="1" t="s">
        <v>458</v>
      </c>
      <c r="B446" t="str">
        <f>HYPERLINK("https://www.suredividend.com/sure-analysis-research-database/","Destination XL Group Inc")</f>
        <v>Destination XL Group Inc</v>
      </c>
      <c r="C446" t="s">
        <v>1801</v>
      </c>
      <c r="D446">
        <v>4.01</v>
      </c>
      <c r="E446">
        <v>0</v>
      </c>
      <c r="F446" t="s">
        <v>1797</v>
      </c>
      <c r="G446" t="s">
        <v>1797</v>
      </c>
      <c r="H446">
        <v>0</v>
      </c>
      <c r="I446">
        <v>241.330141</v>
      </c>
      <c r="J446">
        <v>7.799939909502263</v>
      </c>
      <c r="K446">
        <v>0</v>
      </c>
      <c r="L446">
        <v>1.5196957521857559</v>
      </c>
      <c r="M446">
        <v>7.57</v>
      </c>
      <c r="N446">
        <v>3.64</v>
      </c>
    </row>
    <row r="447" spans="1:14" x14ac:dyDescent="0.25">
      <c r="A447" s="1" t="s">
        <v>459</v>
      </c>
      <c r="B447" t="str">
        <f>HYPERLINK("https://www.suredividend.com/sure-analysis-research-database/","DXP Enterprises, Inc.")</f>
        <v>DXP Enterprises, Inc.</v>
      </c>
      <c r="C447" t="s">
        <v>1798</v>
      </c>
      <c r="D447">
        <v>31.69</v>
      </c>
      <c r="E447">
        <v>0</v>
      </c>
      <c r="F447" t="s">
        <v>1797</v>
      </c>
      <c r="G447" t="s">
        <v>1797</v>
      </c>
      <c r="H447">
        <v>0</v>
      </c>
      <c r="I447">
        <v>512.63049599999999</v>
      </c>
      <c r="J447">
        <v>8.5628225279369268</v>
      </c>
      <c r="K447">
        <v>0</v>
      </c>
      <c r="L447">
        <v>1.0766956830360881</v>
      </c>
      <c r="M447">
        <v>39.89</v>
      </c>
      <c r="N447">
        <v>22.06</v>
      </c>
    </row>
    <row r="448" spans="1:14" x14ac:dyDescent="0.25">
      <c r="A448" s="1" t="s">
        <v>460</v>
      </c>
      <c r="B448" t="str">
        <f>HYPERLINK("https://www.suredividend.com/sure-analysis-research-database/","Dycom Industries, Inc.")</f>
        <v>Dycom Industries, Inc.</v>
      </c>
      <c r="C448" t="s">
        <v>1798</v>
      </c>
      <c r="D448">
        <v>113.41</v>
      </c>
      <c r="E448">
        <v>0</v>
      </c>
      <c r="F448" t="s">
        <v>1797</v>
      </c>
      <c r="G448" t="s">
        <v>1797</v>
      </c>
      <c r="H448">
        <v>0</v>
      </c>
      <c r="I448">
        <v>3327.2607990000001</v>
      </c>
      <c r="J448">
        <v>15.10235754046497</v>
      </c>
      <c r="K448">
        <v>0</v>
      </c>
      <c r="L448">
        <v>1.01172838272043</v>
      </c>
      <c r="M448">
        <v>117.25</v>
      </c>
      <c r="N448">
        <v>77.33</v>
      </c>
    </row>
    <row r="449" spans="1:14" x14ac:dyDescent="0.25">
      <c r="A449" s="1" t="s">
        <v>461</v>
      </c>
      <c r="B449" t="str">
        <f>HYPERLINK("https://www.suredividend.com/sure-analysis-research-database/","Dyne Therapeutics Inc")</f>
        <v>Dyne Therapeutics Inc</v>
      </c>
      <c r="C449" t="s">
        <v>1797</v>
      </c>
      <c r="D449">
        <v>16.690000000000001</v>
      </c>
      <c r="E449">
        <v>0</v>
      </c>
      <c r="F449" t="s">
        <v>1797</v>
      </c>
      <c r="G449" t="s">
        <v>1797</v>
      </c>
      <c r="H449">
        <v>0</v>
      </c>
      <c r="I449">
        <v>1353.6616100000001</v>
      </c>
      <c r="J449">
        <v>0</v>
      </c>
      <c r="K449" t="s">
        <v>1797</v>
      </c>
      <c r="L449">
        <v>1.4267093053195969</v>
      </c>
      <c r="M449">
        <v>19.87</v>
      </c>
      <c r="N449">
        <v>6.4</v>
      </c>
    </row>
    <row r="450" spans="1:14" x14ac:dyDescent="0.25">
      <c r="A450" s="1" t="s">
        <v>462</v>
      </c>
      <c r="B450" t="str">
        <f>HYPERLINK("https://www.suredividend.com/sure-analysis-research-database/","DZS Inc")</f>
        <v>DZS Inc</v>
      </c>
      <c r="C450" t="s">
        <v>1803</v>
      </c>
      <c r="D450">
        <v>1.66</v>
      </c>
      <c r="E450">
        <v>0</v>
      </c>
      <c r="F450" t="s">
        <v>1797</v>
      </c>
      <c r="G450" t="s">
        <v>1797</v>
      </c>
      <c r="H450">
        <v>0</v>
      </c>
      <c r="I450">
        <v>51.725231000000001</v>
      </c>
      <c r="J450" t="s">
        <v>1797</v>
      </c>
      <c r="K450">
        <v>0</v>
      </c>
      <c r="L450">
        <v>1.7509932510954269</v>
      </c>
      <c r="M450">
        <v>13.32</v>
      </c>
      <c r="N450">
        <v>1.24</v>
      </c>
    </row>
    <row r="451" spans="1:14" x14ac:dyDescent="0.25">
      <c r="A451" s="1" t="s">
        <v>463</v>
      </c>
      <c r="B451" t="str">
        <f>HYPERLINK("https://www.suredividend.com/sure-analysis-research-database/","GrafTech International Ltd.")</f>
        <v>GrafTech International Ltd.</v>
      </c>
      <c r="C451" t="s">
        <v>1798</v>
      </c>
      <c r="D451">
        <v>1.7</v>
      </c>
      <c r="E451">
        <v>1.1764705619391001E-2</v>
      </c>
      <c r="F451" t="s">
        <v>1797</v>
      </c>
      <c r="G451" t="s">
        <v>1797</v>
      </c>
      <c r="H451">
        <v>1.9999999552965001E-2</v>
      </c>
      <c r="I451">
        <v>436.57342999999997</v>
      </c>
      <c r="J451">
        <v>34.95383746997598</v>
      </c>
      <c r="K451">
        <v>0.41152262454660488</v>
      </c>
      <c r="L451">
        <v>1.5941080158844649</v>
      </c>
      <c r="M451">
        <v>6.73</v>
      </c>
      <c r="N451">
        <v>1.56</v>
      </c>
    </row>
    <row r="452" spans="1:14" x14ac:dyDescent="0.25">
      <c r="A452" s="1" t="s">
        <v>464</v>
      </c>
      <c r="B452" t="str">
        <f>HYPERLINK("https://www.suredividend.com/sure-analysis-research-database/","Brinker International, Inc.")</f>
        <v>Brinker International, Inc.</v>
      </c>
      <c r="C452" t="s">
        <v>1801</v>
      </c>
      <c r="D452">
        <v>38.200000000000003</v>
      </c>
      <c r="E452">
        <v>0</v>
      </c>
      <c r="F452" t="s">
        <v>1797</v>
      </c>
      <c r="G452" t="s">
        <v>1797</v>
      </c>
      <c r="H452">
        <v>0</v>
      </c>
      <c r="I452">
        <v>1688.5585349999999</v>
      </c>
      <c r="J452">
        <v>12.061132389999999</v>
      </c>
      <c r="K452">
        <v>0</v>
      </c>
      <c r="L452">
        <v>1.170830910979836</v>
      </c>
      <c r="M452">
        <v>44.97</v>
      </c>
      <c r="N452">
        <v>28.23</v>
      </c>
    </row>
    <row r="453" spans="1:14" x14ac:dyDescent="0.25">
      <c r="A453" s="1" t="s">
        <v>465</v>
      </c>
      <c r="B453" t="str">
        <f>HYPERLINK("https://www.suredividend.com/sure-analysis-research-database/","Eventbrite Inc")</f>
        <v>Eventbrite Inc</v>
      </c>
      <c r="C453" t="s">
        <v>1803</v>
      </c>
      <c r="D453">
        <v>7.7</v>
      </c>
      <c r="E453">
        <v>0</v>
      </c>
      <c r="F453" t="s">
        <v>1797</v>
      </c>
      <c r="G453" t="s">
        <v>1797</v>
      </c>
      <c r="H453">
        <v>0</v>
      </c>
      <c r="I453">
        <v>654.19605000000001</v>
      </c>
      <c r="J453" t="s">
        <v>1797</v>
      </c>
      <c r="K453">
        <v>0</v>
      </c>
      <c r="L453">
        <v>1.5247865067201429</v>
      </c>
      <c r="M453">
        <v>11.91</v>
      </c>
      <c r="N453">
        <v>6.21</v>
      </c>
    </row>
    <row r="454" spans="1:14" x14ac:dyDescent="0.25">
      <c r="A454" s="1" t="s">
        <v>466</v>
      </c>
      <c r="B454" t="str">
        <f>HYPERLINK("https://www.suredividend.com/sure-analysis-research-database/","Eastern Bankshares Inc.")</f>
        <v>Eastern Bankshares Inc.</v>
      </c>
      <c r="C454" t="s">
        <v>1797</v>
      </c>
      <c r="D454">
        <v>13.87</v>
      </c>
      <c r="E454">
        <v>2.8835859906605001E-2</v>
      </c>
      <c r="F454" t="s">
        <v>1797</v>
      </c>
      <c r="G454" t="s">
        <v>1797</v>
      </c>
      <c r="H454">
        <v>0.39995337690461602</v>
      </c>
      <c r="I454">
        <v>2446.6680000000001</v>
      </c>
      <c r="J454" t="s">
        <v>1797</v>
      </c>
      <c r="K454" t="s">
        <v>1797</v>
      </c>
      <c r="L454">
        <v>1.632936798088507</v>
      </c>
      <c r="M454">
        <v>16.96</v>
      </c>
      <c r="N454">
        <v>9.43</v>
      </c>
    </row>
    <row r="455" spans="1:14" x14ac:dyDescent="0.25">
      <c r="A455" s="1" t="s">
        <v>467</v>
      </c>
      <c r="B455" t="str">
        <f>HYPERLINK("https://www.suredividend.com/sure-analysis-EBF/","Ennis Inc.")</f>
        <v>Ennis Inc.</v>
      </c>
      <c r="C455" t="s">
        <v>1798</v>
      </c>
      <c r="D455">
        <v>21.07</v>
      </c>
      <c r="E455">
        <v>4.7460844803037493E-2</v>
      </c>
      <c r="F455">
        <v>0</v>
      </c>
      <c r="G455">
        <v>2.1295687600135119E-2</v>
      </c>
      <c r="H455">
        <v>0.98280381802811811</v>
      </c>
      <c r="I455">
        <v>545.17990799999995</v>
      </c>
      <c r="J455">
        <v>12.21171731766867</v>
      </c>
      <c r="K455">
        <v>0.57473907487024456</v>
      </c>
      <c r="L455">
        <v>0.58489036627255309</v>
      </c>
      <c r="M455">
        <v>22.91</v>
      </c>
      <c r="N455">
        <v>18.28</v>
      </c>
    </row>
    <row r="456" spans="1:14" x14ac:dyDescent="0.25">
      <c r="A456" s="1" t="s">
        <v>468</v>
      </c>
      <c r="B456" t="str">
        <f>HYPERLINK("https://www.suredividend.com/sure-analysis-research-database/","Ebix Inc.")</f>
        <v>Ebix Inc.</v>
      </c>
      <c r="C456" t="s">
        <v>1803</v>
      </c>
      <c r="D456">
        <v>1.1599999999999999</v>
      </c>
      <c r="E456">
        <v>0</v>
      </c>
      <c r="F456" t="s">
        <v>1797</v>
      </c>
      <c r="G456" t="s">
        <v>1797</v>
      </c>
      <c r="H456">
        <v>0</v>
      </c>
      <c r="I456">
        <v>0</v>
      </c>
      <c r="J456">
        <v>0</v>
      </c>
      <c r="K456">
        <v>0</v>
      </c>
    </row>
    <row r="457" spans="1:14" x14ac:dyDescent="0.25">
      <c r="A457" s="1" t="s">
        <v>469</v>
      </c>
      <c r="B457" t="str">
        <f>HYPERLINK("https://www.suredividend.com/sure-analysis-research-database/","Emergent Biosolutions Inc")</f>
        <v>Emergent Biosolutions Inc</v>
      </c>
      <c r="C457" t="s">
        <v>1802</v>
      </c>
      <c r="D457">
        <v>2.0499999999999998</v>
      </c>
      <c r="E457">
        <v>0</v>
      </c>
      <c r="F457" t="s">
        <v>1797</v>
      </c>
      <c r="G457" t="s">
        <v>1797</v>
      </c>
      <c r="H457">
        <v>0</v>
      </c>
      <c r="I457">
        <v>106.363016</v>
      </c>
      <c r="J457" t="s">
        <v>1797</v>
      </c>
      <c r="K457">
        <v>0</v>
      </c>
      <c r="L457">
        <v>2.0791773775612832</v>
      </c>
      <c r="M457">
        <v>16.66</v>
      </c>
      <c r="N457">
        <v>1.81</v>
      </c>
    </row>
    <row r="458" spans="1:14" x14ac:dyDescent="0.25">
      <c r="A458" s="1" t="s">
        <v>470</v>
      </c>
      <c r="B458" t="str">
        <f>HYPERLINK("https://www.suredividend.com/sure-analysis-EBTC/","Enterprise Bancorp, Inc.")</f>
        <v>Enterprise Bancorp, Inc.</v>
      </c>
      <c r="C458" t="s">
        <v>1800</v>
      </c>
      <c r="D458">
        <v>28.92</v>
      </c>
      <c r="E458">
        <v>3.18118948824343E-2</v>
      </c>
      <c r="F458" t="s">
        <v>1797</v>
      </c>
      <c r="G458" t="s">
        <v>1797</v>
      </c>
      <c r="H458">
        <v>0.89823206111232112</v>
      </c>
      <c r="I458">
        <v>354.47238199999998</v>
      </c>
      <c r="J458">
        <v>0</v>
      </c>
      <c r="K458" t="s">
        <v>1797</v>
      </c>
      <c r="L458">
        <v>0.77142819694630105</v>
      </c>
      <c r="M458">
        <v>34.72</v>
      </c>
      <c r="N458">
        <v>24.59</v>
      </c>
    </row>
    <row r="459" spans="1:14" x14ac:dyDescent="0.25">
      <c r="A459" s="1" t="s">
        <v>471</v>
      </c>
      <c r="B459" t="str">
        <f>HYPERLINK("https://www.suredividend.com/sure-analysis-research-database/","Encore Capital Group, Inc.")</f>
        <v>Encore Capital Group, Inc.</v>
      </c>
      <c r="C459" t="s">
        <v>1800</v>
      </c>
      <c r="D459">
        <v>49.23</v>
      </c>
      <c r="E459">
        <v>0</v>
      </c>
      <c r="F459" t="s">
        <v>1797</v>
      </c>
      <c r="G459" t="s">
        <v>1797</v>
      </c>
      <c r="H459">
        <v>0</v>
      </c>
      <c r="I459">
        <v>1158.3128300000001</v>
      </c>
      <c r="J459" t="s">
        <v>1797</v>
      </c>
      <c r="K459">
        <v>0</v>
      </c>
      <c r="L459">
        <v>1.1432174352876501</v>
      </c>
      <c r="M459">
        <v>58.46</v>
      </c>
      <c r="N459">
        <v>34.74</v>
      </c>
    </row>
    <row r="460" spans="1:14" x14ac:dyDescent="0.25">
      <c r="A460" s="1" t="s">
        <v>472</v>
      </c>
      <c r="B460" t="str">
        <f>HYPERLINK("https://www.suredividend.com/sure-analysis-research-database/","Ecovyst Inc")</f>
        <v>Ecovyst Inc</v>
      </c>
      <c r="C460" t="s">
        <v>1797</v>
      </c>
      <c r="D460">
        <v>8.9499999999999993</v>
      </c>
      <c r="E460">
        <v>0</v>
      </c>
      <c r="F460" t="s">
        <v>1797</v>
      </c>
      <c r="G460" t="s">
        <v>1797</v>
      </c>
      <c r="H460">
        <v>0</v>
      </c>
      <c r="I460">
        <v>1039.24621</v>
      </c>
      <c r="J460">
        <v>15.633169521037351</v>
      </c>
      <c r="K460">
        <v>0</v>
      </c>
      <c r="L460">
        <v>1.098288749698809</v>
      </c>
      <c r="M460">
        <v>12.35</v>
      </c>
      <c r="N460">
        <v>8.26</v>
      </c>
    </row>
    <row r="461" spans="1:14" x14ac:dyDescent="0.25">
      <c r="A461" s="1" t="s">
        <v>473</v>
      </c>
      <c r="B461" t="str">
        <f>HYPERLINK("https://www.suredividend.com/sure-analysis-research-database/","Editas Medicine Inc")</f>
        <v>Editas Medicine Inc</v>
      </c>
      <c r="C461" t="s">
        <v>1802</v>
      </c>
      <c r="D461">
        <v>9.07</v>
      </c>
      <c r="E461">
        <v>0</v>
      </c>
      <c r="F461" t="s">
        <v>1797</v>
      </c>
      <c r="G461" t="s">
        <v>1797</v>
      </c>
      <c r="H461">
        <v>0</v>
      </c>
      <c r="I461">
        <v>740.78035</v>
      </c>
      <c r="J461" t="s">
        <v>1797</v>
      </c>
      <c r="K461">
        <v>0</v>
      </c>
      <c r="L461">
        <v>1.766355136656353</v>
      </c>
      <c r="M461">
        <v>11.93</v>
      </c>
      <c r="N461">
        <v>6.08</v>
      </c>
    </row>
    <row r="462" spans="1:14" x14ac:dyDescent="0.25">
      <c r="A462" s="1" t="s">
        <v>474</v>
      </c>
      <c r="B462" t="str">
        <f>HYPERLINK("https://www.suredividend.com/sure-analysis-research-database/","Excelerate Energy Inc")</f>
        <v>Excelerate Energy Inc</v>
      </c>
      <c r="C462" t="s">
        <v>1805</v>
      </c>
      <c r="D462">
        <v>14.71</v>
      </c>
      <c r="E462">
        <v>6.7842220897570008E-3</v>
      </c>
      <c r="F462" t="s">
        <v>1797</v>
      </c>
      <c r="G462" t="s">
        <v>1797</v>
      </c>
      <c r="H462">
        <v>9.9795906940326001E-2</v>
      </c>
      <c r="I462">
        <v>386.30175200000002</v>
      </c>
      <c r="J462">
        <v>19.98146960430352</v>
      </c>
      <c r="K462">
        <v>0.241461183015548</v>
      </c>
      <c r="L462">
        <v>1.198043311348886</v>
      </c>
      <c r="M462">
        <v>25.21</v>
      </c>
      <c r="N462">
        <v>13.68</v>
      </c>
    </row>
    <row r="463" spans="1:14" x14ac:dyDescent="0.25">
      <c r="A463" s="1" t="s">
        <v>475</v>
      </c>
      <c r="B463" t="str">
        <f>HYPERLINK("https://www.suredividend.com/sure-analysis-EFC/","Ellington Financial Inc")</f>
        <v>Ellington Financial Inc</v>
      </c>
      <c r="C463" t="s">
        <v>1800</v>
      </c>
      <c r="D463">
        <v>12.84</v>
      </c>
      <c r="E463">
        <v>0.14018691588785051</v>
      </c>
      <c r="F463">
        <v>-0.4</v>
      </c>
      <c r="G463">
        <v>-9.7119548552565771E-2</v>
      </c>
      <c r="H463">
        <v>1.688684450018556</v>
      </c>
      <c r="I463">
        <v>873.33961499999998</v>
      </c>
      <c r="J463">
        <v>12.2765236418842</v>
      </c>
      <c r="K463">
        <v>1.5782097663724819</v>
      </c>
      <c r="L463">
        <v>1.159970484206595</v>
      </c>
      <c r="M463">
        <v>13.25</v>
      </c>
      <c r="N463">
        <v>9.6199999999999992</v>
      </c>
    </row>
    <row r="464" spans="1:14" x14ac:dyDescent="0.25">
      <c r="A464" s="1" t="s">
        <v>476</v>
      </c>
      <c r="B464" t="str">
        <f>HYPERLINK("https://www.suredividend.com/sure-analysis-research-database/","Enterprise Financial Services Corp.")</f>
        <v>Enterprise Financial Services Corp.</v>
      </c>
      <c r="C464" t="s">
        <v>1800</v>
      </c>
      <c r="D464">
        <v>43.31</v>
      </c>
      <c r="E464">
        <v>2.2681586589345E-2</v>
      </c>
      <c r="F464">
        <v>4.1666666666666741E-2</v>
      </c>
      <c r="G464">
        <v>0.1229551070568209</v>
      </c>
      <c r="H464">
        <v>0.98233951518456608</v>
      </c>
      <c r="I464">
        <v>1619.1725449999999</v>
      </c>
      <c r="J464">
        <v>7.8684258741574791</v>
      </c>
      <c r="K464">
        <v>0.17893251642706121</v>
      </c>
      <c r="L464">
        <v>1.1463666833183459</v>
      </c>
      <c r="M464">
        <v>54.06</v>
      </c>
      <c r="N464">
        <v>32.6</v>
      </c>
    </row>
    <row r="465" spans="1:14" x14ac:dyDescent="0.25">
      <c r="A465" s="1" t="s">
        <v>477</v>
      </c>
      <c r="B465" t="str">
        <f>HYPERLINK("https://www.suredividend.com/sure-analysis-research-database/","eGain Corp")</f>
        <v>eGain Corp</v>
      </c>
      <c r="C465" t="s">
        <v>1803</v>
      </c>
      <c r="D465">
        <v>7.69</v>
      </c>
      <c r="E465">
        <v>0</v>
      </c>
      <c r="F465" t="s">
        <v>1797</v>
      </c>
      <c r="G465" t="s">
        <v>1797</v>
      </c>
      <c r="H465">
        <v>0</v>
      </c>
      <c r="I465">
        <v>242.12108000000001</v>
      </c>
      <c r="J465">
        <v>51.285973382757888</v>
      </c>
      <c r="K465">
        <v>0</v>
      </c>
      <c r="L465">
        <v>0.87233227481459508</v>
      </c>
      <c r="M465">
        <v>10.35</v>
      </c>
      <c r="N465">
        <v>5.61</v>
      </c>
    </row>
    <row r="466" spans="1:14" x14ac:dyDescent="0.25">
      <c r="A466" s="1" t="s">
        <v>478</v>
      </c>
      <c r="B466" t="str">
        <f>HYPERLINK("https://www.suredividend.com/sure-analysis-research-database/","Eagle Bancorp Inc (MD)")</f>
        <v>Eagle Bancorp Inc (MD)</v>
      </c>
      <c r="C466" t="s">
        <v>1800</v>
      </c>
      <c r="D466">
        <v>27.26</v>
      </c>
      <c r="E466">
        <v>6.2503425958175998E-2</v>
      </c>
      <c r="F466" t="s">
        <v>1797</v>
      </c>
      <c r="G466" t="s">
        <v>1797</v>
      </c>
      <c r="H466">
        <v>1.7038433916199009</v>
      </c>
      <c r="I466">
        <v>815.78772100000003</v>
      </c>
      <c r="J466">
        <v>6.6593828779938287</v>
      </c>
      <c r="K466">
        <v>0.42917969562214131</v>
      </c>
      <c r="L466">
        <v>1.676968079917142</v>
      </c>
      <c r="M466">
        <v>43.14</v>
      </c>
      <c r="N466">
        <v>14.92</v>
      </c>
    </row>
    <row r="467" spans="1:14" x14ac:dyDescent="0.25">
      <c r="A467" s="1" t="s">
        <v>479</v>
      </c>
      <c r="B467" t="str">
        <f>HYPERLINK("https://www.suredividend.com/sure-analysis-research-database/","8X8 Inc.")</f>
        <v>8X8 Inc.</v>
      </c>
      <c r="C467" t="s">
        <v>1803</v>
      </c>
      <c r="D467">
        <v>3.51</v>
      </c>
      <c r="E467">
        <v>0</v>
      </c>
      <c r="F467" t="s">
        <v>1797</v>
      </c>
      <c r="G467" t="s">
        <v>1797</v>
      </c>
      <c r="H467">
        <v>0</v>
      </c>
      <c r="I467">
        <v>428.79405000000003</v>
      </c>
      <c r="J467" t="s">
        <v>1797</v>
      </c>
      <c r="K467">
        <v>0</v>
      </c>
      <c r="L467">
        <v>2.9841149460571481</v>
      </c>
      <c r="M467">
        <v>6.49</v>
      </c>
      <c r="N467">
        <v>2.15</v>
      </c>
    </row>
    <row r="468" spans="1:14" x14ac:dyDescent="0.25">
      <c r="A468" s="1" t="s">
        <v>480</v>
      </c>
      <c r="B468" t="str">
        <f>HYPERLINK("https://www.suredividend.com/sure-analysis-research-database/","Edgio Inc")</f>
        <v>Edgio Inc</v>
      </c>
      <c r="C468" t="s">
        <v>1797</v>
      </c>
      <c r="D468">
        <v>0.25009999999999999</v>
      </c>
      <c r="E468">
        <v>0</v>
      </c>
      <c r="F468" t="s">
        <v>1797</v>
      </c>
      <c r="G468" t="s">
        <v>1797</v>
      </c>
      <c r="H468">
        <v>0</v>
      </c>
      <c r="I468">
        <v>58.32602</v>
      </c>
      <c r="J468" t="s">
        <v>1797</v>
      </c>
      <c r="K468">
        <v>0</v>
      </c>
      <c r="L468">
        <v>1.513614497247503</v>
      </c>
      <c r="M468">
        <v>1.79</v>
      </c>
      <c r="N468">
        <v>0.24079999999999999</v>
      </c>
    </row>
    <row r="469" spans="1:14" x14ac:dyDescent="0.25">
      <c r="A469" s="1" t="s">
        <v>481</v>
      </c>
      <c r="B469" t="str">
        <f>HYPERLINK("https://www.suredividend.com/sure-analysis-research-database/","Eagle Bulk Shipping Inc")</f>
        <v>Eagle Bulk Shipping Inc</v>
      </c>
      <c r="C469" t="s">
        <v>1798</v>
      </c>
      <c r="D469">
        <v>53.34</v>
      </c>
      <c r="E469">
        <v>2.5620128791669E-2</v>
      </c>
      <c r="F469" t="s">
        <v>1797</v>
      </c>
      <c r="G469" t="s">
        <v>1797</v>
      </c>
      <c r="H469">
        <v>1.3665776697476619</v>
      </c>
      <c r="I469">
        <v>529.77789399999995</v>
      </c>
      <c r="J469">
        <v>13.46562016013014</v>
      </c>
      <c r="K469">
        <v>0.47782436005163009</v>
      </c>
      <c r="L469">
        <v>0.59715317429192605</v>
      </c>
      <c r="M469">
        <v>65.13</v>
      </c>
      <c r="N469">
        <v>38.57</v>
      </c>
    </row>
    <row r="470" spans="1:14" x14ac:dyDescent="0.25">
      <c r="A470" s="1" t="s">
        <v>482</v>
      </c>
      <c r="B470" t="str">
        <f>HYPERLINK("https://www.suredividend.com/sure-analysis-research-database/","Eagle Pharmaceuticals Inc")</f>
        <v>Eagle Pharmaceuticals Inc</v>
      </c>
      <c r="C470" t="s">
        <v>1802</v>
      </c>
      <c r="D470">
        <v>4.53</v>
      </c>
      <c r="E470">
        <v>0</v>
      </c>
      <c r="F470" t="s">
        <v>1797</v>
      </c>
      <c r="G470" t="s">
        <v>1797</v>
      </c>
      <c r="H470">
        <v>0</v>
      </c>
      <c r="I470">
        <v>58.830978999999999</v>
      </c>
      <c r="J470">
        <v>4.9239185328088384</v>
      </c>
      <c r="K470">
        <v>0</v>
      </c>
      <c r="L470">
        <v>0.93605893760592807</v>
      </c>
      <c r="M470">
        <v>34.56</v>
      </c>
      <c r="N470">
        <v>4.34</v>
      </c>
    </row>
    <row r="471" spans="1:14" x14ac:dyDescent="0.25">
      <c r="A471" s="1" t="s">
        <v>483</v>
      </c>
      <c r="B471" t="str">
        <f>HYPERLINK("https://www.suredividend.com/sure-analysis-research-database/","VAALCO Energy, Inc.")</f>
        <v>VAALCO Energy, Inc.</v>
      </c>
      <c r="C471" t="s">
        <v>1807</v>
      </c>
      <c r="D471">
        <v>4.46</v>
      </c>
      <c r="E471">
        <v>5.4901463665001003E-2</v>
      </c>
      <c r="F471" t="s">
        <v>1797</v>
      </c>
      <c r="G471" t="s">
        <v>1797</v>
      </c>
      <c r="H471">
        <v>0.24486052794590801</v>
      </c>
      <c r="I471">
        <v>469.00805600000001</v>
      </c>
      <c r="J471">
        <v>13.99021764168954</v>
      </c>
      <c r="K471">
        <v>0.77561142840008868</v>
      </c>
      <c r="L471">
        <v>1.0369609426684641</v>
      </c>
      <c r="M471">
        <v>4.97</v>
      </c>
      <c r="N471">
        <v>3.36</v>
      </c>
    </row>
    <row r="472" spans="1:14" x14ac:dyDescent="0.25">
      <c r="A472" s="1" t="s">
        <v>484</v>
      </c>
      <c r="B472" t="str">
        <f>HYPERLINK("https://www.suredividend.com/sure-analysis-research-database/","eHealth Inc")</f>
        <v>eHealth Inc</v>
      </c>
      <c r="C472" t="s">
        <v>1800</v>
      </c>
      <c r="D472">
        <v>7.32</v>
      </c>
      <c r="E472">
        <v>0</v>
      </c>
      <c r="F472" t="s">
        <v>1797</v>
      </c>
      <c r="G472" t="s">
        <v>1797</v>
      </c>
      <c r="H472">
        <v>0</v>
      </c>
      <c r="I472">
        <v>207.63049000000001</v>
      </c>
      <c r="J472" t="s">
        <v>1797</v>
      </c>
      <c r="K472">
        <v>0</v>
      </c>
      <c r="L472">
        <v>2.225841170706865</v>
      </c>
      <c r="M472">
        <v>10.57</v>
      </c>
      <c r="N472">
        <v>4.8099999999999996</v>
      </c>
    </row>
    <row r="473" spans="1:14" x14ac:dyDescent="0.25">
      <c r="A473" s="1" t="s">
        <v>485</v>
      </c>
      <c r="B473" t="str">
        <f>HYPERLINK("https://www.suredividend.com/sure-analysis-research-database/","Employers Holdings Inc")</f>
        <v>Employers Holdings Inc</v>
      </c>
      <c r="C473" t="s">
        <v>1800</v>
      </c>
      <c r="D473">
        <v>39.33</v>
      </c>
      <c r="E473">
        <v>2.7675151950058999E-2</v>
      </c>
      <c r="F473">
        <v>-0.77600000000000002</v>
      </c>
      <c r="G473">
        <v>4.9414522844583919E-2</v>
      </c>
      <c r="H473">
        <v>1.0884637261958261</v>
      </c>
      <c r="I473">
        <v>1011.594226</v>
      </c>
      <c r="J473">
        <v>8.451079585714286</v>
      </c>
      <c r="K473">
        <v>0.2451494878819428</v>
      </c>
      <c r="L473">
        <v>0.55161896984093206</v>
      </c>
      <c r="M473">
        <v>44.87</v>
      </c>
      <c r="N473">
        <v>34.93</v>
      </c>
    </row>
    <row r="474" spans="1:14" x14ac:dyDescent="0.25">
      <c r="A474" s="1" t="s">
        <v>486</v>
      </c>
      <c r="B474" t="str">
        <f>HYPERLINK("https://www.suredividend.com/sure-analysis-research-database/","Eiger BioPharmaceuticals Inc")</f>
        <v>Eiger BioPharmaceuticals Inc</v>
      </c>
      <c r="C474" t="s">
        <v>1802</v>
      </c>
      <c r="D474">
        <v>7.36</v>
      </c>
      <c r="E474">
        <v>0</v>
      </c>
      <c r="F474" t="s">
        <v>1797</v>
      </c>
      <c r="G474" t="s">
        <v>1797</v>
      </c>
      <c r="H474">
        <v>0</v>
      </c>
      <c r="I474">
        <v>326.67127399999998</v>
      </c>
      <c r="J474" t="s">
        <v>1797</v>
      </c>
      <c r="K474">
        <v>0</v>
      </c>
      <c r="L474">
        <v>1.8130552442604779</v>
      </c>
      <c r="M474">
        <v>89.4</v>
      </c>
      <c r="N474">
        <v>6</v>
      </c>
    </row>
    <row r="475" spans="1:14" x14ac:dyDescent="0.25">
      <c r="A475" s="1" t="s">
        <v>487</v>
      </c>
      <c r="B475" t="str">
        <f>HYPERLINK("https://www.suredividend.com/sure-analysis-research-database/","e.l.f. Beauty Inc")</f>
        <v>e.l.f. Beauty Inc</v>
      </c>
      <c r="C475" t="s">
        <v>1804</v>
      </c>
      <c r="D475">
        <v>157.61000000000001</v>
      </c>
      <c r="E475">
        <v>0</v>
      </c>
      <c r="F475" t="s">
        <v>1797</v>
      </c>
      <c r="G475" t="s">
        <v>1797</v>
      </c>
      <c r="H475">
        <v>0</v>
      </c>
      <c r="I475">
        <v>8699.9490640000004</v>
      </c>
      <c r="J475">
        <v>71.546222125181956</v>
      </c>
      <c r="K475">
        <v>0</v>
      </c>
      <c r="L475">
        <v>1.48303632800644</v>
      </c>
      <c r="M475">
        <v>161.06</v>
      </c>
      <c r="N475">
        <v>52.55</v>
      </c>
    </row>
    <row r="476" spans="1:14" x14ac:dyDescent="0.25">
      <c r="A476" s="1" t="s">
        <v>488</v>
      </c>
      <c r="B476" t="str">
        <f>HYPERLINK("https://www.suredividend.com/sure-analysis-research-database/","Elme Communities")</f>
        <v>Elme Communities</v>
      </c>
      <c r="C476" t="s">
        <v>1797</v>
      </c>
      <c r="D476">
        <v>14.77</v>
      </c>
      <c r="E476">
        <v>4.7872720056163012E-2</v>
      </c>
      <c r="F476" t="s">
        <v>1797</v>
      </c>
      <c r="G476" t="s">
        <v>1797</v>
      </c>
      <c r="H476">
        <v>0.70708007522953109</v>
      </c>
      <c r="I476">
        <v>1297.2876200000001</v>
      </c>
      <c r="J476" t="s">
        <v>1797</v>
      </c>
      <c r="K476" t="s">
        <v>1797</v>
      </c>
      <c r="L476">
        <v>0.93184945420923404</v>
      </c>
      <c r="M476">
        <v>18.920000000000002</v>
      </c>
      <c r="N476">
        <v>12.29</v>
      </c>
    </row>
    <row r="477" spans="1:14" x14ac:dyDescent="0.25">
      <c r="A477" s="1" t="s">
        <v>489</v>
      </c>
      <c r="B477" t="str">
        <f>HYPERLINK("https://www.suredividend.com/sure-analysis-research-database/","Embecta Corp")</f>
        <v>Embecta Corp</v>
      </c>
      <c r="C477" t="s">
        <v>1797</v>
      </c>
      <c r="D477">
        <v>17.25</v>
      </c>
      <c r="E477">
        <v>3.4231786827966001E-2</v>
      </c>
      <c r="F477" t="s">
        <v>1797</v>
      </c>
      <c r="G477" t="s">
        <v>1797</v>
      </c>
      <c r="H477">
        <v>0.59049832278242809</v>
      </c>
      <c r="I477">
        <v>993.15212099999997</v>
      </c>
      <c r="J477">
        <v>14.10727444602273</v>
      </c>
      <c r="K477">
        <v>0.48401501867412139</v>
      </c>
      <c r="L477">
        <v>1.209162237831239</v>
      </c>
      <c r="M477">
        <v>32.700000000000003</v>
      </c>
      <c r="N477">
        <v>12.62</v>
      </c>
    </row>
    <row r="478" spans="1:14" x14ac:dyDescent="0.25">
      <c r="A478" s="1" t="s">
        <v>490</v>
      </c>
      <c r="B478" t="str">
        <f>HYPERLINK("https://www.suredividend.com/sure-analysis-research-database/","Emcor Group, Inc.")</f>
        <v>Emcor Group, Inc.</v>
      </c>
      <c r="C478" t="s">
        <v>1798</v>
      </c>
      <c r="D478">
        <v>218.98</v>
      </c>
      <c r="E478">
        <v>3.2837606889060001E-3</v>
      </c>
      <c r="F478">
        <v>0.2</v>
      </c>
      <c r="G478">
        <v>0.17607902252467361</v>
      </c>
      <c r="H478">
        <v>0.71907791565676904</v>
      </c>
      <c r="I478">
        <v>10301.791471</v>
      </c>
      <c r="J478">
        <v>18.806542573346452</v>
      </c>
      <c r="K478">
        <v>6.2637449099021691E-2</v>
      </c>
      <c r="L478">
        <v>0.88575333239134002</v>
      </c>
      <c r="M478">
        <v>227.11</v>
      </c>
      <c r="N478">
        <v>142.09</v>
      </c>
    </row>
    <row r="479" spans="1:14" x14ac:dyDescent="0.25">
      <c r="A479" s="1" t="s">
        <v>491</v>
      </c>
      <c r="B479" t="str">
        <f>HYPERLINK("https://www.suredividend.com/sure-analysis-research-database/","Enfusion Inc")</f>
        <v>Enfusion Inc</v>
      </c>
      <c r="C479" t="s">
        <v>1797</v>
      </c>
      <c r="D479">
        <v>8.7799999999999994</v>
      </c>
      <c r="E479">
        <v>0</v>
      </c>
      <c r="F479" t="s">
        <v>1797</v>
      </c>
      <c r="G479" t="s">
        <v>1797</v>
      </c>
      <c r="H479">
        <v>0</v>
      </c>
      <c r="I479">
        <v>775.09497599999997</v>
      </c>
      <c r="J479">
        <v>131.4611560040706</v>
      </c>
      <c r="K479">
        <v>0</v>
      </c>
      <c r="L479">
        <v>1.0022185721212</v>
      </c>
      <c r="M479">
        <v>12.32</v>
      </c>
      <c r="N479">
        <v>7.37</v>
      </c>
    </row>
    <row r="480" spans="1:14" x14ac:dyDescent="0.25">
      <c r="A480" s="1" t="s">
        <v>492</v>
      </c>
      <c r="B480" t="str">
        <f>HYPERLINK("https://www.suredividend.com/sure-analysis-research-database/","Enochian Biosciences Inc")</f>
        <v>Enochian Biosciences Inc</v>
      </c>
      <c r="C480" t="s">
        <v>1802</v>
      </c>
      <c r="D480">
        <v>0.70000000000000007</v>
      </c>
      <c r="E480">
        <v>0</v>
      </c>
      <c r="F480" t="s">
        <v>1797</v>
      </c>
      <c r="G480" t="s">
        <v>1797</v>
      </c>
      <c r="H480">
        <v>0</v>
      </c>
      <c r="I480">
        <v>40.798513999999997</v>
      </c>
      <c r="J480">
        <v>0</v>
      </c>
      <c r="K480" t="s">
        <v>1797</v>
      </c>
      <c r="L480">
        <v>1.377727815675019</v>
      </c>
      <c r="M480">
        <v>2.99</v>
      </c>
      <c r="N480">
        <v>0.39279999999999998</v>
      </c>
    </row>
    <row r="481" spans="1:14" x14ac:dyDescent="0.25">
      <c r="A481" s="1" t="s">
        <v>493</v>
      </c>
      <c r="B481" t="str">
        <f>HYPERLINK("https://www.suredividend.com/sure-analysis-research-database/","Energizer Holdings Inc")</f>
        <v>Energizer Holdings Inc</v>
      </c>
      <c r="C481" t="s">
        <v>1798</v>
      </c>
      <c r="D481">
        <v>32.11</v>
      </c>
      <c r="E481">
        <v>3.6863797669219003E-2</v>
      </c>
      <c r="F481">
        <v>0</v>
      </c>
      <c r="G481">
        <v>0</v>
      </c>
      <c r="H481">
        <v>1.183696543158633</v>
      </c>
      <c r="I481">
        <v>2304.5569839999998</v>
      </c>
      <c r="J481">
        <v>16.402540813807828</v>
      </c>
      <c r="K481">
        <v>0.61015285729826452</v>
      </c>
      <c r="L481">
        <v>0.92385016780516804</v>
      </c>
      <c r="M481">
        <v>36.64</v>
      </c>
      <c r="N481">
        <v>27.41</v>
      </c>
    </row>
    <row r="482" spans="1:14" x14ac:dyDescent="0.25">
      <c r="A482" s="1" t="s">
        <v>494</v>
      </c>
      <c r="B482" t="str">
        <f>HYPERLINK("https://www.suredividend.com/sure-analysis-research-database/","Enersys")</f>
        <v>Enersys</v>
      </c>
      <c r="C482" t="s">
        <v>1798</v>
      </c>
      <c r="D482">
        <v>97.95</v>
      </c>
      <c r="E482">
        <v>8.1424176122430001E-3</v>
      </c>
      <c r="F482">
        <v>0.28571428571428559</v>
      </c>
      <c r="G482">
        <v>5.1547496797280427E-2</v>
      </c>
      <c r="H482">
        <v>0.79754980511920803</v>
      </c>
      <c r="I482">
        <v>3957.094881</v>
      </c>
      <c r="J482">
        <v>16.325591748079511</v>
      </c>
      <c r="K482">
        <v>0.13680099573228269</v>
      </c>
      <c r="L482">
        <v>1.401372467261413</v>
      </c>
      <c r="M482">
        <v>112.81</v>
      </c>
      <c r="N482">
        <v>77.459999999999994</v>
      </c>
    </row>
    <row r="483" spans="1:14" x14ac:dyDescent="0.25">
      <c r="A483" s="1" t="s">
        <v>495</v>
      </c>
      <c r="B483" t="str">
        <f>HYPERLINK("https://www.suredividend.com/sure-analysis-ENSG/","Ensign Group Inc")</f>
        <v>Ensign Group Inc</v>
      </c>
      <c r="C483" t="s">
        <v>1802</v>
      </c>
      <c r="D483">
        <v>117.37</v>
      </c>
      <c r="E483">
        <v>2.044815540598109E-3</v>
      </c>
      <c r="F483">
        <v>4.3478260869565188E-2</v>
      </c>
      <c r="G483">
        <v>4.7831688302757407E-2</v>
      </c>
      <c r="H483">
        <v>0.232105811800601</v>
      </c>
      <c r="I483">
        <v>6625.7991739999998</v>
      </c>
      <c r="J483">
        <v>26.69766246966908</v>
      </c>
      <c r="K483">
        <v>5.348060179737351E-2</v>
      </c>
      <c r="L483">
        <v>0.57671655204319605</v>
      </c>
      <c r="M483">
        <v>117.57</v>
      </c>
      <c r="N483">
        <v>85.14</v>
      </c>
    </row>
    <row r="484" spans="1:14" x14ac:dyDescent="0.25">
      <c r="A484" s="1" t="s">
        <v>496</v>
      </c>
      <c r="B484" t="str">
        <f>HYPERLINK("https://www.suredividend.com/sure-analysis-research-database/","Enanta Pharmaceuticals Inc")</f>
        <v>Enanta Pharmaceuticals Inc</v>
      </c>
      <c r="C484" t="s">
        <v>1802</v>
      </c>
      <c r="D484">
        <v>11.21</v>
      </c>
      <c r="E484">
        <v>0</v>
      </c>
      <c r="F484" t="s">
        <v>1797</v>
      </c>
      <c r="G484" t="s">
        <v>1797</v>
      </c>
      <c r="H484">
        <v>0</v>
      </c>
      <c r="I484">
        <v>236.070549</v>
      </c>
      <c r="J484" t="s">
        <v>1797</v>
      </c>
      <c r="K484">
        <v>0</v>
      </c>
      <c r="L484">
        <v>1.0265955812025409</v>
      </c>
      <c r="M484">
        <v>62.06</v>
      </c>
      <c r="N484">
        <v>8.08</v>
      </c>
    </row>
    <row r="485" spans="1:14" x14ac:dyDescent="0.25">
      <c r="A485" s="1" t="s">
        <v>497</v>
      </c>
      <c r="B485" t="str">
        <f>HYPERLINK("https://www.suredividend.com/sure-analysis-research-database/","Envestnet Inc.")</f>
        <v>Envestnet Inc.</v>
      </c>
      <c r="C485" t="s">
        <v>1803</v>
      </c>
      <c r="D485">
        <v>50.28</v>
      </c>
      <c r="E485">
        <v>0</v>
      </c>
      <c r="F485" t="s">
        <v>1797</v>
      </c>
      <c r="G485" t="s">
        <v>1797</v>
      </c>
      <c r="H485">
        <v>0</v>
      </c>
      <c r="I485">
        <v>2748.1205239999999</v>
      </c>
      <c r="J485" t="s">
        <v>1797</v>
      </c>
      <c r="K485">
        <v>0</v>
      </c>
      <c r="L485">
        <v>1.332624568909438</v>
      </c>
      <c r="M485">
        <v>69.22</v>
      </c>
      <c r="N485">
        <v>33.119999999999997</v>
      </c>
    </row>
    <row r="486" spans="1:14" x14ac:dyDescent="0.25">
      <c r="A486" s="1" t="s">
        <v>498</v>
      </c>
      <c r="B486" t="str">
        <f>HYPERLINK("https://www.suredividend.com/sure-analysis-research-database/","Enova International Inc.")</f>
        <v>Enova International Inc.</v>
      </c>
      <c r="C486" t="s">
        <v>1800</v>
      </c>
      <c r="D486">
        <v>54.85</v>
      </c>
      <c r="E486">
        <v>0</v>
      </c>
      <c r="F486" t="s">
        <v>1797</v>
      </c>
      <c r="G486" t="s">
        <v>1797</v>
      </c>
      <c r="H486">
        <v>0</v>
      </c>
      <c r="I486">
        <v>1640.0150000000001</v>
      </c>
      <c r="J486">
        <v>8.5763629232579426</v>
      </c>
      <c r="K486">
        <v>0</v>
      </c>
      <c r="L486">
        <v>1.490410564686548</v>
      </c>
      <c r="M486">
        <v>58.64</v>
      </c>
      <c r="N486">
        <v>35.299999999999997</v>
      </c>
    </row>
    <row r="487" spans="1:14" x14ac:dyDescent="0.25">
      <c r="A487" s="1" t="s">
        <v>499</v>
      </c>
      <c r="B487" t="str">
        <f>HYPERLINK("https://www.suredividend.com/sure-analysis-research-database/","Enovix Corporation")</f>
        <v>Enovix Corporation</v>
      </c>
      <c r="C487" t="s">
        <v>1797</v>
      </c>
      <c r="D487">
        <v>10.96</v>
      </c>
      <c r="E487">
        <v>0</v>
      </c>
      <c r="F487" t="s">
        <v>1797</v>
      </c>
      <c r="G487" t="s">
        <v>1797</v>
      </c>
      <c r="H487">
        <v>0</v>
      </c>
      <c r="I487">
        <v>1838.804498</v>
      </c>
      <c r="J487" t="s">
        <v>1797</v>
      </c>
      <c r="K487">
        <v>0</v>
      </c>
      <c r="L487">
        <v>2.6664974516767228</v>
      </c>
      <c r="M487">
        <v>23.9</v>
      </c>
      <c r="N487">
        <v>7.55</v>
      </c>
    </row>
    <row r="488" spans="1:14" x14ac:dyDescent="0.25">
      <c r="A488" s="1" t="s">
        <v>500</v>
      </c>
      <c r="B488" t="str">
        <f>HYPERLINK("https://www.suredividend.com/sure-analysis-research-database/","Evolus Inc")</f>
        <v>Evolus Inc</v>
      </c>
      <c r="C488" t="s">
        <v>1802</v>
      </c>
      <c r="D488">
        <v>10.55</v>
      </c>
      <c r="E488">
        <v>0</v>
      </c>
      <c r="F488" t="s">
        <v>1797</v>
      </c>
      <c r="G488" t="s">
        <v>1797</v>
      </c>
      <c r="H488">
        <v>0</v>
      </c>
      <c r="I488">
        <v>603.46</v>
      </c>
      <c r="J488" t="s">
        <v>1797</v>
      </c>
      <c r="K488">
        <v>0</v>
      </c>
      <c r="L488">
        <v>0.60499854864199909</v>
      </c>
      <c r="M488">
        <v>11.49</v>
      </c>
      <c r="N488">
        <v>7.07</v>
      </c>
    </row>
    <row r="489" spans="1:14" x14ac:dyDescent="0.25">
      <c r="A489" s="1" t="s">
        <v>501</v>
      </c>
      <c r="B489" t="str">
        <f>HYPERLINK("https://www.suredividend.com/sure-analysis-research-database/","Empire Petroleum Corporation")</f>
        <v>Empire Petroleum Corporation</v>
      </c>
      <c r="C489" t="s">
        <v>1797</v>
      </c>
      <c r="D489">
        <v>7.35</v>
      </c>
      <c r="E489">
        <v>0</v>
      </c>
      <c r="F489" t="s">
        <v>1797</v>
      </c>
      <c r="G489" t="s">
        <v>1797</v>
      </c>
      <c r="H489">
        <v>0</v>
      </c>
      <c r="I489">
        <v>168.25825800000001</v>
      </c>
      <c r="J489">
        <v>0</v>
      </c>
      <c r="K489" t="s">
        <v>1797</v>
      </c>
      <c r="L489">
        <v>0.91448055176056409</v>
      </c>
      <c r="M489">
        <v>13.82</v>
      </c>
      <c r="N489">
        <v>5.66</v>
      </c>
    </row>
    <row r="490" spans="1:14" x14ac:dyDescent="0.25">
      <c r="A490" s="1" t="s">
        <v>502</v>
      </c>
      <c r="B490" t="str">
        <f>HYPERLINK("https://www.suredividend.com/sure-analysis-research-database/","Enerpac Tool Group Corp")</f>
        <v>Enerpac Tool Group Corp</v>
      </c>
      <c r="C490" t="s">
        <v>1798</v>
      </c>
      <c r="D490">
        <v>29.3</v>
      </c>
      <c r="E490">
        <v>1.365187682796E-3</v>
      </c>
      <c r="F490" t="s">
        <v>1797</v>
      </c>
      <c r="G490" t="s">
        <v>1797</v>
      </c>
      <c r="H490">
        <v>3.9999999105930002E-2</v>
      </c>
      <c r="I490">
        <v>1585.9906289999999</v>
      </c>
      <c r="J490">
        <v>27.89977533863421</v>
      </c>
      <c r="K490">
        <v>3.9603959510821782E-2</v>
      </c>
      <c r="L490">
        <v>0.8755447312386101</v>
      </c>
      <c r="M490">
        <v>32.94</v>
      </c>
      <c r="N490">
        <v>22.91</v>
      </c>
    </row>
    <row r="491" spans="1:14" x14ac:dyDescent="0.25">
      <c r="A491" s="1" t="s">
        <v>503</v>
      </c>
      <c r="B491" t="str">
        <f>HYPERLINK("https://www.suredividend.com/sure-analysis-research-database/","Edgewell Personal Care Co")</f>
        <v>Edgewell Personal Care Co</v>
      </c>
      <c r="C491" t="s">
        <v>1804</v>
      </c>
      <c r="D491">
        <v>37.81</v>
      </c>
      <c r="E491">
        <v>1.5772984181745001E-2</v>
      </c>
      <c r="F491" t="s">
        <v>1797</v>
      </c>
      <c r="G491" t="s">
        <v>1797</v>
      </c>
      <c r="H491">
        <v>0.59637653191180307</v>
      </c>
      <c r="I491">
        <v>1891.306525</v>
      </c>
      <c r="J491">
        <v>16.48915889372276</v>
      </c>
      <c r="K491">
        <v>0.26985363434923221</v>
      </c>
      <c r="L491">
        <v>0.74347382024421704</v>
      </c>
      <c r="M491">
        <v>45.59</v>
      </c>
      <c r="N491">
        <v>33.56</v>
      </c>
    </row>
    <row r="492" spans="1:14" x14ac:dyDescent="0.25">
      <c r="A492" s="1" t="s">
        <v>504</v>
      </c>
      <c r="B492" t="str">
        <f>HYPERLINK("https://www.suredividend.com/sure-analysis-EPRT/","Essential Properties Realty Trust Inc")</f>
        <v>Essential Properties Realty Trust Inc</v>
      </c>
      <c r="C492" t="s">
        <v>1799</v>
      </c>
      <c r="D492">
        <v>25.74</v>
      </c>
      <c r="E492">
        <v>4.4289044289044288E-2</v>
      </c>
      <c r="F492">
        <v>3.6363636363636383E-2</v>
      </c>
      <c r="G492">
        <v>6.2980048262344601E-2</v>
      </c>
      <c r="H492">
        <v>1.1005382002654489</v>
      </c>
      <c r="I492">
        <v>4284.3857029999999</v>
      </c>
      <c r="J492">
        <v>24.223634025035619</v>
      </c>
      <c r="K492">
        <v>0.93265949175038043</v>
      </c>
      <c r="L492">
        <v>0.82100678891961809</v>
      </c>
      <c r="M492">
        <v>26.39</v>
      </c>
      <c r="N492">
        <v>20.27</v>
      </c>
    </row>
    <row r="493" spans="1:14" x14ac:dyDescent="0.25">
      <c r="A493" s="1" t="s">
        <v>505</v>
      </c>
      <c r="B493" t="str">
        <f>HYPERLINK("https://www.suredividend.com/sure-analysis-research-database/","Equity Bancshares Inc")</f>
        <v>Equity Bancshares Inc</v>
      </c>
      <c r="C493" t="s">
        <v>1800</v>
      </c>
      <c r="D493">
        <v>32.74</v>
      </c>
      <c r="E493">
        <v>1.0346352832631999E-2</v>
      </c>
      <c r="F493" t="s">
        <v>1797</v>
      </c>
      <c r="G493" t="s">
        <v>1797</v>
      </c>
      <c r="H493">
        <v>0.33873959174038398</v>
      </c>
      <c r="I493">
        <v>504.623715</v>
      </c>
      <c r="J493">
        <v>10.572907210861549</v>
      </c>
      <c r="K493">
        <v>0.1125380703456425</v>
      </c>
      <c r="L493">
        <v>1.194893538095583</v>
      </c>
      <c r="M493">
        <v>34.99</v>
      </c>
      <c r="N493">
        <v>20.149999999999999</v>
      </c>
    </row>
    <row r="494" spans="1:14" x14ac:dyDescent="0.25">
      <c r="A494" s="1" t="s">
        <v>506</v>
      </c>
      <c r="B494" t="str">
        <f>HYPERLINK("https://www.suredividend.com/sure-analysis-research-database/","Equity Commonwealth")</f>
        <v>Equity Commonwealth</v>
      </c>
      <c r="C494" t="s">
        <v>1799</v>
      </c>
      <c r="D494">
        <v>19.47</v>
      </c>
      <c r="E494">
        <v>0</v>
      </c>
      <c r="F494" t="s">
        <v>1797</v>
      </c>
      <c r="G494" t="s">
        <v>1797</v>
      </c>
      <c r="H494">
        <v>0</v>
      </c>
      <c r="I494">
        <v>2077.683536</v>
      </c>
      <c r="J494">
        <v>26.808127991793761</v>
      </c>
      <c r="K494">
        <v>0</v>
      </c>
      <c r="L494">
        <v>0.39665124016792902</v>
      </c>
      <c r="M494">
        <v>22.08</v>
      </c>
      <c r="N494">
        <v>18.100000000000001</v>
      </c>
    </row>
    <row r="495" spans="1:14" x14ac:dyDescent="0.25">
      <c r="A495" s="1" t="s">
        <v>507</v>
      </c>
      <c r="B495" t="str">
        <f>HYPERLINK("https://www.suredividend.com/sure-analysis-research-database/","EQRx Inc")</f>
        <v>EQRx Inc</v>
      </c>
      <c r="C495" t="s">
        <v>1797</v>
      </c>
      <c r="D495">
        <v>2.34</v>
      </c>
      <c r="E495">
        <v>0</v>
      </c>
      <c r="F495" t="s">
        <v>1797</v>
      </c>
      <c r="G495" t="s">
        <v>1797</v>
      </c>
      <c r="H495">
        <v>0</v>
      </c>
      <c r="I495">
        <v>0</v>
      </c>
      <c r="J495">
        <v>0</v>
      </c>
      <c r="K495" t="s">
        <v>1797</v>
      </c>
    </row>
    <row r="496" spans="1:14" x14ac:dyDescent="0.25">
      <c r="A496" s="1" t="s">
        <v>508</v>
      </c>
      <c r="B496" t="str">
        <f>HYPERLINK("https://www.suredividend.com/sure-analysis-research-database/","Erasca Inc")</f>
        <v>Erasca Inc</v>
      </c>
      <c r="C496" t="s">
        <v>1797</v>
      </c>
      <c r="D496">
        <v>1.93</v>
      </c>
      <c r="E496">
        <v>0</v>
      </c>
      <c r="F496" t="s">
        <v>1797</v>
      </c>
      <c r="G496" t="s">
        <v>1797</v>
      </c>
      <c r="H496">
        <v>0</v>
      </c>
      <c r="I496">
        <v>291.597983</v>
      </c>
      <c r="J496">
        <v>0</v>
      </c>
      <c r="K496" t="s">
        <v>1797</v>
      </c>
      <c r="L496">
        <v>1.7271680080948051</v>
      </c>
      <c r="M496">
        <v>4.57</v>
      </c>
      <c r="N496">
        <v>1.51</v>
      </c>
    </row>
    <row r="497" spans="1:14" x14ac:dyDescent="0.25">
      <c r="A497" s="1" t="s">
        <v>509</v>
      </c>
      <c r="B497" t="str">
        <f>HYPERLINK("https://www.suredividend.com/sure-analysis-research-database/","Energy Recovery Inc")</f>
        <v>Energy Recovery Inc</v>
      </c>
      <c r="C497" t="s">
        <v>1798</v>
      </c>
      <c r="D497">
        <v>17.91</v>
      </c>
      <c r="E497">
        <v>0</v>
      </c>
      <c r="F497" t="s">
        <v>1797</v>
      </c>
      <c r="G497" t="s">
        <v>1797</v>
      </c>
      <c r="H497">
        <v>0</v>
      </c>
      <c r="I497">
        <v>1012.23618</v>
      </c>
      <c r="J497">
        <v>65.627345696965762</v>
      </c>
      <c r="K497">
        <v>0</v>
      </c>
      <c r="L497">
        <v>1.5348385079429281</v>
      </c>
      <c r="M497">
        <v>30.76</v>
      </c>
      <c r="N497">
        <v>14.04</v>
      </c>
    </row>
    <row r="498" spans="1:14" x14ac:dyDescent="0.25">
      <c r="A498" s="1" t="s">
        <v>510</v>
      </c>
      <c r="B498" t="str">
        <f>HYPERLINK("https://www.suredividend.com/sure-analysis-research-database/","Esco Technologies, Inc.")</f>
        <v>Esco Technologies, Inc.</v>
      </c>
      <c r="C498" t="s">
        <v>1803</v>
      </c>
      <c r="D498">
        <v>102.55</v>
      </c>
      <c r="E498">
        <v>3.1170079415200002E-3</v>
      </c>
      <c r="F498">
        <v>0</v>
      </c>
      <c r="G498">
        <v>0</v>
      </c>
      <c r="H498">
        <v>0.31964916440290903</v>
      </c>
      <c r="I498">
        <v>2646.320389</v>
      </c>
      <c r="J498">
        <v>28.594958005294721</v>
      </c>
      <c r="K498">
        <v>8.9287476090198048E-2</v>
      </c>
      <c r="L498">
        <v>0.97605377362611712</v>
      </c>
      <c r="M498">
        <v>118.52</v>
      </c>
      <c r="N498">
        <v>85.24</v>
      </c>
    </row>
    <row r="499" spans="1:14" x14ac:dyDescent="0.25">
      <c r="A499" s="1" t="s">
        <v>511</v>
      </c>
      <c r="B499" t="str">
        <f>HYPERLINK("https://www.suredividend.com/sure-analysis-research-database/","Enstar Group Limited")</f>
        <v>Enstar Group Limited</v>
      </c>
      <c r="C499" t="s">
        <v>1800</v>
      </c>
      <c r="D499">
        <v>270.82</v>
      </c>
      <c r="E499">
        <v>0</v>
      </c>
      <c r="F499" t="s">
        <v>1797</v>
      </c>
      <c r="G499" t="s">
        <v>1797</v>
      </c>
      <c r="H499">
        <v>0</v>
      </c>
      <c r="I499">
        <v>4343.7697260000004</v>
      </c>
      <c r="J499">
        <v>5.4569971428140702</v>
      </c>
      <c r="K499">
        <v>0</v>
      </c>
      <c r="L499">
        <v>0.71954475567739207</v>
      </c>
      <c r="M499">
        <v>300.98</v>
      </c>
      <c r="N499">
        <v>217.52</v>
      </c>
    </row>
    <row r="500" spans="1:14" x14ac:dyDescent="0.25">
      <c r="A500" s="1" t="s">
        <v>512</v>
      </c>
      <c r="B500" t="str">
        <f>HYPERLINK("https://www.suredividend.com/sure-analysis-research-database/","Engagesmart Inc")</f>
        <v>Engagesmart Inc</v>
      </c>
      <c r="C500" t="s">
        <v>1797</v>
      </c>
      <c r="D500">
        <v>22.98</v>
      </c>
      <c r="E500">
        <v>0</v>
      </c>
      <c r="F500" t="s">
        <v>1797</v>
      </c>
      <c r="G500" t="s">
        <v>1797</v>
      </c>
      <c r="H500">
        <v>0</v>
      </c>
      <c r="I500">
        <v>3868.331889</v>
      </c>
      <c r="J500">
        <v>155.49832731358279</v>
      </c>
      <c r="K500">
        <v>0</v>
      </c>
      <c r="L500">
        <v>0.90648679282021205</v>
      </c>
      <c r="M500">
        <v>23.1</v>
      </c>
      <c r="N500">
        <v>15.45</v>
      </c>
    </row>
    <row r="501" spans="1:14" x14ac:dyDescent="0.25">
      <c r="A501" s="1" t="s">
        <v>513</v>
      </c>
      <c r="B501" t="str">
        <f>HYPERLINK("https://www.suredividend.com/sure-analysis-research-database/","Essent Group Ltd")</f>
        <v>Essent Group Ltd</v>
      </c>
      <c r="C501" t="s">
        <v>1800</v>
      </c>
      <c r="D501">
        <v>53.56</v>
      </c>
      <c r="E501">
        <v>1.8526264346207001E-2</v>
      </c>
      <c r="F501" t="s">
        <v>1797</v>
      </c>
      <c r="G501" t="s">
        <v>1797</v>
      </c>
      <c r="H501">
        <v>0.99226671838284808</v>
      </c>
      <c r="I501">
        <v>5718.0642070000004</v>
      </c>
      <c r="J501">
        <v>8.5550456809174342</v>
      </c>
      <c r="K501">
        <v>0.15927234644989541</v>
      </c>
      <c r="L501">
        <v>1.0290145082429289</v>
      </c>
      <c r="M501">
        <v>53.91</v>
      </c>
      <c r="N501">
        <v>35.96</v>
      </c>
    </row>
    <row r="502" spans="1:14" x14ac:dyDescent="0.25">
      <c r="A502" s="1" t="s">
        <v>514</v>
      </c>
      <c r="B502" t="str">
        <f>HYPERLINK("https://www.suredividend.com/sure-analysis-research-database/","Esperion Therapeutics Inc.")</f>
        <v>Esperion Therapeutics Inc.</v>
      </c>
      <c r="C502" t="s">
        <v>1802</v>
      </c>
      <c r="D502">
        <v>3.02</v>
      </c>
      <c r="E502">
        <v>0</v>
      </c>
      <c r="F502" t="s">
        <v>1797</v>
      </c>
      <c r="G502" t="s">
        <v>1797</v>
      </c>
      <c r="H502">
        <v>0</v>
      </c>
      <c r="I502">
        <v>343.42771099999999</v>
      </c>
      <c r="J502" t="s">
        <v>1797</v>
      </c>
      <c r="K502">
        <v>0</v>
      </c>
      <c r="L502">
        <v>1.2963049197169001</v>
      </c>
      <c r="M502">
        <v>7.25</v>
      </c>
      <c r="N502">
        <v>0.70000000000000007</v>
      </c>
    </row>
    <row r="503" spans="1:14" x14ac:dyDescent="0.25">
      <c r="A503" s="1" t="s">
        <v>515</v>
      </c>
      <c r="B503" t="str">
        <f>HYPERLINK("https://www.suredividend.com/sure-analysis-research-database/","Esquire Financial Holdings Inc")</f>
        <v>Esquire Financial Holdings Inc</v>
      </c>
      <c r="C503" t="s">
        <v>1800</v>
      </c>
      <c r="D503">
        <v>46.95</v>
      </c>
      <c r="E503">
        <v>1.0046203282835E-2</v>
      </c>
      <c r="F503" t="s">
        <v>1797</v>
      </c>
      <c r="G503" t="s">
        <v>1797</v>
      </c>
      <c r="H503">
        <v>0.47166924412910699</v>
      </c>
      <c r="I503">
        <v>385.186533</v>
      </c>
      <c r="J503">
        <v>9.5715163556394902</v>
      </c>
      <c r="K503">
        <v>9.7452323167170882E-2</v>
      </c>
      <c r="L503">
        <v>1.18684224895151</v>
      </c>
      <c r="M503">
        <v>53.47</v>
      </c>
      <c r="N503">
        <v>34.28</v>
      </c>
    </row>
    <row r="504" spans="1:14" x14ac:dyDescent="0.25">
      <c r="A504" s="1" t="s">
        <v>516</v>
      </c>
      <c r="B504" t="str">
        <f>HYPERLINK("https://www.suredividend.com/sure-analysis-ESRT/","Empire State Realty Trust Inc")</f>
        <v>Empire State Realty Trust Inc</v>
      </c>
      <c r="C504" t="s">
        <v>1799</v>
      </c>
      <c r="D504">
        <v>10.25</v>
      </c>
      <c r="E504">
        <v>1.3658536585365861E-2</v>
      </c>
      <c r="F504" t="s">
        <v>1797</v>
      </c>
      <c r="G504" t="s">
        <v>1797</v>
      </c>
      <c r="H504">
        <v>0.13916908847673601</v>
      </c>
      <c r="I504">
        <v>1655.3147509999999</v>
      </c>
      <c r="J504">
        <v>31.470460474533731</v>
      </c>
      <c r="K504">
        <v>0.70394076113675264</v>
      </c>
      <c r="L504">
        <v>1.274495747053132</v>
      </c>
      <c r="M504">
        <v>10.25</v>
      </c>
      <c r="N504">
        <v>5.32</v>
      </c>
    </row>
    <row r="505" spans="1:14" x14ac:dyDescent="0.25">
      <c r="A505" s="1" t="s">
        <v>517</v>
      </c>
      <c r="B505" t="str">
        <f>HYPERLINK("https://www.suredividend.com/sure-analysis-research-database/","Earthstone Energy Inc")</f>
        <v>Earthstone Energy Inc</v>
      </c>
      <c r="C505" t="s">
        <v>1807</v>
      </c>
      <c r="D505">
        <v>21.17</v>
      </c>
      <c r="E505">
        <v>0</v>
      </c>
      <c r="F505" t="s">
        <v>1797</v>
      </c>
      <c r="G505" t="s">
        <v>1797</v>
      </c>
      <c r="H505">
        <v>0</v>
      </c>
      <c r="I505">
        <v>2251.0061000000001</v>
      </c>
      <c r="J505">
        <v>0</v>
      </c>
      <c r="K505" t="s">
        <v>1797</v>
      </c>
      <c r="L505">
        <v>1.3587672505185491</v>
      </c>
      <c r="M505">
        <v>22.45</v>
      </c>
      <c r="N505">
        <v>11.32</v>
      </c>
    </row>
    <row r="506" spans="1:14" x14ac:dyDescent="0.25">
      <c r="A506" s="1" t="s">
        <v>518</v>
      </c>
      <c r="B506" t="str">
        <f>HYPERLINK("https://www.suredividend.com/sure-analysis-ETD/","Ethan Allen Interiors, Inc.")</f>
        <v>Ethan Allen Interiors, Inc.</v>
      </c>
      <c r="C506" t="s">
        <v>1797</v>
      </c>
      <c r="D506">
        <v>29.45</v>
      </c>
      <c r="E506">
        <v>4.8896434634974527E-2</v>
      </c>
      <c r="F506">
        <v>0.125</v>
      </c>
      <c r="G506">
        <v>0.11382417860287911</v>
      </c>
      <c r="H506">
        <v>1.374892496306384</v>
      </c>
      <c r="I506">
        <v>748.00802999999996</v>
      </c>
      <c r="J506">
        <v>8.2319902967006353</v>
      </c>
      <c r="K506">
        <v>0.38729366093137579</v>
      </c>
      <c r="L506">
        <v>1.0110746585937771</v>
      </c>
      <c r="M506">
        <v>35.33</v>
      </c>
      <c r="N506">
        <v>24.17</v>
      </c>
    </row>
    <row r="507" spans="1:14" x14ac:dyDescent="0.25">
      <c r="A507" s="1" t="s">
        <v>519</v>
      </c>
      <c r="B507" t="str">
        <f>HYPERLINK("https://www.suredividend.com/sure-analysis-research-database/","Equitrans Midstream Corporation")</f>
        <v>Equitrans Midstream Corporation</v>
      </c>
      <c r="C507" t="s">
        <v>1807</v>
      </c>
      <c r="D507">
        <v>10.91</v>
      </c>
      <c r="E507">
        <v>5.3484380280144003E-2</v>
      </c>
      <c r="F507">
        <v>0</v>
      </c>
      <c r="G507">
        <v>-0.18217293206394081</v>
      </c>
      <c r="H507">
        <v>0.58351458885637308</v>
      </c>
      <c r="I507">
        <v>4726.8775100000003</v>
      </c>
      <c r="J507">
        <v>15.546791265680399</v>
      </c>
      <c r="K507">
        <v>0.8352627953855899</v>
      </c>
      <c r="L507">
        <v>1.153311177201517</v>
      </c>
      <c r="M507">
        <v>11</v>
      </c>
      <c r="N507">
        <v>4.32</v>
      </c>
    </row>
    <row r="508" spans="1:14" x14ac:dyDescent="0.25">
      <c r="A508" s="1" t="s">
        <v>520</v>
      </c>
      <c r="B508" t="str">
        <f>HYPERLINK("https://www.suredividend.com/sure-analysis-research-database/","E2open Parent Holdings Inc")</f>
        <v>E2open Parent Holdings Inc</v>
      </c>
      <c r="C508" t="s">
        <v>1797</v>
      </c>
      <c r="D508">
        <v>3.63</v>
      </c>
      <c r="E508">
        <v>0</v>
      </c>
      <c r="F508" t="s">
        <v>1797</v>
      </c>
      <c r="G508" t="s">
        <v>1797</v>
      </c>
      <c r="H508">
        <v>0</v>
      </c>
      <c r="I508">
        <v>1110.7775349999999</v>
      </c>
      <c r="J508" t="s">
        <v>1797</v>
      </c>
      <c r="K508">
        <v>0</v>
      </c>
      <c r="L508">
        <v>1.640962920309833</v>
      </c>
      <c r="M508">
        <v>7.21</v>
      </c>
      <c r="N508">
        <v>2.15</v>
      </c>
    </row>
    <row r="509" spans="1:14" x14ac:dyDescent="0.25">
      <c r="A509" s="1" t="s">
        <v>521</v>
      </c>
      <c r="B509" t="str">
        <f>HYPERLINK("https://www.suredividend.com/sure-analysis-research-database/","Everbridge Inc")</f>
        <v>Everbridge Inc</v>
      </c>
      <c r="C509" t="s">
        <v>1803</v>
      </c>
      <c r="D509">
        <v>22.02</v>
      </c>
      <c r="E509">
        <v>0</v>
      </c>
      <c r="F509" t="s">
        <v>1797</v>
      </c>
      <c r="G509" t="s">
        <v>1797</v>
      </c>
      <c r="H509">
        <v>0</v>
      </c>
      <c r="I509">
        <v>904.34087699999998</v>
      </c>
      <c r="J509" t="s">
        <v>1797</v>
      </c>
      <c r="K509">
        <v>0</v>
      </c>
      <c r="L509">
        <v>2.0103203753172512</v>
      </c>
      <c r="M509">
        <v>35.549999999999997</v>
      </c>
      <c r="N509">
        <v>18.5</v>
      </c>
    </row>
    <row r="510" spans="1:14" x14ac:dyDescent="0.25">
      <c r="A510" s="1" t="s">
        <v>522</v>
      </c>
      <c r="B510" t="str">
        <f>HYPERLINK("https://www.suredividend.com/sure-analysis-research-database/","Entravision Communications Corp.")</f>
        <v>Entravision Communications Corp.</v>
      </c>
      <c r="C510" t="s">
        <v>1806</v>
      </c>
      <c r="D510">
        <v>4.12</v>
      </c>
      <c r="E510">
        <v>4.7657620045498013E-2</v>
      </c>
      <c r="F510">
        <v>1</v>
      </c>
      <c r="G510">
        <v>0</v>
      </c>
      <c r="H510">
        <v>0.19634939458745199</v>
      </c>
      <c r="I510">
        <v>324.013329</v>
      </c>
      <c r="J510">
        <v>283.47622873140858</v>
      </c>
      <c r="K510">
        <v>15.22088330135287</v>
      </c>
      <c r="L510">
        <v>1.5190591322386551</v>
      </c>
      <c r="M510">
        <v>7.01</v>
      </c>
      <c r="N510">
        <v>3.31</v>
      </c>
    </row>
    <row r="511" spans="1:14" x14ac:dyDescent="0.25">
      <c r="A511" s="1" t="s">
        <v>523</v>
      </c>
      <c r="B511" t="str">
        <f>HYPERLINK("https://www.suredividend.com/sure-analysis-research-database/","EverCommerce Inc")</f>
        <v>EverCommerce Inc</v>
      </c>
      <c r="C511" t="s">
        <v>1797</v>
      </c>
      <c r="D511">
        <v>10.02</v>
      </c>
      <c r="E511">
        <v>0</v>
      </c>
      <c r="F511" t="s">
        <v>1797</v>
      </c>
      <c r="G511" t="s">
        <v>1797</v>
      </c>
      <c r="H511">
        <v>0</v>
      </c>
      <c r="I511">
        <v>1890.7739999999999</v>
      </c>
      <c r="J511" t="s">
        <v>1797</v>
      </c>
      <c r="K511">
        <v>0</v>
      </c>
      <c r="L511">
        <v>1.3465569873192951</v>
      </c>
      <c r="M511">
        <v>13.47</v>
      </c>
      <c r="N511">
        <v>7.63</v>
      </c>
    </row>
    <row r="512" spans="1:14" x14ac:dyDescent="0.25">
      <c r="A512" s="1" t="s">
        <v>524</v>
      </c>
      <c r="B512" t="str">
        <f>HYPERLINK("https://www.suredividend.com/sure-analysis-research-database/","EverQuote Inc")</f>
        <v>EverQuote Inc</v>
      </c>
      <c r="C512" t="s">
        <v>1806</v>
      </c>
      <c r="D512">
        <v>10.45</v>
      </c>
      <c r="E512">
        <v>0</v>
      </c>
      <c r="F512" t="s">
        <v>1797</v>
      </c>
      <c r="G512" t="s">
        <v>1797</v>
      </c>
      <c r="H512">
        <v>0</v>
      </c>
      <c r="I512">
        <v>293.72526599999998</v>
      </c>
      <c r="J512" t="s">
        <v>1797</v>
      </c>
      <c r="K512">
        <v>0</v>
      </c>
      <c r="L512">
        <v>1.274235033983109</v>
      </c>
      <c r="M512">
        <v>18.86</v>
      </c>
      <c r="N512">
        <v>5.36</v>
      </c>
    </row>
    <row r="513" spans="1:14" x14ac:dyDescent="0.25">
      <c r="A513" s="1" t="s">
        <v>525</v>
      </c>
      <c r="B513" t="str">
        <f>HYPERLINK("https://www.suredividend.com/sure-analysis-research-database/","EVgo Inc")</f>
        <v>EVgo Inc</v>
      </c>
      <c r="C513" t="s">
        <v>1797</v>
      </c>
      <c r="D513">
        <v>2.71</v>
      </c>
      <c r="E513">
        <v>0</v>
      </c>
      <c r="F513" t="s">
        <v>1797</v>
      </c>
      <c r="G513" t="s">
        <v>1797</v>
      </c>
      <c r="H513">
        <v>0</v>
      </c>
      <c r="I513">
        <v>280.63106399999998</v>
      </c>
      <c r="J513" t="s">
        <v>1797</v>
      </c>
      <c r="K513">
        <v>0</v>
      </c>
      <c r="L513">
        <v>2.1635177227136508</v>
      </c>
      <c r="M513">
        <v>8.16</v>
      </c>
      <c r="N513">
        <v>1.88</v>
      </c>
    </row>
    <row r="514" spans="1:14" x14ac:dyDescent="0.25">
      <c r="A514" s="1" t="s">
        <v>526</v>
      </c>
      <c r="B514" t="str">
        <f>HYPERLINK("https://www.suredividend.com/sure-analysis-research-database/","Evolent Health Inc")</f>
        <v>Evolent Health Inc</v>
      </c>
      <c r="C514" t="s">
        <v>1802</v>
      </c>
      <c r="D514">
        <v>31.48</v>
      </c>
      <c r="E514">
        <v>0</v>
      </c>
      <c r="F514" t="s">
        <v>1797</v>
      </c>
      <c r="G514" t="s">
        <v>1797</v>
      </c>
      <c r="H514">
        <v>0</v>
      </c>
      <c r="I514">
        <v>3618.9310099999998</v>
      </c>
      <c r="J514" t="s">
        <v>1797</v>
      </c>
      <c r="K514">
        <v>0</v>
      </c>
      <c r="L514">
        <v>1.2438479979134269</v>
      </c>
      <c r="M514">
        <v>36.700000000000003</v>
      </c>
      <c r="N514">
        <v>23.33</v>
      </c>
    </row>
    <row r="515" spans="1:14" x14ac:dyDescent="0.25">
      <c r="A515" s="1" t="s">
        <v>527</v>
      </c>
      <c r="B515" t="str">
        <f>HYPERLINK("https://www.suredividend.com/sure-analysis-research-database/","Evolv Technologies Holdings Inc")</f>
        <v>Evolv Technologies Holdings Inc</v>
      </c>
      <c r="C515" t="s">
        <v>1797</v>
      </c>
      <c r="D515">
        <v>4.4000000000000004</v>
      </c>
      <c r="E515">
        <v>0</v>
      </c>
      <c r="F515" t="s">
        <v>1797</v>
      </c>
      <c r="G515" t="s">
        <v>1797</v>
      </c>
      <c r="H515">
        <v>0</v>
      </c>
      <c r="I515">
        <v>664.99233700000002</v>
      </c>
      <c r="J515" t="s">
        <v>1797</v>
      </c>
      <c r="K515">
        <v>0</v>
      </c>
      <c r="L515">
        <v>1.9202405082233149</v>
      </c>
      <c r="M515">
        <v>8.3000000000000007</v>
      </c>
      <c r="N515">
        <v>2.41</v>
      </c>
    </row>
    <row r="516" spans="1:14" x14ac:dyDescent="0.25">
      <c r="A516" s="1" t="s">
        <v>528</v>
      </c>
      <c r="B516" t="str">
        <f>HYPERLINK("https://www.suredividend.com/sure-analysis-research-database/","Everi Holdings Inc")</f>
        <v>Everi Holdings Inc</v>
      </c>
      <c r="C516" t="s">
        <v>1801</v>
      </c>
      <c r="D516">
        <v>10.54</v>
      </c>
      <c r="E516">
        <v>0</v>
      </c>
      <c r="F516" t="s">
        <v>1797</v>
      </c>
      <c r="G516" t="s">
        <v>1797</v>
      </c>
      <c r="H516">
        <v>0</v>
      </c>
      <c r="I516">
        <v>901.87159499999996</v>
      </c>
      <c r="J516">
        <v>8.2632863159920102</v>
      </c>
      <c r="K516">
        <v>0</v>
      </c>
      <c r="L516">
        <v>1.4640469796833071</v>
      </c>
      <c r="M516">
        <v>19.850000000000001</v>
      </c>
      <c r="N516">
        <v>9.94</v>
      </c>
    </row>
    <row r="517" spans="1:14" x14ac:dyDescent="0.25">
      <c r="A517" s="1" t="s">
        <v>529</v>
      </c>
      <c r="B517" t="str">
        <f>HYPERLINK("https://www.suredividend.com/sure-analysis-research-database/","Evertec Inc")</f>
        <v>Evertec Inc</v>
      </c>
      <c r="C517" t="s">
        <v>1803</v>
      </c>
      <c r="D517">
        <v>38.79</v>
      </c>
      <c r="E517">
        <v>5.145238158317E-3</v>
      </c>
      <c r="F517" t="s">
        <v>1797</v>
      </c>
      <c r="G517" t="s">
        <v>1797</v>
      </c>
      <c r="H517">
        <v>0.19958378816115199</v>
      </c>
      <c r="I517">
        <v>2507.0334640000001</v>
      </c>
      <c r="J517">
        <v>25.85876849521923</v>
      </c>
      <c r="K517">
        <v>0.13485391091969731</v>
      </c>
      <c r="L517">
        <v>0.97606296502544609</v>
      </c>
      <c r="M517">
        <v>41.92</v>
      </c>
      <c r="N517">
        <v>31.42</v>
      </c>
    </row>
    <row r="518" spans="1:14" x14ac:dyDescent="0.25">
      <c r="A518" s="1" t="s">
        <v>530</v>
      </c>
      <c r="B518" t="str">
        <f>HYPERLINK("https://www.suredividend.com/sure-analysis-research-database/","European Wax Center Inc")</f>
        <v>European Wax Center Inc</v>
      </c>
      <c r="C518" t="s">
        <v>1797</v>
      </c>
      <c r="D518">
        <v>15.42</v>
      </c>
      <c r="E518">
        <v>0</v>
      </c>
      <c r="F518" t="s">
        <v>1797</v>
      </c>
      <c r="G518" t="s">
        <v>1797</v>
      </c>
      <c r="H518">
        <v>0</v>
      </c>
      <c r="I518">
        <v>773.08658800000001</v>
      </c>
      <c r="J518">
        <v>105.22479762351981</v>
      </c>
      <c r="K518">
        <v>0</v>
      </c>
      <c r="L518">
        <v>1.42642855139715</v>
      </c>
      <c r="M518">
        <v>20.7</v>
      </c>
      <c r="N518">
        <v>11.97</v>
      </c>
    </row>
    <row r="519" spans="1:14" x14ac:dyDescent="0.25">
      <c r="A519" s="1" t="s">
        <v>531</v>
      </c>
      <c r="B519" t="str">
        <f>HYPERLINK("https://www.suredividend.com/sure-analysis-research-database/","Edgewise Therapeutics Inc")</f>
        <v>Edgewise Therapeutics Inc</v>
      </c>
      <c r="C519" t="s">
        <v>1797</v>
      </c>
      <c r="D519">
        <v>10</v>
      </c>
      <c r="E519">
        <v>0</v>
      </c>
      <c r="F519" t="s">
        <v>1797</v>
      </c>
      <c r="G519" t="s">
        <v>1797</v>
      </c>
      <c r="H519">
        <v>0</v>
      </c>
      <c r="I519">
        <v>634.61608000000001</v>
      </c>
      <c r="J519">
        <v>0</v>
      </c>
      <c r="K519" t="s">
        <v>1797</v>
      </c>
      <c r="L519">
        <v>1.137410469295731</v>
      </c>
      <c r="M519">
        <v>12.46</v>
      </c>
      <c r="N519">
        <v>5.12</v>
      </c>
    </row>
    <row r="520" spans="1:14" x14ac:dyDescent="0.25">
      <c r="A520" s="1" t="s">
        <v>532</v>
      </c>
      <c r="B520" t="str">
        <f>HYPERLINK("https://www.suredividend.com/sure-analysis-research-database/","ExlService Holdings Inc")</f>
        <v>ExlService Holdings Inc</v>
      </c>
      <c r="C520" t="s">
        <v>1803</v>
      </c>
      <c r="D520">
        <v>30.86</v>
      </c>
      <c r="E520">
        <v>0</v>
      </c>
      <c r="F520" t="s">
        <v>1797</v>
      </c>
      <c r="G520" t="s">
        <v>1797</v>
      </c>
      <c r="H520">
        <v>0</v>
      </c>
      <c r="I520">
        <v>5089.5165900000002</v>
      </c>
      <c r="J520">
        <v>28.89734840010448</v>
      </c>
      <c r="K520">
        <v>0</v>
      </c>
      <c r="L520">
        <v>1.0637460129707761</v>
      </c>
      <c r="M520">
        <v>35.94</v>
      </c>
      <c r="N520">
        <v>25.17</v>
      </c>
    </row>
    <row r="521" spans="1:14" x14ac:dyDescent="0.25">
      <c r="A521" s="1" t="s">
        <v>533</v>
      </c>
      <c r="B521" t="str">
        <f>HYPERLINK("https://www.suredividend.com/sure-analysis-research-database/","eXp World Holdings Inc")</f>
        <v>eXp World Holdings Inc</v>
      </c>
      <c r="C521" t="s">
        <v>1799</v>
      </c>
      <c r="D521">
        <v>13.36</v>
      </c>
      <c r="E521">
        <v>1.4112575341312E-2</v>
      </c>
      <c r="F521" t="s">
        <v>1797</v>
      </c>
      <c r="G521" t="s">
        <v>1797</v>
      </c>
      <c r="H521">
        <v>0.188544006559932</v>
      </c>
      <c r="I521">
        <v>2054.752168</v>
      </c>
      <c r="J521">
        <v>409.06871757913592</v>
      </c>
      <c r="K521">
        <v>5.8736450641723357</v>
      </c>
      <c r="L521">
        <v>2.1892015208970572</v>
      </c>
      <c r="M521">
        <v>25.13</v>
      </c>
      <c r="N521">
        <v>10.47</v>
      </c>
    </row>
    <row r="522" spans="1:14" x14ac:dyDescent="0.25">
      <c r="A522" s="1" t="s">
        <v>534</v>
      </c>
      <c r="B522" t="str">
        <f>HYPERLINK("https://www.suredividend.com/sure-analysis-EXPO/","Exponent Inc.")</f>
        <v>Exponent Inc.</v>
      </c>
      <c r="C522" t="s">
        <v>1798</v>
      </c>
      <c r="D522">
        <v>91.82</v>
      </c>
      <c r="E522">
        <v>1.132650838597256E-2</v>
      </c>
      <c r="F522">
        <v>8.3333333333333481E-2</v>
      </c>
      <c r="G522">
        <v>0.10197228772148011</v>
      </c>
      <c r="H522">
        <v>1.0313881168683809</v>
      </c>
      <c r="I522">
        <v>4646.0919999999996</v>
      </c>
      <c r="J522">
        <v>45.579414130712017</v>
      </c>
      <c r="K522">
        <v>0.52354726744587865</v>
      </c>
      <c r="L522">
        <v>0.99427708096526313</v>
      </c>
      <c r="M522">
        <v>110.81</v>
      </c>
      <c r="N522">
        <v>64.2</v>
      </c>
    </row>
    <row r="523" spans="1:14" x14ac:dyDescent="0.25">
      <c r="A523" s="1" t="s">
        <v>535</v>
      </c>
      <c r="B523" t="str">
        <f>HYPERLINK("https://www.suredividend.com/sure-analysis-research-database/","Express Inc.")</f>
        <v>Express Inc.</v>
      </c>
      <c r="C523" t="s">
        <v>1801</v>
      </c>
      <c r="D523">
        <v>8.01</v>
      </c>
      <c r="E523">
        <v>0</v>
      </c>
      <c r="F523" t="s">
        <v>1797</v>
      </c>
      <c r="G523" t="s">
        <v>1797</v>
      </c>
      <c r="H523">
        <v>0</v>
      </c>
      <c r="I523">
        <v>30.007527</v>
      </c>
      <c r="J523">
        <v>0.167765403039146</v>
      </c>
      <c r="K523">
        <v>0</v>
      </c>
      <c r="L523">
        <v>1.3878199744788691</v>
      </c>
      <c r="M523">
        <v>29.4</v>
      </c>
      <c r="N523">
        <v>7.36</v>
      </c>
    </row>
    <row r="524" spans="1:14" x14ac:dyDescent="0.25">
      <c r="A524" s="1" t="s">
        <v>536</v>
      </c>
      <c r="B524" t="str">
        <f>HYPERLINK("https://www.suredividend.com/sure-analysis-research-database/","Extreme Networks Inc.")</f>
        <v>Extreme Networks Inc.</v>
      </c>
      <c r="C524" t="s">
        <v>1803</v>
      </c>
      <c r="D524">
        <v>16.22</v>
      </c>
      <c r="E524">
        <v>0</v>
      </c>
      <c r="F524" t="s">
        <v>1797</v>
      </c>
      <c r="G524" t="s">
        <v>1797</v>
      </c>
      <c r="H524">
        <v>0</v>
      </c>
      <c r="I524">
        <v>2102.3363060000001</v>
      </c>
      <c r="J524">
        <v>22.32609044103436</v>
      </c>
      <c r="K524">
        <v>0</v>
      </c>
      <c r="L524">
        <v>1.196126759414087</v>
      </c>
      <c r="M524">
        <v>32.729999999999997</v>
      </c>
      <c r="N524">
        <v>14.63</v>
      </c>
    </row>
    <row r="525" spans="1:14" x14ac:dyDescent="0.25">
      <c r="A525" s="1" t="s">
        <v>537</v>
      </c>
      <c r="B525" t="str">
        <f>HYPERLINK("https://www.suredividend.com/sure-analysis-research-database/","National Vision Holdings Inc")</f>
        <v>National Vision Holdings Inc</v>
      </c>
      <c r="C525" t="s">
        <v>1801</v>
      </c>
      <c r="D525">
        <v>20.71</v>
      </c>
      <c r="E525">
        <v>0</v>
      </c>
      <c r="F525" t="s">
        <v>1797</v>
      </c>
      <c r="G525" t="s">
        <v>1797</v>
      </c>
      <c r="H525">
        <v>0</v>
      </c>
      <c r="I525">
        <v>1620.4667690000001</v>
      </c>
      <c r="J525" t="s">
        <v>1797</v>
      </c>
      <c r="K525">
        <v>0</v>
      </c>
      <c r="L525">
        <v>1.578791192675008</v>
      </c>
      <c r="M525">
        <v>43.82</v>
      </c>
      <c r="N525">
        <v>13.71</v>
      </c>
    </row>
    <row r="526" spans="1:14" x14ac:dyDescent="0.25">
      <c r="A526" s="1" t="s">
        <v>538</v>
      </c>
      <c r="B526" t="str">
        <f>HYPERLINK("https://www.suredividend.com/sure-analysis-research-database/","EyePoint Pharmaceuticals Inc")</f>
        <v>EyePoint Pharmaceuticals Inc</v>
      </c>
      <c r="C526" t="s">
        <v>1802</v>
      </c>
      <c r="D526">
        <v>22.76</v>
      </c>
      <c r="E526">
        <v>0</v>
      </c>
      <c r="F526" t="s">
        <v>1797</v>
      </c>
      <c r="G526" t="s">
        <v>1797</v>
      </c>
      <c r="H526">
        <v>0</v>
      </c>
      <c r="I526">
        <v>1111.5720670000001</v>
      </c>
      <c r="J526">
        <v>0</v>
      </c>
      <c r="K526" t="s">
        <v>1797</v>
      </c>
      <c r="L526">
        <v>1.0843023252042101</v>
      </c>
      <c r="M526">
        <v>24.62</v>
      </c>
      <c r="N526">
        <v>2.21</v>
      </c>
    </row>
    <row r="527" spans="1:14" x14ac:dyDescent="0.25">
      <c r="A527" s="1" t="s">
        <v>539</v>
      </c>
      <c r="B527" t="str">
        <f>HYPERLINK("https://www.suredividend.com/sure-analysis-research-database/","EZCorp, Inc.")</f>
        <v>EZCorp, Inc.</v>
      </c>
      <c r="C527" t="s">
        <v>1800</v>
      </c>
      <c r="D527">
        <v>8.5399999999999991</v>
      </c>
      <c r="E527">
        <v>0</v>
      </c>
      <c r="F527" t="s">
        <v>1797</v>
      </c>
      <c r="G527" t="s">
        <v>1797</v>
      </c>
      <c r="H527">
        <v>0</v>
      </c>
      <c r="I527">
        <v>441.91845799999999</v>
      </c>
      <c r="J527">
        <v>11.489443300834569</v>
      </c>
      <c r="K527">
        <v>0</v>
      </c>
      <c r="L527">
        <v>0.63662301900224205</v>
      </c>
      <c r="M527">
        <v>9.73</v>
      </c>
      <c r="N527">
        <v>7.7</v>
      </c>
    </row>
    <row r="528" spans="1:14" x14ac:dyDescent="0.25">
      <c r="A528" s="1" t="s">
        <v>540</v>
      </c>
      <c r="B528" t="str">
        <f>HYPERLINK("https://www.suredividend.com/sure-analysis-research-database/","First Advantage Corp.")</f>
        <v>First Advantage Corp.</v>
      </c>
      <c r="C528" t="s">
        <v>1797</v>
      </c>
      <c r="D528">
        <v>15.91</v>
      </c>
      <c r="E528">
        <v>0</v>
      </c>
      <c r="F528" t="s">
        <v>1797</v>
      </c>
      <c r="G528" t="s">
        <v>1797</v>
      </c>
      <c r="H528">
        <v>0</v>
      </c>
      <c r="I528">
        <v>2308.8593110000002</v>
      </c>
      <c r="J528">
        <v>54.165516618261151</v>
      </c>
      <c r="K528">
        <v>0</v>
      </c>
      <c r="L528">
        <v>1.0782074995087729</v>
      </c>
      <c r="M528">
        <v>16.77</v>
      </c>
      <c r="N528">
        <v>10.88</v>
      </c>
    </row>
    <row r="529" spans="1:14" x14ac:dyDescent="0.25">
      <c r="A529" s="1" t="s">
        <v>541</v>
      </c>
      <c r="B529" t="str">
        <f>HYPERLINK("https://www.suredividend.com/sure-analysis-research-database/","Faro Technologies Inc.")</f>
        <v>Faro Technologies Inc.</v>
      </c>
      <c r="C529" t="s">
        <v>1803</v>
      </c>
      <c r="D529">
        <v>21.66</v>
      </c>
      <c r="E529">
        <v>0</v>
      </c>
      <c r="F529" t="s">
        <v>1797</v>
      </c>
      <c r="G529" t="s">
        <v>1797</v>
      </c>
      <c r="H529">
        <v>0</v>
      </c>
      <c r="I529">
        <v>410.54920700000002</v>
      </c>
      <c r="J529" t="s">
        <v>1797</v>
      </c>
      <c r="K529">
        <v>0</v>
      </c>
      <c r="L529">
        <v>1.618472924806345</v>
      </c>
      <c r="M529">
        <v>36.74</v>
      </c>
      <c r="N529">
        <v>10.3</v>
      </c>
    </row>
    <row r="530" spans="1:14" x14ac:dyDescent="0.25">
      <c r="A530" s="1" t="s">
        <v>542</v>
      </c>
      <c r="B530" t="str">
        <f>HYPERLINK("https://www.suredividend.com/sure-analysis-research-database/","Fate Therapeutics Inc")</f>
        <v>Fate Therapeutics Inc</v>
      </c>
      <c r="C530" t="s">
        <v>1802</v>
      </c>
      <c r="D530">
        <v>4.55</v>
      </c>
      <c r="E530">
        <v>0</v>
      </c>
      <c r="F530" t="s">
        <v>1797</v>
      </c>
      <c r="G530" t="s">
        <v>1797</v>
      </c>
      <c r="H530">
        <v>0</v>
      </c>
      <c r="I530">
        <v>448.63894499999998</v>
      </c>
      <c r="J530" t="s">
        <v>1797</v>
      </c>
      <c r="K530">
        <v>0</v>
      </c>
      <c r="L530">
        <v>2.6259509599613118</v>
      </c>
      <c r="M530">
        <v>7.08</v>
      </c>
      <c r="N530">
        <v>1.63</v>
      </c>
    </row>
    <row r="531" spans="1:14" x14ac:dyDescent="0.25">
      <c r="A531" s="1" t="s">
        <v>543</v>
      </c>
      <c r="B531" t="str">
        <f>HYPERLINK("https://www.suredividend.com/sure-analysis-research-database/","First Business Financial Services Inc")</f>
        <v>First Business Financial Services Inc</v>
      </c>
      <c r="C531" t="s">
        <v>1800</v>
      </c>
      <c r="D531">
        <v>36.479999999999997</v>
      </c>
      <c r="E531">
        <v>2.4397949501308001E-2</v>
      </c>
      <c r="F531">
        <v>0.15189873417721511</v>
      </c>
      <c r="G531">
        <v>8.6871068489539516E-2</v>
      </c>
      <c r="H531">
        <v>0.89003719780772605</v>
      </c>
      <c r="I531">
        <v>303.32758799999999</v>
      </c>
      <c r="J531">
        <v>8.5247481445674769</v>
      </c>
      <c r="K531">
        <v>0.20366983931526911</v>
      </c>
      <c r="L531">
        <v>1.0960066457176361</v>
      </c>
      <c r="M531">
        <v>41.03</v>
      </c>
      <c r="N531">
        <v>23.87</v>
      </c>
    </row>
    <row r="532" spans="1:14" x14ac:dyDescent="0.25">
      <c r="A532" s="1" t="s">
        <v>544</v>
      </c>
      <c r="B532" t="str">
        <f>HYPERLINK("https://www.suredividend.com/sure-analysis-research-database/","FB Financial Corp")</f>
        <v>FB Financial Corp</v>
      </c>
      <c r="C532" t="s">
        <v>1800</v>
      </c>
      <c r="D532">
        <v>38.36</v>
      </c>
      <c r="E532">
        <v>1.5531838802738E-2</v>
      </c>
      <c r="F532">
        <v>0.15384615384615369</v>
      </c>
      <c r="G532">
        <v>0.13396657763302719</v>
      </c>
      <c r="H532">
        <v>0.5958013364730671</v>
      </c>
      <c r="I532">
        <v>1796.912824</v>
      </c>
      <c r="J532">
        <v>13.929772740662649</v>
      </c>
      <c r="K532">
        <v>0.21665503144475171</v>
      </c>
      <c r="L532">
        <v>1.5547103808907199</v>
      </c>
      <c r="M532">
        <v>41</v>
      </c>
      <c r="N532">
        <v>23.99</v>
      </c>
    </row>
    <row r="533" spans="1:14" x14ac:dyDescent="0.25">
      <c r="A533" s="1" t="s">
        <v>545</v>
      </c>
      <c r="B533" t="str">
        <f>HYPERLINK("https://www.suredividend.com/sure-analysis-research-database/","First Bancshares Inc Miss")</f>
        <v>First Bancshares Inc Miss</v>
      </c>
      <c r="C533" t="s">
        <v>1800</v>
      </c>
      <c r="D533">
        <v>27.52</v>
      </c>
      <c r="E533">
        <v>3.1911842301684E-2</v>
      </c>
      <c r="F533">
        <v>0.2</v>
      </c>
      <c r="G533">
        <v>0.27944800171705092</v>
      </c>
      <c r="H533">
        <v>0.87821390014236211</v>
      </c>
      <c r="I533">
        <v>855.60318500000005</v>
      </c>
      <c r="J533">
        <v>10.601744456780329</v>
      </c>
      <c r="K533">
        <v>0.32406416979422958</v>
      </c>
      <c r="L533">
        <v>1.5242943515315679</v>
      </c>
      <c r="M533">
        <v>31.39</v>
      </c>
      <c r="N533">
        <v>21.68</v>
      </c>
    </row>
    <row r="534" spans="1:14" x14ac:dyDescent="0.25">
      <c r="A534" s="1" t="s">
        <v>546</v>
      </c>
      <c r="B534" t="str">
        <f>HYPERLINK("https://www.suredividend.com/sure-analysis-research-database/","First Bancorp")</f>
        <v>First Bancorp</v>
      </c>
      <c r="C534" t="s">
        <v>1800</v>
      </c>
      <c r="D534">
        <v>34.630000000000003</v>
      </c>
      <c r="E534">
        <v>2.4907365977216E-2</v>
      </c>
      <c r="F534">
        <v>0</v>
      </c>
      <c r="G534">
        <v>0.12888132073019751</v>
      </c>
      <c r="H534">
        <v>0.86254208379100605</v>
      </c>
      <c r="I534">
        <v>1422.975027</v>
      </c>
      <c r="J534">
        <v>12.685539544631951</v>
      </c>
      <c r="K534">
        <v>0.30586598715993119</v>
      </c>
      <c r="L534">
        <v>1.2713239507530729</v>
      </c>
      <c r="M534">
        <v>41.44</v>
      </c>
      <c r="N534">
        <v>25.18</v>
      </c>
    </row>
    <row r="535" spans="1:14" x14ac:dyDescent="0.25">
      <c r="A535" s="1" t="s">
        <v>547</v>
      </c>
      <c r="B535" t="str">
        <f>HYPERLINK("https://www.suredividend.com/sure-analysis-research-database/","First Bancorp PR")</f>
        <v>First Bancorp PR</v>
      </c>
      <c r="C535" t="s">
        <v>1800</v>
      </c>
      <c r="D535">
        <v>15.69</v>
      </c>
      <c r="E535">
        <v>3.5154502994919012E-2</v>
      </c>
      <c r="F535">
        <v>0.16666666666666671</v>
      </c>
      <c r="G535">
        <v>0.36082210785873881</v>
      </c>
      <c r="H535">
        <v>0.55157415199028603</v>
      </c>
      <c r="I535">
        <v>2707.3437979999999</v>
      </c>
      <c r="J535">
        <v>9.1294989979396313</v>
      </c>
      <c r="K535">
        <v>0.33632570243310123</v>
      </c>
      <c r="L535">
        <v>1.50457002689942</v>
      </c>
      <c r="M535">
        <v>17.149999999999999</v>
      </c>
      <c r="N535">
        <v>9.86</v>
      </c>
    </row>
    <row r="536" spans="1:14" x14ac:dyDescent="0.25">
      <c r="A536" s="1" t="s">
        <v>548</v>
      </c>
      <c r="B536" t="str">
        <f>HYPERLINK("https://www.suredividend.com/sure-analysis-research-database/","Franklin BSP Realty Trust Inc.")</f>
        <v>Franklin BSP Realty Trust Inc.</v>
      </c>
      <c r="C536" t="s">
        <v>1797</v>
      </c>
      <c r="D536">
        <v>13.62</v>
      </c>
      <c r="E536">
        <v>0.10039262370234101</v>
      </c>
      <c r="F536" t="s">
        <v>1797</v>
      </c>
      <c r="G536" t="s">
        <v>1797</v>
      </c>
      <c r="H536">
        <v>1.367347534825891</v>
      </c>
      <c r="I536">
        <v>1117.836712</v>
      </c>
      <c r="J536">
        <v>9.8178143968803244</v>
      </c>
      <c r="K536">
        <v>0.99083154697528342</v>
      </c>
      <c r="L536">
        <v>1.2389599387750609</v>
      </c>
      <c r="M536">
        <v>14.3</v>
      </c>
      <c r="N536">
        <v>9.9600000000000009</v>
      </c>
    </row>
    <row r="537" spans="1:14" x14ac:dyDescent="0.25">
      <c r="A537" s="1" t="s">
        <v>549</v>
      </c>
      <c r="B537" t="str">
        <f>HYPERLINK("https://www.suredividend.com/sure-analysis-research-database/","Franklin Covey Co.")</f>
        <v>Franklin Covey Co.</v>
      </c>
      <c r="C537" t="s">
        <v>1798</v>
      </c>
      <c r="D537">
        <v>41.07</v>
      </c>
      <c r="E537">
        <v>0</v>
      </c>
      <c r="F537" t="s">
        <v>1797</v>
      </c>
      <c r="G537" t="s">
        <v>1797</v>
      </c>
      <c r="H537">
        <v>0</v>
      </c>
      <c r="I537">
        <v>545.66308400000003</v>
      </c>
      <c r="J537">
        <v>30.373675704981899</v>
      </c>
      <c r="K537">
        <v>0</v>
      </c>
      <c r="L537">
        <v>0.69226591478739607</v>
      </c>
      <c r="M537">
        <v>49.77</v>
      </c>
      <c r="N537">
        <v>32.19</v>
      </c>
    </row>
    <row r="538" spans="1:14" x14ac:dyDescent="0.25">
      <c r="A538" s="1" t="s">
        <v>550</v>
      </c>
      <c r="B538" t="str">
        <f>HYPERLINK("https://www.suredividend.com/sure-analysis-research-database/","First Community Bankshares Inc.")</f>
        <v>First Community Bankshares Inc.</v>
      </c>
      <c r="C538" t="s">
        <v>1800</v>
      </c>
      <c r="D538">
        <v>35.42</v>
      </c>
      <c r="E538">
        <v>3.1954477029839001E-2</v>
      </c>
      <c r="F538">
        <v>0</v>
      </c>
      <c r="G538">
        <v>6.6683901275273794E-2</v>
      </c>
      <c r="H538">
        <v>1.1318275763969221</v>
      </c>
      <c r="I538">
        <v>656.53697299999999</v>
      </c>
      <c r="J538">
        <v>13.44839045043938</v>
      </c>
      <c r="K538">
        <v>0.40422413442747218</v>
      </c>
      <c r="L538">
        <v>0.79450538057047604</v>
      </c>
      <c r="M538">
        <v>39.229999999999997</v>
      </c>
      <c r="N538">
        <v>21.52</v>
      </c>
    </row>
    <row r="539" spans="1:14" x14ac:dyDescent="0.25">
      <c r="A539" s="1" t="s">
        <v>551</v>
      </c>
      <c r="B539" t="str">
        <f>HYPERLINK("https://www.suredividend.com/sure-analysis-research-database/","Fuelcell Energy Inc")</f>
        <v>Fuelcell Energy Inc</v>
      </c>
      <c r="C539" t="s">
        <v>1798</v>
      </c>
      <c r="D539">
        <v>1.21</v>
      </c>
      <c r="E539">
        <v>0</v>
      </c>
      <c r="F539" t="s">
        <v>1797</v>
      </c>
      <c r="G539" t="s">
        <v>1797</v>
      </c>
      <c r="H539">
        <v>0</v>
      </c>
      <c r="I539">
        <v>546.68318799999997</v>
      </c>
      <c r="J539" t="s">
        <v>1797</v>
      </c>
      <c r="K539">
        <v>0</v>
      </c>
      <c r="L539">
        <v>2.8727924249608199</v>
      </c>
      <c r="M539">
        <v>4.3600000000000003</v>
      </c>
      <c r="N539">
        <v>0.98099999999999998</v>
      </c>
    </row>
    <row r="540" spans="1:14" x14ac:dyDescent="0.25">
      <c r="A540" s="1" t="s">
        <v>552</v>
      </c>
      <c r="B540" t="str">
        <f>HYPERLINK("https://www.suredividend.com/sure-analysis-research-database/","First Commonwealth Financial Corp.")</f>
        <v>First Commonwealth Financial Corp.</v>
      </c>
      <c r="C540" t="s">
        <v>1800</v>
      </c>
      <c r="D540">
        <v>14.43</v>
      </c>
      <c r="E540">
        <v>3.3809483511756999E-2</v>
      </c>
      <c r="F540">
        <v>4.1666666666666741E-2</v>
      </c>
      <c r="G540">
        <v>4.5639552591273169E-2</v>
      </c>
      <c r="H540">
        <v>0.48787084707465911</v>
      </c>
      <c r="I540">
        <v>1473.468065</v>
      </c>
      <c r="J540">
        <v>9.9579510895525409</v>
      </c>
      <c r="K540">
        <v>0.32743009870782491</v>
      </c>
      <c r="L540">
        <v>1.3011140707319231</v>
      </c>
      <c r="M540">
        <v>16.05</v>
      </c>
      <c r="N540">
        <v>11.05</v>
      </c>
    </row>
    <row r="541" spans="1:14" x14ac:dyDescent="0.25">
      <c r="A541" s="1" t="s">
        <v>553</v>
      </c>
      <c r="B541" t="str">
        <f>HYPERLINK("https://www.suredividend.com/sure-analysis-research-database/","FirstCash Holdings Inc")</f>
        <v>FirstCash Holdings Inc</v>
      </c>
      <c r="C541" t="s">
        <v>1800</v>
      </c>
      <c r="D541">
        <v>110.11</v>
      </c>
      <c r="E541">
        <v>1.2239097113203E-2</v>
      </c>
      <c r="F541">
        <v>6.0606060606060552E-2</v>
      </c>
      <c r="G541">
        <v>6.9610375725068785E-2</v>
      </c>
      <c r="H541">
        <v>1.3476469831347859</v>
      </c>
      <c r="I541">
        <v>4966.8418799999999</v>
      </c>
      <c r="J541">
        <v>21.615828669411339</v>
      </c>
      <c r="K541">
        <v>0.26952939662695719</v>
      </c>
      <c r="L541">
        <v>0.68075592816353103</v>
      </c>
      <c r="M541">
        <v>116.83</v>
      </c>
      <c r="N541">
        <v>83.55</v>
      </c>
    </row>
    <row r="542" spans="1:14" x14ac:dyDescent="0.25">
      <c r="A542" s="1" t="s">
        <v>554</v>
      </c>
      <c r="B542" t="str">
        <f>HYPERLINK("https://www.suredividend.com/sure-analysis-FCPT/","Four Corners Property Trust Inc")</f>
        <v>Four Corners Property Trust Inc</v>
      </c>
      <c r="C542" t="s">
        <v>1799</v>
      </c>
      <c r="D542">
        <v>25.18</v>
      </c>
      <c r="E542">
        <v>5.480540111199364E-2</v>
      </c>
      <c r="F542">
        <v>1.4705882352941121E-2</v>
      </c>
      <c r="G542">
        <v>3.7137289336648172E-2</v>
      </c>
      <c r="H542">
        <v>1.336630369218331</v>
      </c>
      <c r="I542">
        <v>2280.4316100000001</v>
      </c>
      <c r="J542">
        <v>24.317081757109801</v>
      </c>
      <c r="K542">
        <v>1.2376207122391949</v>
      </c>
      <c r="L542">
        <v>0.77146912444133409</v>
      </c>
      <c r="M542">
        <v>27.73</v>
      </c>
      <c r="N542">
        <v>20.23</v>
      </c>
    </row>
    <row r="543" spans="1:14" x14ac:dyDescent="0.25">
      <c r="A543" s="1" t="s">
        <v>555</v>
      </c>
      <c r="B543" t="str">
        <f>HYPERLINK("https://www.suredividend.com/sure-analysis-research-database/","Focus Universal Inc")</f>
        <v>Focus Universal Inc</v>
      </c>
      <c r="C543" t="s">
        <v>1803</v>
      </c>
      <c r="D543">
        <v>1.5</v>
      </c>
      <c r="E543">
        <v>0</v>
      </c>
      <c r="F543" t="s">
        <v>1797</v>
      </c>
      <c r="G543" t="s">
        <v>1797</v>
      </c>
      <c r="H543">
        <v>0</v>
      </c>
      <c r="I543">
        <v>97.232726</v>
      </c>
      <c r="J543">
        <v>0</v>
      </c>
      <c r="K543" t="s">
        <v>1797</v>
      </c>
      <c r="L543">
        <v>1.8947642863173131</v>
      </c>
      <c r="M543">
        <v>5.14</v>
      </c>
      <c r="N543">
        <v>1.35</v>
      </c>
    </row>
    <row r="544" spans="1:14" x14ac:dyDescent="0.25">
      <c r="A544" s="1" t="s">
        <v>556</v>
      </c>
      <c r="B544" t="str">
        <f>HYPERLINK("https://www.suredividend.com/sure-analysis-research-database/","4D Molecular Therapeutics Inc")</f>
        <v>4D Molecular Therapeutics Inc</v>
      </c>
      <c r="C544" t="s">
        <v>1797</v>
      </c>
      <c r="D544">
        <v>18.8</v>
      </c>
      <c r="E544">
        <v>0</v>
      </c>
      <c r="F544" t="s">
        <v>1797</v>
      </c>
      <c r="G544" t="s">
        <v>1797</v>
      </c>
      <c r="H544">
        <v>0</v>
      </c>
      <c r="I544">
        <v>803.76781200000005</v>
      </c>
      <c r="J544" t="s">
        <v>1797</v>
      </c>
      <c r="K544">
        <v>0</v>
      </c>
      <c r="L544">
        <v>1.1869264405600941</v>
      </c>
      <c r="M544">
        <v>24.1</v>
      </c>
      <c r="N544">
        <v>9.44</v>
      </c>
    </row>
    <row r="545" spans="1:14" x14ac:dyDescent="0.25">
      <c r="A545" s="1" t="s">
        <v>557</v>
      </c>
      <c r="B545" t="str">
        <f>HYPERLINK("https://www.suredividend.com/sure-analysis-research-database/","Fresh Del Monte Produce Inc")</f>
        <v>Fresh Del Monte Produce Inc</v>
      </c>
      <c r="C545" t="s">
        <v>1804</v>
      </c>
      <c r="D545">
        <v>25.64</v>
      </c>
      <c r="E545">
        <v>2.8926320614837998E-2</v>
      </c>
      <c r="F545" t="s">
        <v>1797</v>
      </c>
      <c r="G545" t="s">
        <v>1797</v>
      </c>
      <c r="H545">
        <v>0.74167086056445608</v>
      </c>
      <c r="I545">
        <v>1233.9900230000001</v>
      </c>
      <c r="J545">
        <v>10.881746234920641</v>
      </c>
      <c r="K545">
        <v>0.31560462151678981</v>
      </c>
      <c r="L545">
        <v>0.42895993258984699</v>
      </c>
      <c r="M545">
        <v>31.59</v>
      </c>
      <c r="N545">
        <v>21.23</v>
      </c>
    </row>
    <row r="546" spans="1:14" x14ac:dyDescent="0.25">
      <c r="A546" s="1" t="s">
        <v>558</v>
      </c>
      <c r="B546" t="str">
        <f>HYPERLINK("https://www.suredividend.com/sure-analysis-research-database/","5E Advanced Materials Inc")</f>
        <v>5E Advanced Materials Inc</v>
      </c>
      <c r="C546" t="s">
        <v>1797</v>
      </c>
      <c r="D546">
        <v>1.4</v>
      </c>
      <c r="E546">
        <v>0</v>
      </c>
      <c r="F546" t="s">
        <v>1797</v>
      </c>
      <c r="G546" t="s">
        <v>1797</v>
      </c>
      <c r="H546">
        <v>0</v>
      </c>
      <c r="I546">
        <v>61.931876000000003</v>
      </c>
      <c r="J546">
        <v>0</v>
      </c>
      <c r="K546" t="s">
        <v>1797</v>
      </c>
      <c r="L546">
        <v>1.1063999307549319</v>
      </c>
      <c r="M546">
        <v>12.04</v>
      </c>
      <c r="N546">
        <v>1.27</v>
      </c>
    </row>
    <row r="547" spans="1:14" x14ac:dyDescent="0.25">
      <c r="A547" s="1" t="s">
        <v>559</v>
      </c>
      <c r="B547" t="str">
        <f>HYPERLINK("https://www.suredividend.com/sure-analysis-FELE/","Franklin Electric Co., Inc.")</f>
        <v>Franklin Electric Co., Inc.</v>
      </c>
      <c r="C547" t="s">
        <v>1798</v>
      </c>
      <c r="D547">
        <v>93.52</v>
      </c>
      <c r="E547">
        <v>9.6236099230111206E-3</v>
      </c>
      <c r="F547">
        <v>0.15384615384615369</v>
      </c>
      <c r="G547">
        <v>9.1849810789540687E-2</v>
      </c>
      <c r="H547">
        <v>0.89341039775185405</v>
      </c>
      <c r="I547">
        <v>4311.2719999999999</v>
      </c>
      <c r="J547">
        <v>21.555928881422371</v>
      </c>
      <c r="K547">
        <v>0.20972075064597509</v>
      </c>
      <c r="L547">
        <v>1.016556834133751</v>
      </c>
      <c r="M547">
        <v>106.31</v>
      </c>
      <c r="N547">
        <v>81.86</v>
      </c>
    </row>
    <row r="548" spans="1:14" x14ac:dyDescent="0.25">
      <c r="A548" s="1" t="s">
        <v>560</v>
      </c>
      <c r="B548" t="str">
        <f>HYPERLINK("https://www.suredividend.com/sure-analysis-research-database/","Futurefuel Corp")</f>
        <v>Futurefuel Corp</v>
      </c>
      <c r="C548" t="s">
        <v>1808</v>
      </c>
      <c r="D548">
        <v>5.84</v>
      </c>
      <c r="E548">
        <v>4.0552071139883003E-2</v>
      </c>
      <c r="F548">
        <v>0</v>
      </c>
      <c r="G548">
        <v>0</v>
      </c>
      <c r="H548">
        <v>0.23682409545691699</v>
      </c>
      <c r="I548">
        <v>255.57733899999999</v>
      </c>
      <c r="J548">
        <v>8.8340305941723418</v>
      </c>
      <c r="K548">
        <v>0.3582273414867902</v>
      </c>
      <c r="L548">
        <v>0.79346236734834408</v>
      </c>
      <c r="M548">
        <v>10.119999999999999</v>
      </c>
      <c r="N548">
        <v>5.22</v>
      </c>
    </row>
    <row r="549" spans="1:14" x14ac:dyDescent="0.25">
      <c r="A549" s="1" t="s">
        <v>561</v>
      </c>
      <c r="B549" t="str">
        <f>HYPERLINK("https://www.suredividend.com/sure-analysis-research-database/","First Financial Bancorp")</f>
        <v>First Financial Bancorp</v>
      </c>
      <c r="C549" t="s">
        <v>1800</v>
      </c>
      <c r="D549">
        <v>22.92</v>
      </c>
      <c r="E549">
        <v>3.8816527489604E-2</v>
      </c>
      <c r="F549">
        <v>0</v>
      </c>
      <c r="G549">
        <v>8.9299890719962693E-3</v>
      </c>
      <c r="H549">
        <v>0.8896748100617331</v>
      </c>
      <c r="I549">
        <v>2180.1890659999999</v>
      </c>
      <c r="J549">
        <v>8.1284522086221234</v>
      </c>
      <c r="K549">
        <v>0.31548752129848689</v>
      </c>
      <c r="L549">
        <v>1.3786017614318951</v>
      </c>
      <c r="M549">
        <v>24.61</v>
      </c>
      <c r="N549">
        <v>16.8</v>
      </c>
    </row>
    <row r="550" spans="1:14" x14ac:dyDescent="0.25">
      <c r="A550" s="1" t="s">
        <v>562</v>
      </c>
      <c r="B550" t="str">
        <f>HYPERLINK("https://www.suredividend.com/sure-analysis-research-database/","Flushing Financial Corp.")</f>
        <v>Flushing Financial Corp.</v>
      </c>
      <c r="C550" t="s">
        <v>1800</v>
      </c>
      <c r="D550">
        <v>15.72</v>
      </c>
      <c r="E550">
        <v>5.3411215998694007E-2</v>
      </c>
      <c r="F550">
        <v>0</v>
      </c>
      <c r="G550">
        <v>9.3474199095688881E-3</v>
      </c>
      <c r="H550">
        <v>0.83962431549948102</v>
      </c>
      <c r="I550">
        <v>454.066305</v>
      </c>
      <c r="J550">
        <v>13.5809746066878</v>
      </c>
      <c r="K550">
        <v>0.75641830225178464</v>
      </c>
      <c r="L550">
        <v>1.5673272325778509</v>
      </c>
      <c r="M550">
        <v>18.3</v>
      </c>
      <c r="N550">
        <v>8.4</v>
      </c>
    </row>
    <row r="551" spans="1:14" x14ac:dyDescent="0.25">
      <c r="A551" s="1" t="s">
        <v>563</v>
      </c>
      <c r="B551" t="str">
        <f>HYPERLINK("https://www.suredividend.com/sure-analysis-research-database/","Faraday Future Intelligent Electric Inc")</f>
        <v>Faraday Future Intelligent Electric Inc</v>
      </c>
      <c r="C551" t="s">
        <v>1797</v>
      </c>
      <c r="D551">
        <v>0.17100000000000001</v>
      </c>
      <c r="E551">
        <v>0</v>
      </c>
      <c r="F551" t="s">
        <v>1797</v>
      </c>
      <c r="G551" t="s">
        <v>1797</v>
      </c>
      <c r="H551">
        <v>0</v>
      </c>
      <c r="I551">
        <v>3.1806000000000001</v>
      </c>
      <c r="J551">
        <v>0</v>
      </c>
      <c r="K551" t="s">
        <v>1797</v>
      </c>
      <c r="L551">
        <v>1.480226718244172</v>
      </c>
      <c r="M551">
        <v>105.6</v>
      </c>
      <c r="N551">
        <v>0.155</v>
      </c>
    </row>
    <row r="552" spans="1:14" x14ac:dyDescent="0.25">
      <c r="A552" s="1" t="s">
        <v>564</v>
      </c>
      <c r="B552" t="str">
        <f>HYPERLINK("https://www.suredividend.com/sure-analysis-FFIN/","First Financial Bankshares, Inc.")</f>
        <v>First Financial Bankshares, Inc.</v>
      </c>
      <c r="C552" t="s">
        <v>1800</v>
      </c>
      <c r="D552">
        <v>28.03</v>
      </c>
      <c r="E552">
        <v>2.5686764181234389E-2</v>
      </c>
      <c r="F552">
        <v>5.8823529411764497E-2</v>
      </c>
      <c r="G552">
        <v>-3.035973390442093E-2</v>
      </c>
      <c r="H552">
        <v>0.69927899642278601</v>
      </c>
      <c r="I552">
        <v>4000.1420710000002</v>
      </c>
      <c r="J552">
        <v>18.898457805589022</v>
      </c>
      <c r="K552">
        <v>0.47248580839377441</v>
      </c>
      <c r="L552">
        <v>1.581801825359106</v>
      </c>
      <c r="M552">
        <v>36.700000000000003</v>
      </c>
      <c r="N552">
        <v>22.56</v>
      </c>
    </row>
    <row r="553" spans="1:14" x14ac:dyDescent="0.25">
      <c r="A553" s="1" t="s">
        <v>565</v>
      </c>
      <c r="B553" t="str">
        <f>HYPERLINK("https://www.suredividend.com/sure-analysis-research-database/","First Foundation Inc")</f>
        <v>First Foundation Inc</v>
      </c>
      <c r="C553" t="s">
        <v>1800</v>
      </c>
      <c r="D553">
        <v>9.5399999999999991</v>
      </c>
      <c r="E553">
        <v>1.6679026634174001E-2</v>
      </c>
      <c r="F553">
        <v>-0.90909090909090906</v>
      </c>
      <c r="G553">
        <v>-0.27522033632230453</v>
      </c>
      <c r="H553">
        <v>0.15911791409002701</v>
      </c>
      <c r="I553">
        <v>538.47360400000002</v>
      </c>
      <c r="J553" t="s">
        <v>1797</v>
      </c>
      <c r="K553" t="s">
        <v>1797</v>
      </c>
      <c r="L553">
        <v>2.602251827202406</v>
      </c>
      <c r="M553">
        <v>16.46</v>
      </c>
      <c r="N553">
        <v>3.68</v>
      </c>
    </row>
    <row r="554" spans="1:14" x14ac:dyDescent="0.25">
      <c r="A554" s="1" t="s">
        <v>566</v>
      </c>
      <c r="B554" t="str">
        <f>HYPERLINK("https://www.suredividend.com/sure-analysis-research-database/","First Guaranty Bancshares Inc")</f>
        <v>First Guaranty Bancshares Inc</v>
      </c>
      <c r="C554" t="s">
        <v>1800</v>
      </c>
      <c r="D554">
        <v>11.6</v>
      </c>
      <c r="E554">
        <v>5.2980538627099998E-2</v>
      </c>
      <c r="F554">
        <v>0</v>
      </c>
      <c r="G554">
        <v>0</v>
      </c>
      <c r="H554">
        <v>0.61457424807436201</v>
      </c>
      <c r="I554">
        <v>132.60056299999999</v>
      </c>
      <c r="J554">
        <v>0</v>
      </c>
      <c r="K554" t="s">
        <v>1797</v>
      </c>
      <c r="L554">
        <v>0.47088575526967802</v>
      </c>
      <c r="M554">
        <v>21.75</v>
      </c>
      <c r="N554">
        <v>8.99</v>
      </c>
    </row>
    <row r="555" spans="1:14" x14ac:dyDescent="0.25">
      <c r="A555" s="1" t="s">
        <v>567</v>
      </c>
      <c r="B555" t="str">
        <f>HYPERLINK("https://www.suredividend.com/sure-analysis-research-database/","FibroGen Inc")</f>
        <v>FibroGen Inc</v>
      </c>
      <c r="C555" t="s">
        <v>1802</v>
      </c>
      <c r="D555">
        <v>0.75260000000000005</v>
      </c>
      <c r="E555">
        <v>0</v>
      </c>
      <c r="F555" t="s">
        <v>1797</v>
      </c>
      <c r="G555" t="s">
        <v>1797</v>
      </c>
      <c r="H555">
        <v>0</v>
      </c>
      <c r="I555">
        <v>74.010848999999993</v>
      </c>
      <c r="J555" t="s">
        <v>1797</v>
      </c>
      <c r="K555">
        <v>0</v>
      </c>
      <c r="L555">
        <v>2.3619936541334119</v>
      </c>
      <c r="M555">
        <v>25.69</v>
      </c>
      <c r="N555">
        <v>0.33329999999999999</v>
      </c>
    </row>
    <row r="556" spans="1:14" x14ac:dyDescent="0.25">
      <c r="A556" s="1" t="s">
        <v>568</v>
      </c>
      <c r="B556" t="str">
        <f>HYPERLINK("https://www.suredividend.com/sure-analysis-research-database/","Federated Hermes Inc")</f>
        <v>Federated Hermes Inc</v>
      </c>
      <c r="C556" t="s">
        <v>1800</v>
      </c>
      <c r="D556">
        <v>33.67</v>
      </c>
      <c r="E556">
        <v>3.2562887242522001E-2</v>
      </c>
      <c r="F556">
        <v>3.7037037037036979E-2</v>
      </c>
      <c r="G556">
        <v>7.3000451952116574E-3</v>
      </c>
      <c r="H556">
        <v>1.0963924134557239</v>
      </c>
      <c r="I556">
        <v>2903.89777</v>
      </c>
      <c r="J556">
        <v>11.139232921351329</v>
      </c>
      <c r="K556">
        <v>0.35597156281030001</v>
      </c>
      <c r="L556">
        <v>0.69381964576319211</v>
      </c>
      <c r="M556">
        <v>44.46</v>
      </c>
      <c r="N556">
        <v>29.97</v>
      </c>
    </row>
    <row r="557" spans="1:14" x14ac:dyDescent="0.25">
      <c r="A557" s="1" t="s">
        <v>569</v>
      </c>
      <c r="B557" t="str">
        <f>HYPERLINK("https://www.suredividend.com/sure-analysis-research-database/","Foghorn Therapeutics Inc")</f>
        <v>Foghorn Therapeutics Inc</v>
      </c>
      <c r="C557" t="s">
        <v>1797</v>
      </c>
      <c r="D557">
        <v>5.26</v>
      </c>
      <c r="E557">
        <v>0</v>
      </c>
      <c r="F557" t="s">
        <v>1797</v>
      </c>
      <c r="G557" t="s">
        <v>1797</v>
      </c>
      <c r="H557">
        <v>0</v>
      </c>
      <c r="I557">
        <v>222.062083</v>
      </c>
      <c r="J557" t="s">
        <v>1797</v>
      </c>
      <c r="K557">
        <v>0</v>
      </c>
      <c r="L557">
        <v>1.4498319499244161</v>
      </c>
      <c r="M557">
        <v>9.9700000000000006</v>
      </c>
      <c r="N557">
        <v>2.84</v>
      </c>
    </row>
    <row r="558" spans="1:14" x14ac:dyDescent="0.25">
      <c r="A558" s="1" t="s">
        <v>570</v>
      </c>
      <c r="B558" t="str">
        <f>HYPERLINK("https://www.suredividend.com/sure-analysis-research-database/","First Interstate BancSystem Inc.")</f>
        <v>First Interstate BancSystem Inc.</v>
      </c>
      <c r="C558" t="s">
        <v>1800</v>
      </c>
      <c r="D558">
        <v>29.07</v>
      </c>
      <c r="E558">
        <v>6.1240139491444003E-2</v>
      </c>
      <c r="F558">
        <v>0</v>
      </c>
      <c r="G558">
        <v>8.6794001831422829E-2</v>
      </c>
      <c r="H558">
        <v>1.780250855016281</v>
      </c>
      <c r="I558">
        <v>3052.287965</v>
      </c>
      <c r="J558">
        <v>10.83139802916962</v>
      </c>
      <c r="K558">
        <v>0.65691913469235463</v>
      </c>
      <c r="L558">
        <v>1.490730245753342</v>
      </c>
      <c r="M558">
        <v>34.85</v>
      </c>
      <c r="N558">
        <v>19.59</v>
      </c>
    </row>
    <row r="559" spans="1:14" x14ac:dyDescent="0.25">
      <c r="A559" s="1" t="s">
        <v>571</v>
      </c>
      <c r="B559" t="str">
        <f>HYPERLINK("https://www.suredividend.com/sure-analysis-research-database/","Figs Inc")</f>
        <v>Figs Inc</v>
      </c>
      <c r="C559" t="s">
        <v>1797</v>
      </c>
      <c r="D559">
        <v>6.1</v>
      </c>
      <c r="E559">
        <v>0</v>
      </c>
      <c r="F559" t="s">
        <v>1797</v>
      </c>
      <c r="G559" t="s">
        <v>1797</v>
      </c>
      <c r="H559">
        <v>0</v>
      </c>
      <c r="I559">
        <v>982.82320400000003</v>
      </c>
      <c r="J559">
        <v>61.319141739455951</v>
      </c>
      <c r="K559">
        <v>0</v>
      </c>
      <c r="L559">
        <v>2.064544416569249</v>
      </c>
      <c r="M559">
        <v>10.199999999999999</v>
      </c>
      <c r="N559">
        <v>5.16</v>
      </c>
    </row>
    <row r="560" spans="1:14" x14ac:dyDescent="0.25">
      <c r="A560" s="1" t="s">
        <v>572</v>
      </c>
      <c r="B560" t="str">
        <f>HYPERLINK("https://www.suredividend.com/sure-analysis-FISI/","Financial Institutions Inc.")</f>
        <v>Financial Institutions Inc.</v>
      </c>
      <c r="C560" t="s">
        <v>1800</v>
      </c>
      <c r="D560">
        <v>21.49</v>
      </c>
      <c r="E560">
        <v>5.5839925546765937E-2</v>
      </c>
      <c r="F560">
        <v>3.4482758620689953E-2</v>
      </c>
      <c r="G560">
        <v>3.7137289336648172E-2</v>
      </c>
      <c r="H560">
        <v>1.1433635161324089</v>
      </c>
      <c r="I560">
        <v>331.005312</v>
      </c>
      <c r="J560">
        <v>6.4758248698986582</v>
      </c>
      <c r="K560">
        <v>0.34542704414876402</v>
      </c>
      <c r="L560">
        <v>1.210775821762138</v>
      </c>
      <c r="M560">
        <v>23.05</v>
      </c>
      <c r="N560">
        <v>12.52</v>
      </c>
    </row>
    <row r="561" spans="1:14" x14ac:dyDescent="0.25">
      <c r="A561" s="1" t="s">
        <v>573</v>
      </c>
      <c r="B561" t="str">
        <f>HYPERLINK("https://www.suredividend.com/sure-analysis-research-database/","Comfort Systems USA, Inc.")</f>
        <v>Comfort Systems USA, Inc.</v>
      </c>
      <c r="C561" t="s">
        <v>1798</v>
      </c>
      <c r="D561">
        <v>203.33</v>
      </c>
      <c r="E561">
        <v>4.1732812916700007E-3</v>
      </c>
      <c r="F561">
        <v>0.66666666666666674</v>
      </c>
      <c r="G561">
        <v>0.2135097797182097</v>
      </c>
      <c r="H561">
        <v>0.84855328503539207</v>
      </c>
      <c r="I561">
        <v>7261.8933340000003</v>
      </c>
      <c r="J561">
        <v>25.281534787687001</v>
      </c>
      <c r="K561">
        <v>0.10606916062942399</v>
      </c>
      <c r="L561">
        <v>1.2401909382760981</v>
      </c>
      <c r="M561">
        <v>211.61</v>
      </c>
      <c r="N561">
        <v>113.24</v>
      </c>
    </row>
    <row r="562" spans="1:14" x14ac:dyDescent="0.25">
      <c r="A562" s="1" t="s">
        <v>574</v>
      </c>
      <c r="B562" t="str">
        <f>HYPERLINK("https://www.suredividend.com/sure-analysis-research-database/","National Beverage Corp.")</f>
        <v>National Beverage Corp.</v>
      </c>
      <c r="C562" t="s">
        <v>1804</v>
      </c>
      <c r="D562">
        <v>50.23</v>
      </c>
      <c r="E562">
        <v>0</v>
      </c>
      <c r="F562" t="s">
        <v>1797</v>
      </c>
      <c r="G562" t="s">
        <v>1797</v>
      </c>
      <c r="H562">
        <v>0</v>
      </c>
      <c r="I562">
        <v>4691.1176320000004</v>
      </c>
      <c r="J562">
        <v>28.5899065203586</v>
      </c>
      <c r="K562">
        <v>0</v>
      </c>
      <c r="L562">
        <v>0.49321957828621399</v>
      </c>
      <c r="M562">
        <v>55.12</v>
      </c>
      <c r="N562">
        <v>42.09</v>
      </c>
    </row>
    <row r="563" spans="1:14" x14ac:dyDescent="0.25">
      <c r="A563" s="1" t="s">
        <v>575</v>
      </c>
      <c r="B563" t="str">
        <f>HYPERLINK("https://www.suredividend.com/sure-analysis-research-database/","Foot Locker Inc")</f>
        <v>Foot Locker Inc</v>
      </c>
      <c r="C563" t="s">
        <v>1801</v>
      </c>
      <c r="D563">
        <v>28.57</v>
      </c>
      <c r="E563">
        <v>4.1255960274873001E-2</v>
      </c>
      <c r="F563" t="s">
        <v>1797</v>
      </c>
      <c r="G563" t="s">
        <v>1797</v>
      </c>
      <c r="H563">
        <v>1.178682785053129</v>
      </c>
      <c r="I563">
        <v>2690.2028260000002</v>
      </c>
      <c r="J563">
        <v>34.489779820384619</v>
      </c>
      <c r="K563">
        <v>1.431830399724404</v>
      </c>
      <c r="L563">
        <v>1.3102621643453269</v>
      </c>
      <c r="M563">
        <v>45.15</v>
      </c>
      <c r="N563">
        <v>14.56</v>
      </c>
    </row>
    <row r="564" spans="1:14" x14ac:dyDescent="0.25">
      <c r="A564" s="1" t="s">
        <v>576</v>
      </c>
      <c r="B564" t="str">
        <f>HYPERLINK("https://www.suredividend.com/sure-analysis-research-database/","Fulgent Genetics Inc")</f>
        <v>Fulgent Genetics Inc</v>
      </c>
      <c r="C564" t="s">
        <v>1802</v>
      </c>
      <c r="D564">
        <v>27.97</v>
      </c>
      <c r="E564">
        <v>0</v>
      </c>
      <c r="F564" t="s">
        <v>1797</v>
      </c>
      <c r="G564" t="s">
        <v>1797</v>
      </c>
      <c r="H564">
        <v>0</v>
      </c>
      <c r="I564">
        <v>828.83660399999997</v>
      </c>
      <c r="J564" t="s">
        <v>1797</v>
      </c>
      <c r="K564">
        <v>0</v>
      </c>
      <c r="L564">
        <v>1.3319883000039381</v>
      </c>
      <c r="M564">
        <v>44.09</v>
      </c>
      <c r="N564">
        <v>23.09</v>
      </c>
    </row>
    <row r="565" spans="1:14" x14ac:dyDescent="0.25">
      <c r="A565" s="1" t="s">
        <v>577</v>
      </c>
      <c r="B565" t="str">
        <f>HYPERLINK("https://www.suredividend.com/sure-analysis-FLIC/","First Of Long Island Corp.")</f>
        <v>First Of Long Island Corp.</v>
      </c>
      <c r="C565" t="s">
        <v>1800</v>
      </c>
      <c r="D565">
        <v>12.53</v>
      </c>
      <c r="E565">
        <v>6.7039106145251395E-2</v>
      </c>
      <c r="F565">
        <v>0</v>
      </c>
      <c r="G565">
        <v>4.3167563810134979E-2</v>
      </c>
      <c r="H565">
        <v>0.80661848839306605</v>
      </c>
      <c r="I565">
        <v>283.033028</v>
      </c>
      <c r="J565">
        <v>9.408091606834196</v>
      </c>
      <c r="K565">
        <v>0.60648006646095187</v>
      </c>
      <c r="L565">
        <v>1.279492118759727</v>
      </c>
      <c r="M565">
        <v>17.07</v>
      </c>
      <c r="N565">
        <v>8.08</v>
      </c>
    </row>
    <row r="566" spans="1:14" x14ac:dyDescent="0.25">
      <c r="A566" s="1" t="s">
        <v>578</v>
      </c>
      <c r="B566" t="str">
        <f>HYPERLINK("https://www.suredividend.com/sure-analysis-research-database/","Full House Resorts, Inc.")</f>
        <v>Full House Resorts, Inc.</v>
      </c>
      <c r="C566" t="s">
        <v>1801</v>
      </c>
      <c r="D566">
        <v>4.8499999999999996</v>
      </c>
      <c r="E566">
        <v>0</v>
      </c>
      <c r="F566" t="s">
        <v>1797</v>
      </c>
      <c r="G566" t="s">
        <v>1797</v>
      </c>
      <c r="H566">
        <v>0</v>
      </c>
      <c r="I566">
        <v>167.748648</v>
      </c>
      <c r="J566">
        <v>0</v>
      </c>
      <c r="K566" t="s">
        <v>1797</v>
      </c>
      <c r="L566">
        <v>1.849114338537257</v>
      </c>
      <c r="M566">
        <v>10.130000000000001</v>
      </c>
      <c r="N566">
        <v>3.4</v>
      </c>
    </row>
    <row r="567" spans="1:14" x14ac:dyDescent="0.25">
      <c r="A567" s="1" t="s">
        <v>579</v>
      </c>
      <c r="B567" t="str">
        <f>HYPERLINK("https://www.suredividend.com/sure-analysis-research-database/","Fluence Energy Inc")</f>
        <v>Fluence Energy Inc</v>
      </c>
      <c r="C567" t="s">
        <v>1797</v>
      </c>
      <c r="D567">
        <v>20.25</v>
      </c>
      <c r="E567">
        <v>0</v>
      </c>
      <c r="F567" t="s">
        <v>1797</v>
      </c>
      <c r="G567" t="s">
        <v>1797</v>
      </c>
      <c r="H567">
        <v>0</v>
      </c>
      <c r="I567">
        <v>2415.9810259999999</v>
      </c>
      <c r="J567" t="s">
        <v>1797</v>
      </c>
      <c r="K567">
        <v>0</v>
      </c>
      <c r="L567">
        <v>2.5604186879513131</v>
      </c>
      <c r="M567">
        <v>31.32</v>
      </c>
      <c r="N567">
        <v>14.7</v>
      </c>
    </row>
    <row r="568" spans="1:14" x14ac:dyDescent="0.25">
      <c r="A568" s="1" t="s">
        <v>580</v>
      </c>
      <c r="B568" t="str">
        <f>HYPERLINK("https://www.suredividend.com/sure-analysis-research-database/","Flex Lng Ltd")</f>
        <v>Flex Lng Ltd</v>
      </c>
      <c r="C568" t="s">
        <v>1807</v>
      </c>
      <c r="D568">
        <v>30.28</v>
      </c>
      <c r="E568">
        <v>9.5596117018587001E-2</v>
      </c>
      <c r="F568" t="s">
        <v>1797</v>
      </c>
      <c r="G568" t="s">
        <v>1797</v>
      </c>
      <c r="H568">
        <v>2.894650423322839</v>
      </c>
      <c r="I568">
        <v>1650.8754409999999</v>
      </c>
      <c r="J568">
        <v>0</v>
      </c>
      <c r="K568" t="s">
        <v>1797</v>
      </c>
      <c r="L568">
        <v>0.68945120505451807</v>
      </c>
      <c r="M568">
        <v>33.36</v>
      </c>
      <c r="N568">
        <v>27.1</v>
      </c>
    </row>
    <row r="569" spans="1:14" x14ac:dyDescent="0.25">
      <c r="A569" s="1" t="s">
        <v>581</v>
      </c>
      <c r="B569" t="str">
        <f>HYPERLINK("https://www.suredividend.com/sure-analysis-research-database/","Fluor Corporation")</f>
        <v>Fluor Corporation</v>
      </c>
      <c r="C569" t="s">
        <v>1798</v>
      </c>
      <c r="D569">
        <v>37.659999999999997</v>
      </c>
      <c r="E569">
        <v>0</v>
      </c>
      <c r="F569" t="s">
        <v>1797</v>
      </c>
      <c r="G569" t="s">
        <v>1797</v>
      </c>
      <c r="H569">
        <v>0</v>
      </c>
      <c r="I569">
        <v>6416.3258889999997</v>
      </c>
      <c r="J569">
        <v>62.294426110679602</v>
      </c>
      <c r="K569">
        <v>0</v>
      </c>
      <c r="L569">
        <v>1.1687775216356791</v>
      </c>
      <c r="M569">
        <v>40.770000000000003</v>
      </c>
      <c r="N569">
        <v>25.69</v>
      </c>
    </row>
    <row r="570" spans="1:14" x14ac:dyDescent="0.25">
      <c r="A570" s="1" t="s">
        <v>582</v>
      </c>
      <c r="B570" t="str">
        <f>HYPERLINK("https://www.suredividend.com/sure-analysis-research-database/","1-800 Flowers.com Inc.")</f>
        <v>1-800 Flowers.com Inc.</v>
      </c>
      <c r="C570" t="s">
        <v>1801</v>
      </c>
      <c r="D570">
        <v>10.039999999999999</v>
      </c>
      <c r="E570">
        <v>0</v>
      </c>
      <c r="F570" t="s">
        <v>1797</v>
      </c>
      <c r="G570" t="s">
        <v>1797</v>
      </c>
      <c r="H570">
        <v>0</v>
      </c>
      <c r="I570">
        <v>379.81317000000001</v>
      </c>
      <c r="J570" t="s">
        <v>1797</v>
      </c>
      <c r="K570">
        <v>0</v>
      </c>
      <c r="L570">
        <v>1.9158705751994221</v>
      </c>
      <c r="M570">
        <v>13.29</v>
      </c>
      <c r="N570">
        <v>5.98</v>
      </c>
    </row>
    <row r="571" spans="1:14" x14ac:dyDescent="0.25">
      <c r="A571" s="1" t="s">
        <v>583</v>
      </c>
      <c r="B571" t="str">
        <f>HYPERLINK("https://www.suredividend.com/sure-analysis-research-database/","Flywire Corp")</f>
        <v>Flywire Corp</v>
      </c>
      <c r="C571" t="s">
        <v>1797</v>
      </c>
      <c r="D571">
        <v>20.69</v>
      </c>
      <c r="E571">
        <v>0</v>
      </c>
      <c r="F571" t="s">
        <v>1797</v>
      </c>
      <c r="G571" t="s">
        <v>1797</v>
      </c>
      <c r="H571">
        <v>0</v>
      </c>
      <c r="I571">
        <v>2473.279869</v>
      </c>
      <c r="J571" t="s">
        <v>1797</v>
      </c>
      <c r="K571">
        <v>0</v>
      </c>
      <c r="L571">
        <v>1.8800399473303699</v>
      </c>
      <c r="M571">
        <v>35.799999999999997</v>
      </c>
      <c r="N571">
        <v>18.649999999999999</v>
      </c>
    </row>
    <row r="572" spans="1:14" x14ac:dyDescent="0.25">
      <c r="A572" s="1" t="s">
        <v>584</v>
      </c>
      <c r="B572" t="str">
        <f>HYPERLINK("https://www.suredividend.com/sure-analysis-FMAO/","Farmers &amp; Merchants Bancorp Inc.")</f>
        <v>Farmers &amp; Merchants Bancorp Inc.</v>
      </c>
      <c r="C572" t="s">
        <v>1800</v>
      </c>
      <c r="D572">
        <v>22.75</v>
      </c>
      <c r="E572">
        <v>3.8681318681318681E-2</v>
      </c>
      <c r="F572">
        <v>4.7619047619047672E-2</v>
      </c>
      <c r="G572">
        <v>7.9608473046602901E-2</v>
      </c>
      <c r="H572">
        <v>0.82630280222018804</v>
      </c>
      <c r="I572">
        <v>310.905641</v>
      </c>
      <c r="J572">
        <v>0</v>
      </c>
      <c r="K572" t="s">
        <v>1797</v>
      </c>
      <c r="L572">
        <v>1.1620280752966721</v>
      </c>
      <c r="M572">
        <v>28.48</v>
      </c>
      <c r="N572">
        <v>16.34</v>
      </c>
    </row>
    <row r="573" spans="1:14" x14ac:dyDescent="0.25">
      <c r="A573" s="1" t="s">
        <v>585</v>
      </c>
      <c r="B573" t="str">
        <f>HYPERLINK("https://www.suredividend.com/sure-analysis-FMBH/","First Mid Bancshares Inc.")</f>
        <v>First Mid Bancshares Inc.</v>
      </c>
      <c r="C573" t="s">
        <v>1800</v>
      </c>
      <c r="D573">
        <v>32.58</v>
      </c>
      <c r="E573">
        <v>2.8238182934315539E-2</v>
      </c>
      <c r="F573" t="s">
        <v>1797</v>
      </c>
      <c r="G573" t="s">
        <v>1797</v>
      </c>
      <c r="H573">
        <v>0.89845410669043801</v>
      </c>
      <c r="I573">
        <v>776.71583399999997</v>
      </c>
      <c r="J573">
        <v>0</v>
      </c>
      <c r="K573" t="s">
        <v>1797</v>
      </c>
      <c r="L573">
        <v>1.253739322185778</v>
      </c>
      <c r="M573">
        <v>35.83</v>
      </c>
      <c r="N573">
        <v>20.7</v>
      </c>
    </row>
    <row r="574" spans="1:14" x14ac:dyDescent="0.25">
      <c r="A574" s="1" t="s">
        <v>586</v>
      </c>
      <c r="B574" t="str">
        <f>HYPERLINK("https://www.suredividend.com/sure-analysis-research-database/","Farmers National Banc Corp.")</f>
        <v>Farmers National Banc Corp.</v>
      </c>
      <c r="C574" t="s">
        <v>1800</v>
      </c>
      <c r="D574">
        <v>13.35</v>
      </c>
      <c r="E574">
        <v>4.8967530315814002E-2</v>
      </c>
      <c r="F574">
        <v>0</v>
      </c>
      <c r="G574">
        <v>0.13564157249607761</v>
      </c>
      <c r="H574">
        <v>0.65371652971612304</v>
      </c>
      <c r="I574">
        <v>500.48450500000001</v>
      </c>
      <c r="J574">
        <v>0</v>
      </c>
      <c r="K574" t="s">
        <v>1797</v>
      </c>
      <c r="L574">
        <v>1.1472321319505061</v>
      </c>
      <c r="M574">
        <v>14.75</v>
      </c>
      <c r="N574">
        <v>9.99</v>
      </c>
    </row>
    <row r="575" spans="1:14" x14ac:dyDescent="0.25">
      <c r="A575" s="1" t="s">
        <v>587</v>
      </c>
      <c r="B575" t="str">
        <f>HYPERLINK("https://www.suredividend.com/sure-analysis-research-database/","Fabrinet")</f>
        <v>Fabrinet</v>
      </c>
      <c r="C575" t="s">
        <v>1803</v>
      </c>
      <c r="D575">
        <v>188.8</v>
      </c>
      <c r="E575">
        <v>0</v>
      </c>
      <c r="F575" t="s">
        <v>1797</v>
      </c>
      <c r="G575" t="s">
        <v>1797</v>
      </c>
      <c r="H575">
        <v>0</v>
      </c>
      <c r="I575">
        <v>6859.2659899999999</v>
      </c>
      <c r="J575">
        <v>27.615237473780841</v>
      </c>
      <c r="K575">
        <v>0</v>
      </c>
      <c r="L575">
        <v>1.1473845926704509</v>
      </c>
      <c r="M575">
        <v>199.99</v>
      </c>
      <c r="N575">
        <v>90.19</v>
      </c>
    </row>
    <row r="576" spans="1:14" x14ac:dyDescent="0.25">
      <c r="A576" s="1" t="s">
        <v>588</v>
      </c>
      <c r="B576" t="str">
        <f>HYPERLINK("https://www.suredividend.com/sure-analysis-research-database/","Paragon 28 Inc")</f>
        <v>Paragon 28 Inc</v>
      </c>
      <c r="C576" t="s">
        <v>1797</v>
      </c>
      <c r="D576">
        <v>10.75</v>
      </c>
      <c r="E576">
        <v>0</v>
      </c>
      <c r="F576" t="s">
        <v>1797</v>
      </c>
      <c r="G576" t="s">
        <v>1797</v>
      </c>
      <c r="H576">
        <v>0</v>
      </c>
      <c r="I576">
        <v>889.03797499999996</v>
      </c>
      <c r="J576" t="s">
        <v>1797</v>
      </c>
      <c r="K576">
        <v>0</v>
      </c>
      <c r="L576">
        <v>1.0356478407537499</v>
      </c>
      <c r="M576">
        <v>20.2</v>
      </c>
      <c r="N576">
        <v>7.95</v>
      </c>
    </row>
    <row r="577" spans="1:14" x14ac:dyDescent="0.25">
      <c r="A577" s="1" t="s">
        <v>589</v>
      </c>
      <c r="B577" t="str">
        <f>HYPERLINK("https://www.suredividend.com/sure-analysis-research-database/","Funko Inc")</f>
        <v>Funko Inc</v>
      </c>
      <c r="C577" t="s">
        <v>1801</v>
      </c>
      <c r="D577">
        <v>6.97</v>
      </c>
      <c r="E577">
        <v>0</v>
      </c>
      <c r="F577" t="s">
        <v>1797</v>
      </c>
      <c r="G577" t="s">
        <v>1797</v>
      </c>
      <c r="H577">
        <v>0</v>
      </c>
      <c r="I577">
        <v>351.32478800000001</v>
      </c>
      <c r="J577" t="s">
        <v>1797</v>
      </c>
      <c r="K577">
        <v>0</v>
      </c>
      <c r="L577">
        <v>1.999932244185705</v>
      </c>
      <c r="M577">
        <v>13.42</v>
      </c>
      <c r="N577">
        <v>5.27</v>
      </c>
    </row>
    <row r="578" spans="1:14" x14ac:dyDescent="0.25">
      <c r="A578" s="1" t="s">
        <v>590</v>
      </c>
      <c r="B578" t="str">
        <f>HYPERLINK("https://www.suredividend.com/sure-analysis-research-database/","First Bancorp Inc (ME)")</f>
        <v>First Bancorp Inc (ME)</v>
      </c>
      <c r="C578" t="s">
        <v>1800</v>
      </c>
      <c r="D578">
        <v>26.07</v>
      </c>
      <c r="E578">
        <v>5.1236667876336003E-2</v>
      </c>
      <c r="F578">
        <v>2.941176470588247E-2</v>
      </c>
      <c r="G578">
        <v>3.8326670088616899E-2</v>
      </c>
      <c r="H578">
        <v>1.3357399315360901</v>
      </c>
      <c r="I578">
        <v>289.21966800000001</v>
      </c>
      <c r="J578">
        <v>9.0279581580097403</v>
      </c>
      <c r="K578">
        <v>0.46059997639175521</v>
      </c>
      <c r="L578">
        <v>0.67823335588364608</v>
      </c>
      <c r="M578">
        <v>28.62</v>
      </c>
      <c r="N578">
        <v>20.71</v>
      </c>
    </row>
    <row r="579" spans="1:14" x14ac:dyDescent="0.25">
      <c r="A579" s="1" t="s">
        <v>591</v>
      </c>
      <c r="B579" t="str">
        <f>HYPERLINK("https://www.suredividend.com/sure-analysis-research-database/","Finance of America Companies Inc")</f>
        <v>Finance of America Companies Inc</v>
      </c>
      <c r="C579" t="s">
        <v>1797</v>
      </c>
      <c r="D579">
        <v>1.02</v>
      </c>
      <c r="E579">
        <v>0</v>
      </c>
      <c r="F579" t="s">
        <v>1797</v>
      </c>
      <c r="G579" t="s">
        <v>1797</v>
      </c>
      <c r="H579">
        <v>0</v>
      </c>
      <c r="I579">
        <v>89.702809999999999</v>
      </c>
      <c r="J579">
        <v>0</v>
      </c>
      <c r="K579" t="s">
        <v>1797</v>
      </c>
      <c r="L579">
        <v>1.2863707375083899</v>
      </c>
      <c r="M579">
        <v>2.25</v>
      </c>
      <c r="N579">
        <v>0.68100000000000005</v>
      </c>
    </row>
    <row r="580" spans="1:14" x14ac:dyDescent="0.25">
      <c r="A580" s="1" t="s">
        <v>592</v>
      </c>
      <c r="B580" t="str">
        <f>HYPERLINK("https://www.suredividend.com/sure-analysis-research-database/","Focus Financial Partners Inc")</f>
        <v>Focus Financial Partners Inc</v>
      </c>
      <c r="C580" t="s">
        <v>1800</v>
      </c>
      <c r="D580">
        <v>52.99</v>
      </c>
      <c r="E580">
        <v>0</v>
      </c>
      <c r="F580" t="s">
        <v>1797</v>
      </c>
      <c r="G580" t="s">
        <v>1797</v>
      </c>
      <c r="H580">
        <v>0</v>
      </c>
      <c r="I580">
        <v>0</v>
      </c>
      <c r="J580">
        <v>0</v>
      </c>
      <c r="K580" t="s">
        <v>1797</v>
      </c>
    </row>
    <row r="581" spans="1:14" x14ac:dyDescent="0.25">
      <c r="A581" s="1" t="s">
        <v>593</v>
      </c>
      <c r="B581" t="str">
        <f>HYPERLINK("https://www.suredividend.com/sure-analysis-research-database/","Amicus Therapeutics Inc")</f>
        <v>Amicus Therapeutics Inc</v>
      </c>
      <c r="C581" t="s">
        <v>1802</v>
      </c>
      <c r="D581">
        <v>13.18</v>
      </c>
      <c r="E581">
        <v>0</v>
      </c>
      <c r="F581" t="s">
        <v>1797</v>
      </c>
      <c r="G581" t="s">
        <v>1797</v>
      </c>
      <c r="H581">
        <v>0</v>
      </c>
      <c r="I581">
        <v>3864.9788269999999</v>
      </c>
      <c r="J581" t="s">
        <v>1797</v>
      </c>
      <c r="K581">
        <v>0</v>
      </c>
      <c r="L581">
        <v>0.87731035964599702</v>
      </c>
      <c r="M581">
        <v>14.57</v>
      </c>
      <c r="N581">
        <v>9.6999999999999993</v>
      </c>
    </row>
    <row r="582" spans="1:14" x14ac:dyDescent="0.25">
      <c r="A582" s="1" t="s">
        <v>594</v>
      </c>
      <c r="B582" t="str">
        <f>HYPERLINK("https://www.suredividend.com/sure-analysis-research-database/","Forestar Group Inc")</f>
        <v>Forestar Group Inc</v>
      </c>
      <c r="C582" t="s">
        <v>1799</v>
      </c>
      <c r="D582">
        <v>33.97</v>
      </c>
      <c r="E582">
        <v>0</v>
      </c>
      <c r="F582" t="s">
        <v>1797</v>
      </c>
      <c r="G582" t="s">
        <v>1797</v>
      </c>
      <c r="H582">
        <v>0</v>
      </c>
      <c r="I582">
        <v>1695.432951</v>
      </c>
      <c r="J582">
        <v>10.15837597729179</v>
      </c>
      <c r="K582">
        <v>0</v>
      </c>
      <c r="L582">
        <v>1.098257688073178</v>
      </c>
      <c r="M582">
        <v>34.93</v>
      </c>
      <c r="N582">
        <v>13.72</v>
      </c>
    </row>
    <row r="583" spans="1:14" x14ac:dyDescent="0.25">
      <c r="A583" s="1" t="s">
        <v>595</v>
      </c>
      <c r="B583" t="str">
        <f>HYPERLINK("https://www.suredividend.com/sure-analysis-research-database/","ForgeRock Inc")</f>
        <v>ForgeRock Inc</v>
      </c>
      <c r="C583" t="s">
        <v>1797</v>
      </c>
      <c r="D583">
        <v>23.21</v>
      </c>
      <c r="E583">
        <v>0</v>
      </c>
      <c r="F583" t="s">
        <v>1797</v>
      </c>
      <c r="G583" t="s">
        <v>1797</v>
      </c>
      <c r="H583">
        <v>0</v>
      </c>
      <c r="I583">
        <v>1226.7116779999999</v>
      </c>
      <c r="J583" t="s">
        <v>1797</v>
      </c>
      <c r="K583">
        <v>0</v>
      </c>
      <c r="L583">
        <v>0.21475279550132501</v>
      </c>
      <c r="M583">
        <v>23.8</v>
      </c>
      <c r="N583">
        <v>14.13</v>
      </c>
    </row>
    <row r="584" spans="1:14" x14ac:dyDescent="0.25">
      <c r="A584" s="1" t="s">
        <v>596</v>
      </c>
      <c r="B584" t="str">
        <f>HYPERLINK("https://www.suredividend.com/sure-analysis-research-database/","FormFactor Inc.")</f>
        <v>FormFactor Inc.</v>
      </c>
      <c r="C584" t="s">
        <v>1803</v>
      </c>
      <c r="D584">
        <v>39.26</v>
      </c>
      <c r="E584">
        <v>0</v>
      </c>
      <c r="F584" t="s">
        <v>1797</v>
      </c>
      <c r="G584" t="s">
        <v>1797</v>
      </c>
      <c r="H584">
        <v>0</v>
      </c>
      <c r="I584">
        <v>3054.4279999999999</v>
      </c>
      <c r="J584" t="s">
        <v>1797</v>
      </c>
      <c r="K584">
        <v>0</v>
      </c>
      <c r="L584">
        <v>1.668870669352438</v>
      </c>
      <c r="M584">
        <v>42.38</v>
      </c>
      <c r="N584">
        <v>24.17</v>
      </c>
    </row>
    <row r="585" spans="1:14" x14ac:dyDescent="0.25">
      <c r="A585" s="1" t="s">
        <v>597</v>
      </c>
      <c r="B585" t="str">
        <f>HYPERLINK("https://www.suredividend.com/sure-analysis-research-database/","Forrester Research Inc.")</f>
        <v>Forrester Research Inc.</v>
      </c>
      <c r="C585" t="s">
        <v>1798</v>
      </c>
      <c r="D585">
        <v>26.07</v>
      </c>
      <c r="E585">
        <v>0</v>
      </c>
      <c r="F585" t="s">
        <v>1797</v>
      </c>
      <c r="G585" t="s">
        <v>1797</v>
      </c>
      <c r="H585">
        <v>0</v>
      </c>
      <c r="I585">
        <v>501.56072999999998</v>
      </c>
      <c r="J585">
        <v>240.78767642822851</v>
      </c>
      <c r="K585">
        <v>0</v>
      </c>
      <c r="L585">
        <v>0.87980346840652102</v>
      </c>
      <c r="M585">
        <v>39.090000000000003</v>
      </c>
      <c r="N585">
        <v>22.27</v>
      </c>
    </row>
    <row r="586" spans="1:14" x14ac:dyDescent="0.25">
      <c r="A586" s="1" t="s">
        <v>598</v>
      </c>
      <c r="B586" t="str">
        <f>HYPERLINK("https://www.suredividend.com/sure-analysis-research-database/","Fossil Group Inc")</f>
        <v>Fossil Group Inc</v>
      </c>
      <c r="C586" t="s">
        <v>1801</v>
      </c>
      <c r="D586">
        <v>1.31</v>
      </c>
      <c r="E586">
        <v>0</v>
      </c>
      <c r="F586" t="s">
        <v>1797</v>
      </c>
      <c r="G586" t="s">
        <v>1797</v>
      </c>
      <c r="H586">
        <v>0</v>
      </c>
      <c r="I586">
        <v>68.745575000000002</v>
      </c>
      <c r="J586" t="s">
        <v>1797</v>
      </c>
      <c r="K586">
        <v>0</v>
      </c>
      <c r="L586">
        <v>2.249884745722134</v>
      </c>
      <c r="M586">
        <v>6.08</v>
      </c>
      <c r="N586">
        <v>1.07</v>
      </c>
    </row>
    <row r="587" spans="1:14" x14ac:dyDescent="0.25">
      <c r="A587" s="1" t="s">
        <v>599</v>
      </c>
      <c r="B587" t="str">
        <f>HYPERLINK("https://www.suredividend.com/sure-analysis-research-database/","Fox Factory Holding Corp")</f>
        <v>Fox Factory Holding Corp</v>
      </c>
      <c r="C587" t="s">
        <v>1801</v>
      </c>
      <c r="D587">
        <v>65.010000000000005</v>
      </c>
      <c r="E587">
        <v>0</v>
      </c>
      <c r="F587" t="s">
        <v>1797</v>
      </c>
      <c r="G587" t="s">
        <v>1797</v>
      </c>
      <c r="H587">
        <v>0</v>
      </c>
      <c r="I587">
        <v>2755.1845189999999</v>
      </c>
      <c r="J587">
        <v>16.230454182758582</v>
      </c>
      <c r="K587">
        <v>0</v>
      </c>
      <c r="L587">
        <v>1.230085907210188</v>
      </c>
      <c r="M587">
        <v>127.54</v>
      </c>
      <c r="N587">
        <v>49.12</v>
      </c>
    </row>
    <row r="588" spans="1:14" x14ac:dyDescent="0.25">
      <c r="A588" s="1" t="s">
        <v>600</v>
      </c>
      <c r="B588" t="str">
        <f>HYPERLINK("https://www.suredividend.com/sure-analysis-research-database/","Farmland Partners Inc")</f>
        <v>Farmland Partners Inc</v>
      </c>
      <c r="C588" t="s">
        <v>1799</v>
      </c>
      <c r="D588">
        <v>11.35</v>
      </c>
      <c r="E588">
        <v>2.0730679345362001E-2</v>
      </c>
      <c r="F588">
        <v>0</v>
      </c>
      <c r="G588">
        <v>3.7137289336648172E-2</v>
      </c>
      <c r="H588">
        <v>0.23529321056986</v>
      </c>
      <c r="I588">
        <v>546.91052100000002</v>
      </c>
      <c r="J588">
        <v>0</v>
      </c>
      <c r="K588" t="s">
        <v>1797</v>
      </c>
      <c r="L588">
        <v>0.81307635478008511</v>
      </c>
      <c r="M588">
        <v>13.15</v>
      </c>
      <c r="N588">
        <v>9.09</v>
      </c>
    </row>
    <row r="589" spans="1:14" x14ac:dyDescent="0.25">
      <c r="A589" s="1" t="s">
        <v>601</v>
      </c>
      <c r="B589" t="str">
        <f>HYPERLINK("https://www.suredividend.com/sure-analysis-research-database/","First Bank (NJ)")</f>
        <v>First Bank (NJ)</v>
      </c>
      <c r="C589" t="s">
        <v>1800</v>
      </c>
      <c r="D589">
        <v>13.95</v>
      </c>
      <c r="E589">
        <v>1.6963634234402E-2</v>
      </c>
      <c r="F589">
        <v>0</v>
      </c>
      <c r="G589">
        <v>0.1486983549970351</v>
      </c>
      <c r="H589">
        <v>0.23664269756991299</v>
      </c>
      <c r="I589">
        <v>272.992209</v>
      </c>
      <c r="J589">
        <v>0</v>
      </c>
      <c r="K589" t="s">
        <v>1797</v>
      </c>
      <c r="L589">
        <v>1.0550521981174179</v>
      </c>
      <c r="M589">
        <v>15.17</v>
      </c>
      <c r="N589">
        <v>8.3699999999999992</v>
      </c>
    </row>
    <row r="590" spans="1:14" x14ac:dyDescent="0.25">
      <c r="A590" s="1" t="s">
        <v>602</v>
      </c>
      <c r="B590" t="str">
        <f>HYPERLINK("https://www.suredividend.com/sure-analysis-research-database/","Republic First Bancorp, Inc.")</f>
        <v>Republic First Bancorp, Inc.</v>
      </c>
      <c r="C590" t="s">
        <v>1800</v>
      </c>
      <c r="D590">
        <v>0.08</v>
      </c>
      <c r="E590">
        <v>0</v>
      </c>
      <c r="F590" t="s">
        <v>1797</v>
      </c>
      <c r="G590" t="s">
        <v>1797</v>
      </c>
      <c r="H590">
        <v>0</v>
      </c>
      <c r="I590">
        <v>5.6146729999999998</v>
      </c>
      <c r="J590">
        <v>0.36892519613640801</v>
      </c>
      <c r="K590">
        <v>0</v>
      </c>
      <c r="M590">
        <v>0.70000000000000007</v>
      </c>
      <c r="N590">
        <v>2.9999999999999997E-4</v>
      </c>
    </row>
    <row r="591" spans="1:14" x14ac:dyDescent="0.25">
      <c r="A591" s="1" t="s">
        <v>603</v>
      </c>
      <c r="B591" t="str">
        <f>HYPERLINK("https://www.suredividend.com/sure-analysis-research-database/","Whole Earth Brands Inc")</f>
        <v>Whole Earth Brands Inc</v>
      </c>
      <c r="C591" t="s">
        <v>1797</v>
      </c>
      <c r="D591">
        <v>3.62</v>
      </c>
      <c r="E591">
        <v>0</v>
      </c>
      <c r="F591" t="s">
        <v>1797</v>
      </c>
      <c r="G591" t="s">
        <v>1797</v>
      </c>
      <c r="H591">
        <v>0</v>
      </c>
      <c r="I591">
        <v>155.12031200000001</v>
      </c>
      <c r="J591" t="s">
        <v>1797</v>
      </c>
      <c r="K591">
        <v>0</v>
      </c>
      <c r="L591">
        <v>0.94761043311088511</v>
      </c>
      <c r="M591">
        <v>4.72</v>
      </c>
      <c r="N591">
        <v>2.09</v>
      </c>
    </row>
    <row r="592" spans="1:14" x14ac:dyDescent="0.25">
      <c r="A592" s="1" t="s">
        <v>604</v>
      </c>
      <c r="B592" t="str">
        <f>HYPERLINK("https://www.suredividend.com/sure-analysis-research-database/","Franchise Group Inc")</f>
        <v>Franchise Group Inc</v>
      </c>
      <c r="C592" t="s">
        <v>1801</v>
      </c>
      <c r="D592">
        <v>29.88</v>
      </c>
      <c r="E592">
        <v>0</v>
      </c>
      <c r="F592" t="s">
        <v>1797</v>
      </c>
      <c r="G592" t="s">
        <v>1797</v>
      </c>
      <c r="H592">
        <v>1.875</v>
      </c>
      <c r="I592">
        <v>0</v>
      </c>
      <c r="J592">
        <v>0</v>
      </c>
      <c r="K592" t="s">
        <v>1797</v>
      </c>
    </row>
    <row r="593" spans="1:14" x14ac:dyDescent="0.25">
      <c r="A593" s="1" t="s">
        <v>605</v>
      </c>
      <c r="B593" t="str">
        <f>HYPERLINK("https://www.suredividend.com/sure-analysis-research-database/","First Merchants Corp.")</f>
        <v>First Merchants Corp.</v>
      </c>
      <c r="C593" t="s">
        <v>1800</v>
      </c>
      <c r="D593">
        <v>34.83</v>
      </c>
      <c r="E593">
        <v>3.7207090126937001E-2</v>
      </c>
      <c r="F593">
        <v>6.25E-2</v>
      </c>
      <c r="G593">
        <v>9.0966078501449665E-2</v>
      </c>
      <c r="H593">
        <v>1.2959229491212441</v>
      </c>
      <c r="I593">
        <v>2068.833106</v>
      </c>
      <c r="J593">
        <v>8.2689487965690489</v>
      </c>
      <c r="K593">
        <v>0.30782017793853778</v>
      </c>
      <c r="L593">
        <v>1.353751589603887</v>
      </c>
      <c r="M593">
        <v>40.65</v>
      </c>
      <c r="N593">
        <v>22.85</v>
      </c>
    </row>
    <row r="594" spans="1:14" x14ac:dyDescent="0.25">
      <c r="A594" s="1" t="s">
        <v>606</v>
      </c>
      <c r="B594" t="str">
        <f>HYPERLINK("https://www.suredividend.com/sure-analysis-research-database/","Frontline Plc")</f>
        <v>Frontline Plc</v>
      </c>
      <c r="C594" t="s">
        <v>1807</v>
      </c>
      <c r="D594">
        <v>22.14</v>
      </c>
      <c r="E594">
        <v>0.122006446140275</v>
      </c>
      <c r="F594" t="s">
        <v>1797</v>
      </c>
      <c r="G594" t="s">
        <v>1797</v>
      </c>
      <c r="H594">
        <v>2.7012227175457002</v>
      </c>
      <c r="I594">
        <v>4928.8707619999996</v>
      </c>
      <c r="J594">
        <v>6.3118145853737246</v>
      </c>
      <c r="K594">
        <v>0.78070020738315027</v>
      </c>
      <c r="L594">
        <v>0.63800947784919704</v>
      </c>
      <c r="M594">
        <v>23</v>
      </c>
      <c r="N594">
        <v>11.27</v>
      </c>
    </row>
    <row r="595" spans="1:14" x14ac:dyDescent="0.25">
      <c r="A595" s="1" t="s">
        <v>607</v>
      </c>
      <c r="B595" t="str">
        <f>HYPERLINK("https://www.suredividend.com/sure-analysis-research-database/","FRP Holdings Inc")</f>
        <v>FRP Holdings Inc</v>
      </c>
      <c r="C595" t="s">
        <v>1799</v>
      </c>
      <c r="D595">
        <v>59.24</v>
      </c>
      <c r="E595">
        <v>0</v>
      </c>
      <c r="F595" t="s">
        <v>1797</v>
      </c>
      <c r="G595" t="s">
        <v>1797</v>
      </c>
      <c r="H595">
        <v>0</v>
      </c>
      <c r="I595">
        <v>561.42364099999998</v>
      </c>
      <c r="J595">
        <v>108.4248051293936</v>
      </c>
      <c r="K595">
        <v>0</v>
      </c>
      <c r="L595">
        <v>0.7886154329333841</v>
      </c>
      <c r="M595">
        <v>65</v>
      </c>
      <c r="N595">
        <v>52.45</v>
      </c>
    </row>
    <row r="596" spans="1:14" x14ac:dyDescent="0.25">
      <c r="A596" s="1" t="s">
        <v>608</v>
      </c>
      <c r="B596" t="str">
        <f>HYPERLINK("https://www.suredividend.com/sure-analysis-research-database/","Primis Financial Corp")</f>
        <v>Primis Financial Corp</v>
      </c>
      <c r="C596" t="s">
        <v>1797</v>
      </c>
      <c r="D596">
        <v>12.44</v>
      </c>
      <c r="E596">
        <v>3.1233296196279001E-2</v>
      </c>
      <c r="F596">
        <v>0</v>
      </c>
      <c r="G596">
        <v>2.1295687600135119E-2</v>
      </c>
      <c r="H596">
        <v>0.38854220468172002</v>
      </c>
      <c r="I596">
        <v>307.04114399999997</v>
      </c>
      <c r="J596">
        <v>0</v>
      </c>
      <c r="K596" t="s">
        <v>1797</v>
      </c>
      <c r="L596">
        <v>1.1759410336494249</v>
      </c>
      <c r="M596">
        <v>12.99</v>
      </c>
      <c r="N596">
        <v>6.64</v>
      </c>
    </row>
    <row r="597" spans="1:14" x14ac:dyDescent="0.25">
      <c r="A597" s="1" t="s">
        <v>609</v>
      </c>
      <c r="B597" t="str">
        <f>HYPERLINK("https://www.suredividend.com/sure-analysis-research-database/","Five Star Bancorp")</f>
        <v>Five Star Bancorp</v>
      </c>
      <c r="C597" t="s">
        <v>1800</v>
      </c>
      <c r="D597">
        <v>25.02</v>
      </c>
      <c r="E597">
        <v>2.9194476542831999E-2</v>
      </c>
      <c r="F597" t="s">
        <v>1797</v>
      </c>
      <c r="G597" t="s">
        <v>1797</v>
      </c>
      <c r="H597">
        <v>0.73044580310166107</v>
      </c>
      <c r="I597">
        <v>431.770715</v>
      </c>
      <c r="J597">
        <v>8.5980985614433365</v>
      </c>
      <c r="K597">
        <v>0.25015267229508942</v>
      </c>
      <c r="L597">
        <v>1.1315183009874421</v>
      </c>
      <c r="M597">
        <v>28.25</v>
      </c>
      <c r="N597">
        <v>17.100000000000001</v>
      </c>
    </row>
    <row r="598" spans="1:14" x14ac:dyDescent="0.25">
      <c r="A598" s="1" t="s">
        <v>610</v>
      </c>
      <c r="B598" t="str">
        <f>HYPERLINK("https://www.suredividend.com/sure-analysis-research-database/","Fastly Inc")</f>
        <v>Fastly Inc</v>
      </c>
      <c r="C598" t="s">
        <v>1803</v>
      </c>
      <c r="D598">
        <v>17.87</v>
      </c>
      <c r="E598">
        <v>0</v>
      </c>
      <c r="F598" t="s">
        <v>1797</v>
      </c>
      <c r="G598" t="s">
        <v>1797</v>
      </c>
      <c r="H598">
        <v>0</v>
      </c>
      <c r="I598">
        <v>2337.3960000000002</v>
      </c>
      <c r="J598" t="s">
        <v>1797</v>
      </c>
      <c r="K598">
        <v>0</v>
      </c>
      <c r="L598">
        <v>2.7993038629170162</v>
      </c>
      <c r="M598">
        <v>24.31</v>
      </c>
      <c r="N598">
        <v>9.5399999999999991</v>
      </c>
    </row>
    <row r="599" spans="1:14" x14ac:dyDescent="0.25">
      <c r="A599" s="1" t="s">
        <v>611</v>
      </c>
      <c r="B599" t="str">
        <f>HYPERLINK("https://www.suredividend.com/sure-analysis-research-database/","Franklin Street Properties Corp.")</f>
        <v>Franklin Street Properties Corp.</v>
      </c>
      <c r="C599" t="s">
        <v>1799</v>
      </c>
      <c r="D599">
        <v>2.64</v>
      </c>
      <c r="E599">
        <v>1.4947164282293E-2</v>
      </c>
      <c r="F599">
        <v>0</v>
      </c>
      <c r="G599">
        <v>-0.35560598502274582</v>
      </c>
      <c r="H599">
        <v>3.9460513705252998E-2</v>
      </c>
      <c r="I599">
        <v>273.05613199999999</v>
      </c>
      <c r="J599" t="s">
        <v>1797</v>
      </c>
      <c r="K599" t="s">
        <v>1797</v>
      </c>
      <c r="L599">
        <v>1.462923683250881</v>
      </c>
      <c r="M599">
        <v>3.11</v>
      </c>
      <c r="N599">
        <v>1.1100000000000001</v>
      </c>
    </row>
    <row r="600" spans="1:14" x14ac:dyDescent="0.25">
      <c r="A600" s="1" t="s">
        <v>612</v>
      </c>
      <c r="B600" t="str">
        <f>HYPERLINK("https://www.suredividend.com/sure-analysis-research-database/","Fisker Inc")</f>
        <v>Fisker Inc</v>
      </c>
      <c r="C600" t="s">
        <v>1797</v>
      </c>
      <c r="D600">
        <v>1.03</v>
      </c>
      <c r="E600">
        <v>0</v>
      </c>
      <c r="F600" t="s">
        <v>1797</v>
      </c>
      <c r="G600" t="s">
        <v>1797</v>
      </c>
      <c r="H600">
        <v>0</v>
      </c>
      <c r="I600">
        <v>224.747501</v>
      </c>
      <c r="J600" t="s">
        <v>1797</v>
      </c>
      <c r="K600">
        <v>0</v>
      </c>
      <c r="L600">
        <v>1.456541107689727</v>
      </c>
      <c r="M600">
        <v>8.66</v>
      </c>
      <c r="N600">
        <v>0.98060000000000003</v>
      </c>
    </row>
    <row r="601" spans="1:14" x14ac:dyDescent="0.25">
      <c r="A601" s="1" t="s">
        <v>613</v>
      </c>
      <c r="B601" t="str">
        <f>HYPERLINK("https://www.suredividend.com/sure-analysis-research-database/","Federal Signal Corp.")</f>
        <v>Federal Signal Corp.</v>
      </c>
      <c r="C601" t="s">
        <v>1798</v>
      </c>
      <c r="D601">
        <v>74.23</v>
      </c>
      <c r="E601">
        <v>5.2418149946550007E-3</v>
      </c>
      <c r="F601">
        <v>0.1111111111111112</v>
      </c>
      <c r="G601">
        <v>4.5639552591273169E-2</v>
      </c>
      <c r="H601">
        <v>0.38909992705331098</v>
      </c>
      <c r="I601">
        <v>4522.7457889999996</v>
      </c>
      <c r="J601">
        <v>31.06281448482143</v>
      </c>
      <c r="K601">
        <v>0.16417718441067969</v>
      </c>
      <c r="L601">
        <v>1.0379445086659009</v>
      </c>
      <c r="M601">
        <v>78.540000000000006</v>
      </c>
      <c r="N601">
        <v>48.33</v>
      </c>
    </row>
    <row r="602" spans="1:14" x14ac:dyDescent="0.25">
      <c r="A602" s="1" t="s">
        <v>614</v>
      </c>
      <c r="B602" t="str">
        <f>HYPERLINK("https://www.suredividend.com/sure-analysis-research-database/","FTC Solar Inc")</f>
        <v>FTC Solar Inc</v>
      </c>
      <c r="C602" t="s">
        <v>1797</v>
      </c>
      <c r="D602">
        <v>0.56800000000000006</v>
      </c>
      <c r="E602">
        <v>0</v>
      </c>
      <c r="F602" t="s">
        <v>1797</v>
      </c>
      <c r="G602" t="s">
        <v>1797</v>
      </c>
      <c r="H602">
        <v>0</v>
      </c>
      <c r="I602">
        <v>71.003305999999995</v>
      </c>
      <c r="J602" t="s">
        <v>1797</v>
      </c>
      <c r="K602">
        <v>0</v>
      </c>
      <c r="L602">
        <v>1.746835137777764</v>
      </c>
      <c r="M602">
        <v>3.87</v>
      </c>
      <c r="N602">
        <v>0.28210000000000002</v>
      </c>
    </row>
    <row r="603" spans="1:14" x14ac:dyDescent="0.25">
      <c r="A603" s="1" t="s">
        <v>615</v>
      </c>
      <c r="B603" t="str">
        <f>HYPERLINK("https://www.suredividend.com/sure-analysis-research-database/","Frontdoor Inc.")</f>
        <v>Frontdoor Inc.</v>
      </c>
      <c r="C603" t="s">
        <v>1801</v>
      </c>
      <c r="D603">
        <v>32.85</v>
      </c>
      <c r="E603">
        <v>0</v>
      </c>
      <c r="F603" t="s">
        <v>1797</v>
      </c>
      <c r="G603" t="s">
        <v>1797</v>
      </c>
      <c r="H603">
        <v>0</v>
      </c>
      <c r="I603">
        <v>2615.574028</v>
      </c>
      <c r="J603">
        <v>15.29575454736842</v>
      </c>
      <c r="K603">
        <v>0</v>
      </c>
      <c r="L603">
        <v>1.0020955455037299</v>
      </c>
      <c r="M603">
        <v>38.97</v>
      </c>
      <c r="N603">
        <v>23.2</v>
      </c>
    </row>
    <row r="604" spans="1:14" x14ac:dyDescent="0.25">
      <c r="A604" s="1" t="s">
        <v>616</v>
      </c>
      <c r="B604" t="str">
        <f>HYPERLINK("https://www.suredividend.com/sure-analysis-research-database/","fuboTV Inc")</f>
        <v>fuboTV Inc</v>
      </c>
      <c r="C604" t="s">
        <v>1797</v>
      </c>
      <c r="D604">
        <v>2.73</v>
      </c>
      <c r="E604">
        <v>0</v>
      </c>
      <c r="F604" t="s">
        <v>1797</v>
      </c>
      <c r="G604" t="s">
        <v>1797</v>
      </c>
      <c r="H604">
        <v>0</v>
      </c>
      <c r="I604">
        <v>799.35907199999997</v>
      </c>
      <c r="J604">
        <v>0</v>
      </c>
      <c r="K604" t="s">
        <v>1797</v>
      </c>
      <c r="L604">
        <v>3.902046822334063</v>
      </c>
      <c r="M604">
        <v>3.87</v>
      </c>
      <c r="N604">
        <v>0.96</v>
      </c>
    </row>
    <row r="605" spans="1:14" x14ac:dyDescent="0.25">
      <c r="A605" s="1" t="s">
        <v>617</v>
      </c>
      <c r="B605" t="str">
        <f>HYPERLINK("https://www.suredividend.com/sure-analysis-FUL/","H.B. Fuller Company")</f>
        <v>H.B. Fuller Company</v>
      </c>
      <c r="C605" t="s">
        <v>1808</v>
      </c>
      <c r="D605">
        <v>78.38</v>
      </c>
      <c r="E605">
        <v>1.0461852513396271E-2</v>
      </c>
      <c r="F605" t="s">
        <v>1797</v>
      </c>
      <c r="G605" t="s">
        <v>1797</v>
      </c>
      <c r="H605">
        <v>0.8015763061898421</v>
      </c>
      <c r="I605">
        <v>4234.2050129999998</v>
      </c>
      <c r="J605">
        <v>28.566257915317351</v>
      </c>
      <c r="K605">
        <v>0.30134447601121878</v>
      </c>
      <c r="L605">
        <v>1.192888590220899</v>
      </c>
      <c r="M605">
        <v>83.64</v>
      </c>
      <c r="N605">
        <v>62.21</v>
      </c>
    </row>
    <row r="606" spans="1:14" x14ac:dyDescent="0.25">
      <c r="A606" s="1" t="s">
        <v>618</v>
      </c>
      <c r="B606" t="str">
        <f>HYPERLINK("https://www.suredividend.com/sure-analysis-research-database/","Fulcrum Therapeutics Inc")</f>
        <v>Fulcrum Therapeutics Inc</v>
      </c>
      <c r="C606" t="s">
        <v>1802</v>
      </c>
      <c r="D606">
        <v>7.1</v>
      </c>
      <c r="E606">
        <v>0</v>
      </c>
      <c r="F606" t="s">
        <v>1797</v>
      </c>
      <c r="G606" t="s">
        <v>1797</v>
      </c>
      <c r="H606">
        <v>0</v>
      </c>
      <c r="I606">
        <v>438.940133</v>
      </c>
      <c r="J606" t="s">
        <v>1797</v>
      </c>
      <c r="K606">
        <v>0</v>
      </c>
      <c r="L606">
        <v>2.1721298178996569</v>
      </c>
      <c r="M606">
        <v>14.25</v>
      </c>
      <c r="N606">
        <v>2.25</v>
      </c>
    </row>
    <row r="607" spans="1:14" x14ac:dyDescent="0.25">
      <c r="A607" s="1" t="s">
        <v>619</v>
      </c>
      <c r="B607" t="str">
        <f>HYPERLINK("https://www.suredividend.com/sure-analysis-FULT/","Fulton Financial Corp.")</f>
        <v>Fulton Financial Corp.</v>
      </c>
      <c r="C607" t="s">
        <v>1800</v>
      </c>
      <c r="D607">
        <v>15.87</v>
      </c>
      <c r="E607">
        <v>4.2848141146817897E-2</v>
      </c>
      <c r="F607">
        <v>0.1333333333333335</v>
      </c>
      <c r="G607">
        <v>5.5118198683204563E-2</v>
      </c>
      <c r="H607">
        <v>0.62351344207356807</v>
      </c>
      <c r="I607">
        <v>2605.7053620000002</v>
      </c>
      <c r="J607">
        <v>8.9357975109309571</v>
      </c>
      <c r="K607">
        <v>0.35834105866297022</v>
      </c>
      <c r="L607">
        <v>1.4274714954361429</v>
      </c>
      <c r="M607">
        <v>16.89</v>
      </c>
      <c r="N607">
        <v>9.0500000000000007</v>
      </c>
    </row>
    <row r="608" spans="1:14" x14ac:dyDescent="0.25">
      <c r="A608" s="1" t="s">
        <v>620</v>
      </c>
      <c r="B608" t="str">
        <f>HYPERLINK("https://www.suredividend.com/sure-analysis-research-database/","FVCBankcorp Inc")</f>
        <v>FVCBankcorp Inc</v>
      </c>
      <c r="C608" t="s">
        <v>1800</v>
      </c>
      <c r="D608">
        <v>13.22</v>
      </c>
      <c r="E608">
        <v>0</v>
      </c>
      <c r="F608" t="s">
        <v>1797</v>
      </c>
      <c r="G608" t="s">
        <v>1797</v>
      </c>
      <c r="H608">
        <v>0</v>
      </c>
      <c r="I608">
        <v>235.34472700000001</v>
      </c>
      <c r="J608">
        <v>17.058910340678459</v>
      </c>
      <c r="K608">
        <v>0</v>
      </c>
      <c r="L608">
        <v>0.97229951418127902</v>
      </c>
      <c r="M608">
        <v>15.44</v>
      </c>
      <c r="N608">
        <v>8.3000000000000007</v>
      </c>
    </row>
    <row r="609" spans="1:14" x14ac:dyDescent="0.25">
      <c r="A609" s="1" t="s">
        <v>621</v>
      </c>
      <c r="B609" t="str">
        <f>HYPERLINK("https://www.suredividend.com/sure-analysis-research-database/","Forward Air Corp.")</f>
        <v>Forward Air Corp.</v>
      </c>
      <c r="C609" t="s">
        <v>1798</v>
      </c>
      <c r="D609">
        <v>56.34</v>
      </c>
      <c r="E609">
        <v>1.6895371380788001E-2</v>
      </c>
      <c r="F609">
        <v>0</v>
      </c>
      <c r="G609">
        <v>5.9223841048812183E-2</v>
      </c>
      <c r="H609">
        <v>0.95188522359362504</v>
      </c>
      <c r="I609">
        <v>1447.6962450000001</v>
      </c>
      <c r="J609">
        <v>13.26883502185968</v>
      </c>
      <c r="K609">
        <v>0.2288185633638522</v>
      </c>
      <c r="L609">
        <v>1.1140240135319179</v>
      </c>
      <c r="M609">
        <v>120.06</v>
      </c>
      <c r="N609">
        <v>55.11</v>
      </c>
    </row>
    <row r="610" spans="1:14" x14ac:dyDescent="0.25">
      <c r="A610" s="1" t="s">
        <v>622</v>
      </c>
      <c r="B610" t="str">
        <f>HYPERLINK("https://www.suredividend.com/sure-analysis-research-database/","First Watch Restaurant Group Inc")</f>
        <v>First Watch Restaurant Group Inc</v>
      </c>
      <c r="C610" t="s">
        <v>1797</v>
      </c>
      <c r="D610">
        <v>19.510000000000002</v>
      </c>
      <c r="E610">
        <v>0</v>
      </c>
      <c r="F610" t="s">
        <v>1797</v>
      </c>
      <c r="G610" t="s">
        <v>1797</v>
      </c>
      <c r="H610">
        <v>0</v>
      </c>
      <c r="I610">
        <v>1167.0419420000001</v>
      </c>
      <c r="J610">
        <v>52.448965969619337</v>
      </c>
      <c r="K610">
        <v>0</v>
      </c>
      <c r="L610">
        <v>0.83194577924816904</v>
      </c>
      <c r="M610">
        <v>20.95</v>
      </c>
      <c r="N610">
        <v>14.34</v>
      </c>
    </row>
    <row r="611" spans="1:14" x14ac:dyDescent="0.25">
      <c r="A611" s="1" t="s">
        <v>623</v>
      </c>
      <c r="B611" t="str">
        <f>HYPERLINK("https://www.suredividend.com/sure-analysis-research-database/","F45 Training Holdings Inc")</f>
        <v>F45 Training Holdings Inc</v>
      </c>
      <c r="C611" t="s">
        <v>1797</v>
      </c>
      <c r="D611">
        <v>9.7500000000000003E-2</v>
      </c>
      <c r="E611">
        <v>0</v>
      </c>
      <c r="F611" t="s">
        <v>1797</v>
      </c>
      <c r="G611" t="s">
        <v>1797</v>
      </c>
      <c r="H611">
        <v>0</v>
      </c>
      <c r="I611">
        <v>0</v>
      </c>
      <c r="J611">
        <v>0</v>
      </c>
      <c r="K611" t="s">
        <v>1797</v>
      </c>
    </row>
    <row r="612" spans="1:14" x14ac:dyDescent="0.25">
      <c r="A612" s="1" t="s">
        <v>624</v>
      </c>
      <c r="B612" t="str">
        <f>HYPERLINK("https://www.suredividend.com/sure-analysis-research-database/","German American Bancorp Inc")</f>
        <v>German American Bancorp Inc</v>
      </c>
      <c r="C612" t="s">
        <v>1800</v>
      </c>
      <c r="D612">
        <v>31.13</v>
      </c>
      <c r="E612">
        <v>3.1431625936271003E-2</v>
      </c>
      <c r="F612">
        <v>8.6956521739130377E-2</v>
      </c>
      <c r="G612">
        <v>8.0185187303563499E-2</v>
      </c>
      <c r="H612">
        <v>0.97846651539614105</v>
      </c>
      <c r="I612">
        <v>920.68379000000004</v>
      </c>
      <c r="J612">
        <v>10.36852774483085</v>
      </c>
      <c r="K612">
        <v>0.32507193202529611</v>
      </c>
      <c r="L612">
        <v>0.98996314479465009</v>
      </c>
      <c r="M612">
        <v>38.83</v>
      </c>
      <c r="N612">
        <v>24.41</v>
      </c>
    </row>
    <row r="613" spans="1:14" x14ac:dyDescent="0.25">
      <c r="A613" s="1" t="s">
        <v>625</v>
      </c>
      <c r="B613" t="str">
        <f>HYPERLINK("https://www.suredividend.com/sure-analysis-research-database/","Gambling.com Group Ltd")</f>
        <v>Gambling.com Group Ltd</v>
      </c>
      <c r="C613" t="s">
        <v>1797</v>
      </c>
      <c r="D613">
        <v>9.39</v>
      </c>
      <c r="E613">
        <v>0</v>
      </c>
      <c r="F613" t="s">
        <v>1797</v>
      </c>
      <c r="G613" t="s">
        <v>1797</v>
      </c>
      <c r="H613">
        <v>0</v>
      </c>
      <c r="I613">
        <v>397.35232000000002</v>
      </c>
      <c r="J613">
        <v>0</v>
      </c>
      <c r="K613" t="s">
        <v>1797</v>
      </c>
      <c r="L613">
        <v>0.44928285933185502</v>
      </c>
      <c r="M613">
        <v>14.83</v>
      </c>
      <c r="N613">
        <v>8.5</v>
      </c>
    </row>
    <row r="614" spans="1:14" x14ac:dyDescent="0.25">
      <c r="A614" s="1" t="s">
        <v>626</v>
      </c>
      <c r="B614" t="str">
        <f>HYPERLINK("https://www.suredividend.com/sure-analysis-GATX/","GATX Corp.")</f>
        <v>GATX Corp.</v>
      </c>
      <c r="C614" t="s">
        <v>1798</v>
      </c>
      <c r="D614">
        <v>117</v>
      </c>
      <c r="E614">
        <v>1.8803418803418809E-2</v>
      </c>
      <c r="F614">
        <v>5.7692307692307709E-2</v>
      </c>
      <c r="G614">
        <v>3.638464900130689E-2</v>
      </c>
      <c r="H614">
        <v>2.184512503189564</v>
      </c>
      <c r="I614">
        <v>4153.5</v>
      </c>
      <c r="J614">
        <v>17.191639072847678</v>
      </c>
      <c r="K614">
        <v>0.32363148195400948</v>
      </c>
      <c r="L614">
        <v>0.89498625345595406</v>
      </c>
      <c r="M614">
        <v>131.74</v>
      </c>
      <c r="N614">
        <v>96.75</v>
      </c>
    </row>
    <row r="615" spans="1:14" x14ac:dyDescent="0.25">
      <c r="A615" s="1" t="s">
        <v>627</v>
      </c>
      <c r="B615" t="str">
        <f>HYPERLINK("https://www.suredividend.com/sure-analysis-research-database/","Glacier Bancorp, Inc.")</f>
        <v>Glacier Bancorp, Inc.</v>
      </c>
      <c r="C615" t="s">
        <v>1800</v>
      </c>
      <c r="D615">
        <v>39.89</v>
      </c>
      <c r="E615">
        <v>3.2593306658746997E-2</v>
      </c>
      <c r="F615">
        <v>0</v>
      </c>
      <c r="G615">
        <v>0.1053422964928694</v>
      </c>
      <c r="H615">
        <v>1.30014700261742</v>
      </c>
      <c r="I615">
        <v>4423.0998929999996</v>
      </c>
      <c r="J615">
        <v>17.814392533509469</v>
      </c>
      <c r="K615">
        <v>0.58042276902563383</v>
      </c>
      <c r="L615">
        <v>1.7038364920610409</v>
      </c>
      <c r="M615">
        <v>47.61</v>
      </c>
      <c r="N615">
        <v>25.94</v>
      </c>
    </row>
    <row r="616" spans="1:14" x14ac:dyDescent="0.25">
      <c r="A616" s="1" t="s">
        <v>628</v>
      </c>
      <c r="B616" t="str">
        <f>HYPERLINK("https://www.suredividend.com/sure-analysis-research-database/","Generation Bio Co")</f>
        <v>Generation Bio Co</v>
      </c>
      <c r="C616" t="s">
        <v>1797</v>
      </c>
      <c r="D616">
        <v>1.91</v>
      </c>
      <c r="E616">
        <v>0</v>
      </c>
      <c r="F616" t="s">
        <v>1797</v>
      </c>
      <c r="G616" t="s">
        <v>1797</v>
      </c>
      <c r="H616">
        <v>0</v>
      </c>
      <c r="I616">
        <v>126.209012</v>
      </c>
      <c r="J616">
        <v>0</v>
      </c>
      <c r="K616" t="s">
        <v>1797</v>
      </c>
      <c r="L616">
        <v>2.4858412408083899</v>
      </c>
      <c r="M616">
        <v>7.35</v>
      </c>
      <c r="N616">
        <v>0.86</v>
      </c>
    </row>
    <row r="617" spans="1:14" x14ac:dyDescent="0.25">
      <c r="A617" s="1" t="s">
        <v>629</v>
      </c>
      <c r="B617" t="str">
        <f>HYPERLINK("https://www.suredividend.com/sure-analysis-research-database/","Greenbrier Cos., Inc.")</f>
        <v>Greenbrier Cos., Inc.</v>
      </c>
      <c r="C617" t="s">
        <v>1798</v>
      </c>
      <c r="D617">
        <v>46.6</v>
      </c>
      <c r="E617">
        <v>2.4185811368799999E-2</v>
      </c>
      <c r="F617">
        <v>0.1111111111111112</v>
      </c>
      <c r="G617">
        <v>3.7137289336648172E-2</v>
      </c>
      <c r="H617">
        <v>1.127058809786109</v>
      </c>
      <c r="I617">
        <v>1448.830954</v>
      </c>
      <c r="J617">
        <v>13.12346878442029</v>
      </c>
      <c r="K617">
        <v>0.34572356128408249</v>
      </c>
      <c r="L617">
        <v>1.340775226710176</v>
      </c>
      <c r="M617">
        <v>50.76</v>
      </c>
      <c r="N617">
        <v>25.03</v>
      </c>
    </row>
    <row r="618" spans="1:14" x14ac:dyDescent="0.25">
      <c r="A618" s="1" t="s">
        <v>630</v>
      </c>
      <c r="B618" t="str">
        <f>HYPERLINK("https://www.suredividend.com/sure-analysis-research-database/","Greene County Bancorp Inc")</f>
        <v>Greene County Bancorp Inc</v>
      </c>
      <c r="C618" t="s">
        <v>1800</v>
      </c>
      <c r="D618">
        <v>27.19</v>
      </c>
      <c r="E618">
        <v>9.676639371921E-3</v>
      </c>
      <c r="F618">
        <v>-0.4285714285714286</v>
      </c>
      <c r="G618">
        <v>-4.3647500209962997E-2</v>
      </c>
      <c r="H618">
        <v>0.26310782452255399</v>
      </c>
      <c r="I618">
        <v>462.959453</v>
      </c>
      <c r="J618">
        <v>0</v>
      </c>
      <c r="K618" t="s">
        <v>1797</v>
      </c>
      <c r="L618">
        <v>0.54628947273833406</v>
      </c>
      <c r="M618">
        <v>36.53</v>
      </c>
      <c r="N618">
        <v>11.29</v>
      </c>
    </row>
    <row r="619" spans="1:14" x14ac:dyDescent="0.25">
      <c r="A619" s="1" t="s">
        <v>631</v>
      </c>
      <c r="B619" t="str">
        <f>HYPERLINK("https://www.suredividend.com/sure-analysis-research-database/","New Media Investment Group Inc")</f>
        <v>New Media Investment Group Inc</v>
      </c>
      <c r="C619" t="s">
        <v>1806</v>
      </c>
      <c r="D619">
        <v>2.3199999999999998</v>
      </c>
      <c r="E619">
        <v>0</v>
      </c>
      <c r="F619" t="s">
        <v>1797</v>
      </c>
      <c r="G619" t="s">
        <v>1797</v>
      </c>
      <c r="H619">
        <v>0</v>
      </c>
      <c r="I619">
        <v>345.39250600000003</v>
      </c>
      <c r="J619">
        <v>12.393874895937991</v>
      </c>
      <c r="K619">
        <v>0</v>
      </c>
      <c r="L619">
        <v>1.9094303836933859</v>
      </c>
      <c r="M619">
        <v>3.6</v>
      </c>
      <c r="N619">
        <v>1.62</v>
      </c>
    </row>
    <row r="620" spans="1:14" x14ac:dyDescent="0.25">
      <c r="A620" s="1" t="s">
        <v>632</v>
      </c>
      <c r="B620" t="str">
        <f>HYPERLINK("https://www.suredividend.com/sure-analysis-research-database/","GCM Grosvenor Inc")</f>
        <v>GCM Grosvenor Inc</v>
      </c>
      <c r="C620" t="s">
        <v>1797</v>
      </c>
      <c r="D620">
        <v>8.7100000000000009</v>
      </c>
      <c r="E620">
        <v>4.8455181307674997E-2</v>
      </c>
      <c r="F620" t="s">
        <v>1797</v>
      </c>
      <c r="G620" t="s">
        <v>1797</v>
      </c>
      <c r="H620">
        <v>0.42204462918985602</v>
      </c>
      <c r="I620">
        <v>374.43419</v>
      </c>
      <c r="J620">
        <v>26.926088738673961</v>
      </c>
      <c r="K620">
        <v>5.6879330079495416</v>
      </c>
      <c r="L620">
        <v>0.91687033871965007</v>
      </c>
      <c r="M620">
        <v>9.1999999999999993</v>
      </c>
      <c r="N620">
        <v>6.21</v>
      </c>
    </row>
    <row r="621" spans="1:14" x14ac:dyDescent="0.25">
      <c r="A621" s="1" t="s">
        <v>633</v>
      </c>
      <c r="B621" t="str">
        <f>HYPERLINK("https://www.suredividend.com/sure-analysis-research-database/","Genesco Inc.")</f>
        <v>Genesco Inc.</v>
      </c>
      <c r="C621" t="s">
        <v>1801</v>
      </c>
      <c r="D621">
        <v>27.89</v>
      </c>
      <c r="E621">
        <v>0</v>
      </c>
      <c r="F621" t="s">
        <v>1797</v>
      </c>
      <c r="G621" t="s">
        <v>1797</v>
      </c>
      <c r="H621">
        <v>0</v>
      </c>
      <c r="I621">
        <v>320.42868399999998</v>
      </c>
      <c r="J621" t="s">
        <v>1797</v>
      </c>
      <c r="K621">
        <v>0</v>
      </c>
      <c r="L621">
        <v>1.388600625596216</v>
      </c>
      <c r="M621">
        <v>51.04</v>
      </c>
      <c r="N621">
        <v>17.309999999999999</v>
      </c>
    </row>
    <row r="622" spans="1:14" x14ac:dyDescent="0.25">
      <c r="A622" s="1" t="s">
        <v>634</v>
      </c>
      <c r="B622" t="str">
        <f>HYPERLINK("https://www.suredividend.com/sure-analysis-research-database/","Golden Entertainment Inc")</f>
        <v>Golden Entertainment Inc</v>
      </c>
      <c r="C622" t="s">
        <v>1801</v>
      </c>
      <c r="D622">
        <v>38.26</v>
      </c>
      <c r="E622">
        <v>0</v>
      </c>
      <c r="F622" t="s">
        <v>1797</v>
      </c>
      <c r="G622" t="s">
        <v>1797</v>
      </c>
      <c r="H622">
        <v>0</v>
      </c>
      <c r="I622">
        <v>1094.2360000000001</v>
      </c>
      <c r="J622">
        <v>3.9619675217698278</v>
      </c>
      <c r="K622">
        <v>0</v>
      </c>
      <c r="L622">
        <v>1.441773244893112</v>
      </c>
      <c r="M622">
        <v>43</v>
      </c>
      <c r="N622">
        <v>29.97</v>
      </c>
    </row>
    <row r="623" spans="1:14" x14ac:dyDescent="0.25">
      <c r="A623" s="1" t="s">
        <v>635</v>
      </c>
      <c r="B623" t="str">
        <f>HYPERLINK("https://www.suredividend.com/sure-analysis-research-database/","Green Dot Corp.")</f>
        <v>Green Dot Corp.</v>
      </c>
      <c r="C623" t="s">
        <v>1800</v>
      </c>
      <c r="D623">
        <v>9</v>
      </c>
      <c r="E623">
        <v>0</v>
      </c>
      <c r="F623" t="s">
        <v>1797</v>
      </c>
      <c r="G623" t="s">
        <v>1797</v>
      </c>
      <c r="H623">
        <v>0</v>
      </c>
      <c r="I623">
        <v>472.07078999999999</v>
      </c>
      <c r="J623">
        <v>13.01008102521703</v>
      </c>
      <c r="K623">
        <v>0</v>
      </c>
      <c r="L623">
        <v>1.464176179586598</v>
      </c>
      <c r="M623">
        <v>21.37</v>
      </c>
      <c r="N623">
        <v>7.3</v>
      </c>
    </row>
    <row r="624" spans="1:14" x14ac:dyDescent="0.25">
      <c r="A624" s="1" t="s">
        <v>636</v>
      </c>
      <c r="B624" t="str">
        <f>HYPERLINK("https://www.suredividend.com/sure-analysis-research-database/","Grid Dynamics Holdings Inc")</f>
        <v>Grid Dynamics Holdings Inc</v>
      </c>
      <c r="C624" t="s">
        <v>1803</v>
      </c>
      <c r="D624">
        <v>12.97</v>
      </c>
      <c r="E624">
        <v>0</v>
      </c>
      <c r="F624" t="s">
        <v>1797</v>
      </c>
      <c r="G624" t="s">
        <v>1797</v>
      </c>
      <c r="H624">
        <v>0</v>
      </c>
      <c r="I624">
        <v>980.40169000000003</v>
      </c>
      <c r="J624" t="s">
        <v>1797</v>
      </c>
      <c r="K624">
        <v>0</v>
      </c>
      <c r="L624">
        <v>1.4508234285380339</v>
      </c>
      <c r="M624">
        <v>14.24</v>
      </c>
      <c r="N624">
        <v>8</v>
      </c>
    </row>
    <row r="625" spans="1:14" x14ac:dyDescent="0.25">
      <c r="A625" s="1" t="s">
        <v>637</v>
      </c>
      <c r="B625" t="str">
        <f>HYPERLINK("https://www.suredividend.com/sure-analysis-GEF/","Greif Inc")</f>
        <v>Greif Inc</v>
      </c>
      <c r="C625" t="s">
        <v>1801</v>
      </c>
      <c r="D625">
        <v>63.97</v>
      </c>
      <c r="E625">
        <v>3.2515241519462251E-2</v>
      </c>
      <c r="F625">
        <v>4.0000000000000042E-2</v>
      </c>
      <c r="G625">
        <v>3.3975226531950183E-2</v>
      </c>
      <c r="H625">
        <v>2.0169584697815699</v>
      </c>
      <c r="I625">
        <v>2994.1402229999999</v>
      </c>
      <c r="J625">
        <v>8.3355796842149221</v>
      </c>
      <c r="K625">
        <v>0.32689764502132412</v>
      </c>
      <c r="L625">
        <v>0.75680431972551709</v>
      </c>
      <c r="M625">
        <v>74.83</v>
      </c>
      <c r="N625">
        <v>56.09</v>
      </c>
    </row>
    <row r="626" spans="1:14" x14ac:dyDescent="0.25">
      <c r="A626" s="1" t="s">
        <v>638</v>
      </c>
      <c r="B626" t="str">
        <f>HYPERLINK("https://www.suredividend.com/sure-analysis-research-database/","Geo Group, Inc.")</f>
        <v>Geo Group, Inc.</v>
      </c>
      <c r="C626" t="s">
        <v>1799</v>
      </c>
      <c r="D626">
        <v>10.72</v>
      </c>
      <c r="E626">
        <v>0</v>
      </c>
      <c r="F626" t="s">
        <v>1797</v>
      </c>
      <c r="G626" t="s">
        <v>1797</v>
      </c>
      <c r="H626">
        <v>0</v>
      </c>
      <c r="I626">
        <v>1352.0783960000001</v>
      </c>
      <c r="J626">
        <v>13.17969348773736</v>
      </c>
      <c r="K626">
        <v>0</v>
      </c>
      <c r="L626">
        <v>0.86917197865249307</v>
      </c>
      <c r="M626">
        <v>12.42</v>
      </c>
      <c r="N626">
        <v>6.94</v>
      </c>
    </row>
    <row r="627" spans="1:14" x14ac:dyDescent="0.25">
      <c r="A627" s="1" t="s">
        <v>639</v>
      </c>
      <c r="B627" t="str">
        <f>HYPERLINK("https://www.suredividend.com/sure-analysis-research-database/","Geron Corp.")</f>
        <v>Geron Corp.</v>
      </c>
      <c r="C627" t="s">
        <v>1802</v>
      </c>
      <c r="D627">
        <v>2.0299999999999998</v>
      </c>
      <c r="E627">
        <v>0</v>
      </c>
      <c r="F627" t="s">
        <v>1797</v>
      </c>
      <c r="G627" t="s">
        <v>1797</v>
      </c>
      <c r="H627">
        <v>0</v>
      </c>
      <c r="I627">
        <v>1102.419819</v>
      </c>
      <c r="J627" t="s">
        <v>1797</v>
      </c>
      <c r="K627">
        <v>0</v>
      </c>
      <c r="L627">
        <v>1.2347970282958249</v>
      </c>
      <c r="M627">
        <v>3.74</v>
      </c>
      <c r="N627">
        <v>1.68</v>
      </c>
    </row>
    <row r="628" spans="1:14" x14ac:dyDescent="0.25">
      <c r="A628" s="1" t="s">
        <v>640</v>
      </c>
      <c r="B628" t="str">
        <f>HYPERLINK("https://www.suredividend.com/sure-analysis-research-database/","Guess Inc.")</f>
        <v>Guess Inc.</v>
      </c>
      <c r="C628" t="s">
        <v>1801</v>
      </c>
      <c r="D628">
        <v>22.78</v>
      </c>
      <c r="E628">
        <v>4.8474639198064003E-2</v>
      </c>
      <c r="F628" t="s">
        <v>1797</v>
      </c>
      <c r="G628" t="s">
        <v>1797</v>
      </c>
      <c r="H628">
        <v>1.1042522809319191</v>
      </c>
      <c r="I628">
        <v>1223.2926970000001</v>
      </c>
      <c r="J628">
        <v>6.9265592201982908</v>
      </c>
      <c r="K628">
        <v>0.41050270666614092</v>
      </c>
      <c r="L628">
        <v>1.044731774760183</v>
      </c>
      <c r="M628">
        <v>24.6</v>
      </c>
      <c r="N628">
        <v>16.510000000000002</v>
      </c>
    </row>
    <row r="629" spans="1:14" x14ac:dyDescent="0.25">
      <c r="A629" s="1" t="s">
        <v>641</v>
      </c>
      <c r="B629" t="str">
        <f>HYPERLINK("https://www.suredividend.com/sure-analysis-research-database/","Gevo Inc")</f>
        <v>Gevo Inc</v>
      </c>
      <c r="C629" t="s">
        <v>1808</v>
      </c>
      <c r="D629">
        <v>1.02</v>
      </c>
      <c r="E629">
        <v>0</v>
      </c>
      <c r="F629" t="s">
        <v>1797</v>
      </c>
      <c r="G629" t="s">
        <v>1797</v>
      </c>
      <c r="H629">
        <v>0</v>
      </c>
      <c r="I629">
        <v>245.11082999999999</v>
      </c>
      <c r="J629">
        <v>0</v>
      </c>
      <c r="K629" t="s">
        <v>1797</v>
      </c>
      <c r="L629">
        <v>2.5321495702307519</v>
      </c>
      <c r="M629">
        <v>2.2999999999999998</v>
      </c>
      <c r="N629">
        <v>0.97</v>
      </c>
    </row>
    <row r="630" spans="1:14" x14ac:dyDescent="0.25">
      <c r="A630" s="1" t="s">
        <v>642</v>
      </c>
      <c r="B630" t="str">
        <f>HYPERLINK("https://www.suredividend.com/sure-analysis-research-database/","Griffon Corp.")</f>
        <v>Griffon Corp.</v>
      </c>
      <c r="C630" t="s">
        <v>1798</v>
      </c>
      <c r="D630">
        <v>58.9</v>
      </c>
      <c r="E630">
        <v>8.3470968760980015E-3</v>
      </c>
      <c r="F630">
        <v>0.49999999999999978</v>
      </c>
      <c r="G630">
        <v>0.15651335043291609</v>
      </c>
      <c r="H630">
        <v>0.49164400600218211</v>
      </c>
      <c r="I630">
        <v>3072.502892</v>
      </c>
      <c r="J630">
        <v>39.585437359083713</v>
      </c>
      <c r="K630">
        <v>0.34622817324097332</v>
      </c>
      <c r="L630">
        <v>1.313660362382894</v>
      </c>
      <c r="M630">
        <v>62.45</v>
      </c>
      <c r="N630">
        <v>24.11</v>
      </c>
    </row>
    <row r="631" spans="1:14" x14ac:dyDescent="0.25">
      <c r="A631" s="1" t="s">
        <v>643</v>
      </c>
      <c r="B631" t="str">
        <f>HYPERLINK("https://www.suredividend.com/sure-analysis-research-database/","Graham Holdings Co.")</f>
        <v>Graham Holdings Co.</v>
      </c>
      <c r="C631" t="s">
        <v>1804</v>
      </c>
      <c r="D631">
        <v>680.27</v>
      </c>
      <c r="E631">
        <v>9.6609881261509999E-3</v>
      </c>
      <c r="F631">
        <v>4.4303797468354222E-2</v>
      </c>
      <c r="G631">
        <v>3.4889138224710958E-2</v>
      </c>
      <c r="H631">
        <v>6.5720803925770968</v>
      </c>
      <c r="I631">
        <v>2435.59449</v>
      </c>
      <c r="J631">
        <v>15.4337145329827</v>
      </c>
      <c r="K631">
        <v>0.1966511188682554</v>
      </c>
      <c r="L631">
        <v>0.90277091290426104</v>
      </c>
      <c r="M631">
        <v>702.4</v>
      </c>
      <c r="N631">
        <v>540.39</v>
      </c>
    </row>
    <row r="632" spans="1:14" x14ac:dyDescent="0.25">
      <c r="A632" s="1" t="s">
        <v>644</v>
      </c>
      <c r="B632" t="str">
        <f>HYPERLINK("https://www.suredividend.com/sure-analysis-research-database/","Global Industrial Co")</f>
        <v>Global Industrial Co</v>
      </c>
      <c r="C632" t="s">
        <v>1797</v>
      </c>
      <c r="D632">
        <v>38.28</v>
      </c>
      <c r="E632">
        <v>2.0704537391019E-2</v>
      </c>
      <c r="F632">
        <v>0.1111111111111112</v>
      </c>
      <c r="G632">
        <v>7.3940923785779322E-2</v>
      </c>
      <c r="H632">
        <v>0.79256969132821209</v>
      </c>
      <c r="I632">
        <v>1457.076292</v>
      </c>
      <c r="J632">
        <v>21.056015784971098</v>
      </c>
      <c r="K632">
        <v>0.43788380736365312</v>
      </c>
      <c r="L632">
        <v>1.005425819630444</v>
      </c>
      <c r="M632">
        <v>39.74</v>
      </c>
      <c r="N632">
        <v>20.11</v>
      </c>
    </row>
    <row r="633" spans="1:14" x14ac:dyDescent="0.25">
      <c r="A633" s="1" t="s">
        <v>645</v>
      </c>
      <c r="B633" t="str">
        <f>HYPERLINK("https://www.suredividend.com/sure-analysis-research-database/","G-III Apparel Group Ltd.")</f>
        <v>G-III Apparel Group Ltd.</v>
      </c>
      <c r="C633" t="s">
        <v>1801</v>
      </c>
      <c r="D633">
        <v>31.78</v>
      </c>
      <c r="E633">
        <v>0</v>
      </c>
      <c r="F633" t="s">
        <v>1797</v>
      </c>
      <c r="G633" t="s">
        <v>1797</v>
      </c>
      <c r="H633">
        <v>0</v>
      </c>
      <c r="I633">
        <v>1453.2250979999999</v>
      </c>
      <c r="J633" t="s">
        <v>1797</v>
      </c>
      <c r="K633">
        <v>0</v>
      </c>
      <c r="L633">
        <v>1.325387518560883</v>
      </c>
      <c r="M633">
        <v>35.68</v>
      </c>
      <c r="N633">
        <v>13.59</v>
      </c>
    </row>
    <row r="634" spans="1:14" x14ac:dyDescent="0.25">
      <c r="A634" s="1" t="s">
        <v>646</v>
      </c>
      <c r="B634" t="str">
        <f>HYPERLINK("https://www.suredividend.com/sure-analysis-research-database/","Glaukos Corporation")</f>
        <v>Glaukos Corporation</v>
      </c>
      <c r="C634" t="s">
        <v>1802</v>
      </c>
      <c r="D634">
        <v>88.49</v>
      </c>
      <c r="E634">
        <v>0</v>
      </c>
      <c r="F634" t="s">
        <v>1797</v>
      </c>
      <c r="G634" t="s">
        <v>1797</v>
      </c>
      <c r="H634">
        <v>0</v>
      </c>
      <c r="I634">
        <v>4318.2749229999999</v>
      </c>
      <c r="J634" t="s">
        <v>1797</v>
      </c>
      <c r="K634">
        <v>0</v>
      </c>
      <c r="L634">
        <v>0.87572205515867407</v>
      </c>
      <c r="M634">
        <v>89.25</v>
      </c>
      <c r="N634">
        <v>44.26</v>
      </c>
    </row>
    <row r="635" spans="1:14" x14ac:dyDescent="0.25">
      <c r="A635" s="1" t="s">
        <v>647</v>
      </c>
      <c r="B635" t="str">
        <f>HYPERLINK("https://www.suredividend.com/sure-analysis-research-database/","Great Lakes Dredge &amp; Dock Corporation")</f>
        <v>Great Lakes Dredge &amp; Dock Corporation</v>
      </c>
      <c r="C635" t="s">
        <v>1798</v>
      </c>
      <c r="D635">
        <v>7.48</v>
      </c>
      <c r="E635">
        <v>0</v>
      </c>
      <c r="F635" t="s">
        <v>1797</v>
      </c>
      <c r="G635" t="s">
        <v>1797</v>
      </c>
      <c r="H635">
        <v>0</v>
      </c>
      <c r="I635">
        <v>498.26116300000001</v>
      </c>
      <c r="J635" t="s">
        <v>1797</v>
      </c>
      <c r="K635">
        <v>0</v>
      </c>
      <c r="L635">
        <v>1.0862271733767259</v>
      </c>
      <c r="M635">
        <v>9.67</v>
      </c>
      <c r="N635">
        <v>4.75</v>
      </c>
    </row>
    <row r="636" spans="1:14" x14ac:dyDescent="0.25">
      <c r="A636" s="1" t="s">
        <v>648</v>
      </c>
      <c r="B636" t="str">
        <f>HYPERLINK("https://www.suredividend.com/sure-analysis-research-database/","Golar Lng")</f>
        <v>Golar Lng</v>
      </c>
      <c r="C636" t="s">
        <v>1807</v>
      </c>
      <c r="D636">
        <v>23.04</v>
      </c>
      <c r="E636">
        <v>3.1933313196990998E-2</v>
      </c>
      <c r="F636" t="s">
        <v>1797</v>
      </c>
      <c r="G636" t="s">
        <v>1797</v>
      </c>
      <c r="H636">
        <v>0.73574353605867504</v>
      </c>
      <c r="I636">
        <v>1850.0832459999999</v>
      </c>
      <c r="J636">
        <v>2.3484979125712608</v>
      </c>
      <c r="K636">
        <v>0.1013420848565668</v>
      </c>
      <c r="L636">
        <v>0.92277715771582203</v>
      </c>
      <c r="M636">
        <v>24.21</v>
      </c>
      <c r="N636">
        <v>18.7</v>
      </c>
    </row>
    <row r="637" spans="1:14" x14ac:dyDescent="0.25">
      <c r="A637" s="1" t="s">
        <v>649</v>
      </c>
      <c r="B637" t="str">
        <f>HYPERLINK("https://www.suredividend.com/sure-analysis-research-database/","Greenlight Capital Re Ltd")</f>
        <v>Greenlight Capital Re Ltd</v>
      </c>
      <c r="C637" t="s">
        <v>1800</v>
      </c>
      <c r="D637">
        <v>11.12</v>
      </c>
      <c r="E637">
        <v>0</v>
      </c>
      <c r="F637" t="s">
        <v>1797</v>
      </c>
      <c r="G637" t="s">
        <v>1797</v>
      </c>
      <c r="H637">
        <v>0</v>
      </c>
      <c r="I637">
        <v>392.95196600000003</v>
      </c>
      <c r="J637">
        <v>3.7793291192028771</v>
      </c>
      <c r="K637">
        <v>0</v>
      </c>
      <c r="L637">
        <v>0.38363243823791299</v>
      </c>
      <c r="M637">
        <v>11.72</v>
      </c>
      <c r="N637">
        <v>9.06</v>
      </c>
    </row>
    <row r="638" spans="1:14" x14ac:dyDescent="0.25">
      <c r="A638" s="1" t="s">
        <v>650</v>
      </c>
      <c r="B638" t="str">
        <f>HYPERLINK("https://www.suredividend.com/sure-analysis-research-database/","Glatfelter Corporation")</f>
        <v>Glatfelter Corporation</v>
      </c>
      <c r="C638" t="s">
        <v>1808</v>
      </c>
      <c r="D638">
        <v>1.35</v>
      </c>
      <c r="E638">
        <v>0</v>
      </c>
      <c r="F638" t="s">
        <v>1797</v>
      </c>
      <c r="G638" t="s">
        <v>1797</v>
      </c>
      <c r="H638">
        <v>0</v>
      </c>
      <c r="I638">
        <v>60.867341000000003</v>
      </c>
      <c r="J638" t="s">
        <v>1797</v>
      </c>
      <c r="K638">
        <v>0</v>
      </c>
      <c r="L638">
        <v>1.658929344591104</v>
      </c>
      <c r="M638">
        <v>4.87</v>
      </c>
      <c r="N638">
        <v>1.3</v>
      </c>
    </row>
    <row r="639" spans="1:14" x14ac:dyDescent="0.25">
      <c r="A639" s="1" t="s">
        <v>651</v>
      </c>
      <c r="B639" t="str">
        <f>HYPERLINK("https://www.suredividend.com/sure-analysis-research-database/","Monte Rosa Therapeutics Inc")</f>
        <v>Monte Rosa Therapeutics Inc</v>
      </c>
      <c r="C639" t="s">
        <v>1797</v>
      </c>
      <c r="D639">
        <v>5.9950000000000001</v>
      </c>
      <c r="E639">
        <v>0</v>
      </c>
      <c r="F639" t="s">
        <v>1797</v>
      </c>
      <c r="G639" t="s">
        <v>1797</v>
      </c>
      <c r="H639">
        <v>0</v>
      </c>
      <c r="I639">
        <v>300.23573299999998</v>
      </c>
      <c r="J639">
        <v>0</v>
      </c>
      <c r="K639" t="s">
        <v>1797</v>
      </c>
      <c r="L639">
        <v>1.8386945920252531</v>
      </c>
      <c r="M639">
        <v>8.83</v>
      </c>
      <c r="N639">
        <v>2.44</v>
      </c>
    </row>
    <row r="640" spans="1:14" x14ac:dyDescent="0.25">
      <c r="A640" s="1" t="s">
        <v>652</v>
      </c>
      <c r="B640" t="str">
        <f>HYPERLINK("https://www.suredividend.com/sure-analysis-GMRE/","Global Medical REIT Inc")</f>
        <v>Global Medical REIT Inc</v>
      </c>
      <c r="C640" t="s">
        <v>1799</v>
      </c>
      <c r="D640">
        <v>10.7</v>
      </c>
      <c r="E640">
        <v>7.8504672897196259E-2</v>
      </c>
      <c r="F640">
        <v>0</v>
      </c>
      <c r="G640">
        <v>9.805797673485328E-3</v>
      </c>
      <c r="H640">
        <v>0.81492650379654707</v>
      </c>
      <c r="I640">
        <v>701.54489000000001</v>
      </c>
      <c r="J640">
        <v>0</v>
      </c>
      <c r="K640" t="s">
        <v>1797</v>
      </c>
      <c r="L640">
        <v>1.21404234154827</v>
      </c>
      <c r="M640">
        <v>11.46</v>
      </c>
      <c r="N640">
        <v>7.55</v>
      </c>
    </row>
    <row r="641" spans="1:14" x14ac:dyDescent="0.25">
      <c r="A641" s="1" t="s">
        <v>653</v>
      </c>
      <c r="B641" t="str">
        <f>HYPERLINK("https://www.suredividend.com/sure-analysis-research-database/","GMS Inc")</f>
        <v>GMS Inc</v>
      </c>
      <c r="C641" t="s">
        <v>1798</v>
      </c>
      <c r="D641">
        <v>80.14</v>
      </c>
      <c r="E641">
        <v>0</v>
      </c>
      <c r="F641" t="s">
        <v>1797</v>
      </c>
      <c r="G641" t="s">
        <v>1797</v>
      </c>
      <c r="H641">
        <v>0</v>
      </c>
      <c r="I641">
        <v>3254.1648399999999</v>
      </c>
      <c r="J641">
        <v>10.560155895572031</v>
      </c>
      <c r="K641">
        <v>0</v>
      </c>
      <c r="L641">
        <v>1.3242909948568891</v>
      </c>
      <c r="M641">
        <v>84.65</v>
      </c>
      <c r="N641">
        <v>50.93</v>
      </c>
    </row>
    <row r="642" spans="1:14" x14ac:dyDescent="0.25">
      <c r="A642" s="1" t="s">
        <v>654</v>
      </c>
      <c r="B642" t="str">
        <f>HYPERLINK("https://www.suredividend.com/sure-analysis-research-database/","Genco Shipping &amp; Trading Limited")</f>
        <v>Genco Shipping &amp; Trading Limited</v>
      </c>
      <c r="C642" t="s">
        <v>1798</v>
      </c>
      <c r="D642">
        <v>15.95</v>
      </c>
      <c r="E642">
        <v>5.8278266834858997E-2</v>
      </c>
      <c r="F642" t="s">
        <v>1797</v>
      </c>
      <c r="G642" t="s">
        <v>1797</v>
      </c>
      <c r="H642">
        <v>0.92953835601601209</v>
      </c>
      <c r="I642">
        <v>678.49170700000002</v>
      </c>
      <c r="J642">
        <v>0</v>
      </c>
      <c r="K642" t="s">
        <v>1797</v>
      </c>
      <c r="L642">
        <v>0.97945439572015403</v>
      </c>
      <c r="M642">
        <v>18.73</v>
      </c>
      <c r="N642">
        <v>12.13</v>
      </c>
    </row>
    <row r="643" spans="1:14" x14ac:dyDescent="0.25">
      <c r="A643" s="1" t="s">
        <v>655</v>
      </c>
      <c r="B643" t="str">
        <f>HYPERLINK("https://www.suredividend.com/sure-analysis-GNL/","Global Net Lease Inc")</f>
        <v>Global Net Lease Inc</v>
      </c>
      <c r="C643" t="s">
        <v>1799</v>
      </c>
      <c r="D643">
        <v>9.31</v>
      </c>
      <c r="E643">
        <v>0.15252416756176149</v>
      </c>
      <c r="F643">
        <v>-0.1150000000000001</v>
      </c>
      <c r="G643">
        <v>0.14805047057174581</v>
      </c>
      <c r="H643">
        <v>1.4221098423255549</v>
      </c>
      <c r="I643">
        <v>2144.454358</v>
      </c>
      <c r="J643" t="s">
        <v>1797</v>
      </c>
      <c r="K643" t="s">
        <v>1797</v>
      </c>
      <c r="L643">
        <v>1.4046090878700299</v>
      </c>
      <c r="M643">
        <v>13.19</v>
      </c>
      <c r="N643">
        <v>7.29</v>
      </c>
    </row>
    <row r="644" spans="1:14" x14ac:dyDescent="0.25">
      <c r="A644" s="1" t="s">
        <v>656</v>
      </c>
      <c r="B644" t="str">
        <f>HYPERLINK("https://www.suredividend.com/sure-analysis-research-database/","Guaranty Bancshares, Inc. (TX)")</f>
        <v>Guaranty Bancshares, Inc. (TX)</v>
      </c>
      <c r="C644" t="s">
        <v>1800</v>
      </c>
      <c r="D644">
        <v>31.88</v>
      </c>
      <c r="E644">
        <v>7.0465912594320007E-3</v>
      </c>
      <c r="F644">
        <v>4.5454545454545407E-2</v>
      </c>
      <c r="G644">
        <v>6.2321039666164653E-2</v>
      </c>
      <c r="H644">
        <v>0.22464532935069501</v>
      </c>
      <c r="I644">
        <v>367.55389300000002</v>
      </c>
      <c r="J644">
        <v>0</v>
      </c>
      <c r="K644" t="s">
        <v>1797</v>
      </c>
      <c r="L644">
        <v>1.0190121310349221</v>
      </c>
      <c r="M644">
        <v>34.76</v>
      </c>
      <c r="N644">
        <v>21.61</v>
      </c>
    </row>
    <row r="645" spans="1:14" x14ac:dyDescent="0.25">
      <c r="A645" s="1" t="s">
        <v>657</v>
      </c>
      <c r="B645" t="str">
        <f>HYPERLINK("https://www.suredividend.com/sure-analysis-research-database/","Genworth Financial Inc")</f>
        <v>Genworth Financial Inc</v>
      </c>
      <c r="C645" t="s">
        <v>1800</v>
      </c>
      <c r="D645">
        <v>6.22</v>
      </c>
      <c r="E645">
        <v>0</v>
      </c>
      <c r="F645" t="s">
        <v>1797</v>
      </c>
      <c r="G645" t="s">
        <v>1797</v>
      </c>
      <c r="H645">
        <v>0</v>
      </c>
      <c r="I645">
        <v>2805.2494019999999</v>
      </c>
      <c r="J645">
        <v>6.9609166301240686</v>
      </c>
      <c r="K645">
        <v>0</v>
      </c>
      <c r="L645">
        <v>1.167589273178637</v>
      </c>
      <c r="M645">
        <v>6.93</v>
      </c>
      <c r="N645">
        <v>4.51</v>
      </c>
    </row>
    <row r="646" spans="1:14" x14ac:dyDescent="0.25">
      <c r="A646" s="1" t="s">
        <v>658</v>
      </c>
      <c r="B646" t="str">
        <f>HYPERLINK("https://www.suredividend.com/sure-analysis-research-database/","Canoo Inc")</f>
        <v>Canoo Inc</v>
      </c>
      <c r="C646" t="s">
        <v>1797</v>
      </c>
      <c r="D646">
        <v>0.20319999999999999</v>
      </c>
      <c r="E646">
        <v>0</v>
      </c>
      <c r="F646" t="s">
        <v>1797</v>
      </c>
      <c r="G646" t="s">
        <v>1797</v>
      </c>
      <c r="H646">
        <v>0</v>
      </c>
      <c r="I646">
        <v>147.58508900000001</v>
      </c>
      <c r="J646">
        <v>0</v>
      </c>
      <c r="K646" t="s">
        <v>1797</v>
      </c>
      <c r="L646">
        <v>2.2236991904134449</v>
      </c>
      <c r="M646">
        <v>1.47</v>
      </c>
      <c r="N646">
        <v>0.2014</v>
      </c>
    </row>
    <row r="647" spans="1:14" x14ac:dyDescent="0.25">
      <c r="A647" s="1" t="s">
        <v>659</v>
      </c>
      <c r="B647" t="str">
        <f>HYPERLINK("https://www.suredividend.com/sure-analysis-research-database/","Golden Ocean Group Limited")</f>
        <v>Golden Ocean Group Limited</v>
      </c>
      <c r="C647" t="s">
        <v>1798</v>
      </c>
      <c r="D647">
        <v>9.82</v>
      </c>
      <c r="E647">
        <v>4.9428974788286013E-2</v>
      </c>
      <c r="F647" t="s">
        <v>1797</v>
      </c>
      <c r="G647" t="s">
        <v>1797</v>
      </c>
      <c r="H647">
        <v>0.48539253242097602</v>
      </c>
      <c r="I647">
        <v>1968.7687980000001</v>
      </c>
      <c r="J647">
        <v>16.00468895896336</v>
      </c>
      <c r="K647">
        <v>0.78861499987160999</v>
      </c>
      <c r="L647">
        <v>0.93189550325871706</v>
      </c>
      <c r="M647">
        <v>10.35</v>
      </c>
      <c r="N647">
        <v>6.64</v>
      </c>
    </row>
    <row r="648" spans="1:14" x14ac:dyDescent="0.25">
      <c r="A648" s="1" t="s">
        <v>660</v>
      </c>
      <c r="B648" t="str">
        <f>HYPERLINK("https://www.suredividend.com/sure-analysis-research-database/","Gogo Inc")</f>
        <v>Gogo Inc</v>
      </c>
      <c r="C648" t="s">
        <v>1806</v>
      </c>
      <c r="D648">
        <v>8.7899999999999991</v>
      </c>
      <c r="E648">
        <v>0</v>
      </c>
      <c r="F648" t="s">
        <v>1797</v>
      </c>
      <c r="G648" t="s">
        <v>1797</v>
      </c>
      <c r="H648">
        <v>0</v>
      </c>
      <c r="I648">
        <v>1131.2729999999999</v>
      </c>
      <c r="J648">
        <v>7.1202535230770199</v>
      </c>
      <c r="K648">
        <v>0</v>
      </c>
      <c r="L648">
        <v>0.9131906654259101</v>
      </c>
      <c r="M648">
        <v>17.940000000000001</v>
      </c>
      <c r="N648">
        <v>8.74</v>
      </c>
    </row>
    <row r="649" spans="1:14" x14ac:dyDescent="0.25">
      <c r="A649" s="1" t="s">
        <v>661</v>
      </c>
      <c r="B649" t="str">
        <f>HYPERLINK("https://www.suredividend.com/sure-analysis-research-database/","Acushnet Holdings Corp")</f>
        <v>Acushnet Holdings Corp</v>
      </c>
      <c r="C649" t="s">
        <v>1801</v>
      </c>
      <c r="D649">
        <v>63.1</v>
      </c>
      <c r="E649">
        <v>1.2295665758428E-2</v>
      </c>
      <c r="F649">
        <v>8.3333333333333481E-2</v>
      </c>
      <c r="G649">
        <v>6.8516702296210097E-2</v>
      </c>
      <c r="H649">
        <v>0.77585650935681105</v>
      </c>
      <c r="I649">
        <v>4125.3353310000002</v>
      </c>
      <c r="J649">
        <v>18.320248917083749</v>
      </c>
      <c r="K649">
        <v>0.23726498757089021</v>
      </c>
      <c r="L649">
        <v>0.94332047117770712</v>
      </c>
      <c r="M649">
        <v>64.98</v>
      </c>
      <c r="N649">
        <v>43.14</v>
      </c>
    </row>
    <row r="650" spans="1:14" x14ac:dyDescent="0.25">
      <c r="A650" s="1" t="s">
        <v>662</v>
      </c>
      <c r="B650" t="str">
        <f>HYPERLINK("https://www.suredividend.com/sure-analysis-GOOD/","Gladstone Commercial Corp")</f>
        <v>Gladstone Commercial Corp</v>
      </c>
      <c r="C650" t="s">
        <v>1799</v>
      </c>
      <c r="D650">
        <v>13.47</v>
      </c>
      <c r="E650">
        <v>8.9086859688195977E-2</v>
      </c>
      <c r="F650">
        <v>0</v>
      </c>
      <c r="G650">
        <v>-4.4258393394558837E-2</v>
      </c>
      <c r="H650">
        <v>1.114150026945862</v>
      </c>
      <c r="I650">
        <v>538.11060499999996</v>
      </c>
      <c r="J650" t="s">
        <v>1797</v>
      </c>
      <c r="K650" t="s">
        <v>1797</v>
      </c>
      <c r="L650">
        <v>1.0972529607958981</v>
      </c>
      <c r="M650">
        <v>14.98</v>
      </c>
      <c r="N650">
        <v>9.7100000000000009</v>
      </c>
    </row>
    <row r="651" spans="1:14" x14ac:dyDescent="0.25">
      <c r="A651" s="1" t="s">
        <v>663</v>
      </c>
      <c r="B651" t="str">
        <f>HYPERLINK("https://www.suredividend.com/sure-analysis-research-database/","Gossamer Bio Inc")</f>
        <v>Gossamer Bio Inc</v>
      </c>
      <c r="C651" t="s">
        <v>1802</v>
      </c>
      <c r="D651">
        <v>0.97360000000000002</v>
      </c>
      <c r="E651">
        <v>0</v>
      </c>
      <c r="F651" t="s">
        <v>1797</v>
      </c>
      <c r="G651" t="s">
        <v>1797</v>
      </c>
      <c r="H651">
        <v>0</v>
      </c>
      <c r="I651">
        <v>219.45850799999999</v>
      </c>
      <c r="J651">
        <v>0</v>
      </c>
      <c r="K651" t="s">
        <v>1797</v>
      </c>
      <c r="L651">
        <v>2.5341049904239532</v>
      </c>
      <c r="M651">
        <v>3.06</v>
      </c>
      <c r="N651">
        <v>0.45250000000000001</v>
      </c>
    </row>
    <row r="652" spans="1:14" x14ac:dyDescent="0.25">
      <c r="A652" s="1" t="s">
        <v>664</v>
      </c>
      <c r="B652" t="str">
        <f>HYPERLINK("https://www.suredividend.com/sure-analysis-research-database/","Group 1 Automotive, Inc.")</f>
        <v>Group 1 Automotive, Inc.</v>
      </c>
      <c r="C652" t="s">
        <v>1801</v>
      </c>
      <c r="D652">
        <v>273.88</v>
      </c>
      <c r="E652">
        <v>6.5555829848570014E-3</v>
      </c>
      <c r="F652" t="s">
        <v>1797</v>
      </c>
      <c r="G652" t="s">
        <v>1797</v>
      </c>
      <c r="H652">
        <v>1.795443067892756</v>
      </c>
      <c r="I652">
        <v>3785.7728529999999</v>
      </c>
      <c r="J652">
        <v>5.9797391452219237</v>
      </c>
      <c r="K652">
        <v>3.9399672325932757E-2</v>
      </c>
      <c r="L652">
        <v>1.159537773917805</v>
      </c>
      <c r="M652">
        <v>310.08</v>
      </c>
      <c r="N652">
        <v>182.61</v>
      </c>
    </row>
    <row r="653" spans="1:14" x14ac:dyDescent="0.25">
      <c r="A653" s="1" t="s">
        <v>665</v>
      </c>
      <c r="B653" t="str">
        <f>HYPERLINK("https://www.suredividend.com/sure-analysis-research-database/","Granite Point Mortgage Trust Inc")</f>
        <v>Granite Point Mortgage Trust Inc</v>
      </c>
      <c r="C653" t="s">
        <v>1799</v>
      </c>
      <c r="D653">
        <v>5.91</v>
      </c>
      <c r="E653">
        <v>0.128404890821607</v>
      </c>
      <c r="F653" t="s">
        <v>1797</v>
      </c>
      <c r="G653" t="s">
        <v>1797</v>
      </c>
      <c r="H653">
        <v>0.75887290475569902</v>
      </c>
      <c r="I653">
        <v>304.82504</v>
      </c>
      <c r="J653" t="s">
        <v>1797</v>
      </c>
      <c r="K653" t="s">
        <v>1797</v>
      </c>
      <c r="L653">
        <v>1.7969322973401489</v>
      </c>
      <c r="M653">
        <v>6.2</v>
      </c>
      <c r="N653">
        <v>3.56</v>
      </c>
    </row>
    <row r="654" spans="1:14" x14ac:dyDescent="0.25">
      <c r="A654" s="1" t="s">
        <v>666</v>
      </c>
      <c r="B654" t="str">
        <f>HYPERLINK("https://www.suredividend.com/sure-analysis-research-database/","Gulfport Energy Corp.")</f>
        <v>Gulfport Energy Corp.</v>
      </c>
      <c r="C654" t="s">
        <v>1807</v>
      </c>
      <c r="D654">
        <v>126.01</v>
      </c>
      <c r="E654">
        <v>0</v>
      </c>
      <c r="F654" t="s">
        <v>1797</v>
      </c>
      <c r="G654" t="s">
        <v>1797</v>
      </c>
      <c r="H654">
        <v>0</v>
      </c>
      <c r="I654">
        <v>2347.041342</v>
      </c>
      <c r="J654" t="s">
        <v>1797</v>
      </c>
      <c r="K654">
        <v>0</v>
      </c>
      <c r="L654">
        <v>0.61586231643963607</v>
      </c>
      <c r="M654">
        <v>140.83000000000001</v>
      </c>
      <c r="N654">
        <v>60.15</v>
      </c>
    </row>
    <row r="655" spans="1:14" x14ac:dyDescent="0.25">
      <c r="A655" s="1" t="s">
        <v>667</v>
      </c>
      <c r="B655" t="str">
        <f>HYPERLINK("https://www.suredividend.com/sure-analysis-research-database/","Green Plains Inc")</f>
        <v>Green Plains Inc</v>
      </c>
      <c r="C655" t="s">
        <v>1808</v>
      </c>
      <c r="D655">
        <v>21.71</v>
      </c>
      <c r="E655">
        <v>0</v>
      </c>
      <c r="F655" t="s">
        <v>1797</v>
      </c>
      <c r="G655" t="s">
        <v>1797</v>
      </c>
      <c r="H655">
        <v>0</v>
      </c>
      <c r="I655">
        <v>1291.99117</v>
      </c>
      <c r="J655" t="s">
        <v>1797</v>
      </c>
      <c r="K655">
        <v>0</v>
      </c>
      <c r="L655">
        <v>1.231439696216666</v>
      </c>
      <c r="M655">
        <v>37.49</v>
      </c>
      <c r="N655">
        <v>21.37</v>
      </c>
    </row>
    <row r="656" spans="1:14" x14ac:dyDescent="0.25">
      <c r="A656" s="1" t="s">
        <v>668</v>
      </c>
      <c r="B656" t="str">
        <f>HYPERLINK("https://www.suredividend.com/sure-analysis-research-database/","GoPro Inc.")</f>
        <v>GoPro Inc.</v>
      </c>
      <c r="C656" t="s">
        <v>1803</v>
      </c>
      <c r="D656">
        <v>3.3</v>
      </c>
      <c r="E656">
        <v>0</v>
      </c>
      <c r="F656" t="s">
        <v>1797</v>
      </c>
      <c r="G656" t="s">
        <v>1797</v>
      </c>
      <c r="H656">
        <v>0</v>
      </c>
      <c r="I656">
        <v>415.07964299999998</v>
      </c>
      <c r="J656" t="s">
        <v>1797</v>
      </c>
      <c r="K656">
        <v>0</v>
      </c>
      <c r="L656">
        <v>1.7930410187210659</v>
      </c>
      <c r="M656">
        <v>6.57</v>
      </c>
      <c r="N656">
        <v>2.41</v>
      </c>
    </row>
    <row r="657" spans="1:14" x14ac:dyDescent="0.25">
      <c r="A657" s="1" t="s">
        <v>669</v>
      </c>
      <c r="B657" t="str">
        <f>HYPERLINK("https://www.suredividend.com/sure-analysis-research-database/","Green Brick Partners Inc")</f>
        <v>Green Brick Partners Inc</v>
      </c>
      <c r="C657" t="s">
        <v>1801</v>
      </c>
      <c r="D657">
        <v>50.15</v>
      </c>
      <c r="E657">
        <v>0</v>
      </c>
      <c r="F657" t="s">
        <v>1797</v>
      </c>
      <c r="G657" t="s">
        <v>1797</v>
      </c>
      <c r="H657">
        <v>0</v>
      </c>
      <c r="I657">
        <v>2275.7249550000001</v>
      </c>
      <c r="J657">
        <v>8.6111025306684628</v>
      </c>
      <c r="K657">
        <v>0</v>
      </c>
      <c r="L657">
        <v>1.5287239492605069</v>
      </c>
      <c r="M657">
        <v>59.3</v>
      </c>
      <c r="N657">
        <v>27.1</v>
      </c>
    </row>
    <row r="658" spans="1:14" x14ac:dyDescent="0.25">
      <c r="A658" s="1" t="s">
        <v>670</v>
      </c>
      <c r="B658" t="str">
        <f>HYPERLINK("https://www.suredividend.com/sure-analysis-GRC/","Gorman-Rupp Co.")</f>
        <v>Gorman-Rupp Co.</v>
      </c>
      <c r="C658" t="s">
        <v>1798</v>
      </c>
      <c r="D658">
        <v>33.03</v>
      </c>
      <c r="E658">
        <v>2.17983651226158E-2</v>
      </c>
      <c r="F658">
        <v>2.857142857142847E-2</v>
      </c>
      <c r="G658">
        <v>5.9223841048812183E-2</v>
      </c>
      <c r="H658">
        <v>0.69876604854700608</v>
      </c>
      <c r="I658">
        <v>865.18775400000004</v>
      </c>
      <c r="J658">
        <v>30.462212306879799</v>
      </c>
      <c r="K658">
        <v>0.6410697693091798</v>
      </c>
      <c r="L658">
        <v>1.118205484454603</v>
      </c>
      <c r="M658">
        <v>36.69</v>
      </c>
      <c r="N658">
        <v>22.5</v>
      </c>
    </row>
    <row r="659" spans="1:14" x14ac:dyDescent="0.25">
      <c r="A659" s="1" t="s">
        <v>671</v>
      </c>
      <c r="B659" t="str">
        <f>HYPERLINK("https://www.suredividend.com/sure-analysis-research-database/","Greenidge Generation Holdings Inc")</f>
        <v>Greenidge Generation Holdings Inc</v>
      </c>
      <c r="C659" t="s">
        <v>1797</v>
      </c>
      <c r="D659">
        <v>4.58</v>
      </c>
      <c r="E659">
        <v>0</v>
      </c>
      <c r="F659" t="s">
        <v>1797</v>
      </c>
      <c r="G659" t="s">
        <v>1797</v>
      </c>
      <c r="H659">
        <v>0</v>
      </c>
      <c r="I659">
        <v>20.646063000000002</v>
      </c>
      <c r="J659" t="s">
        <v>1797</v>
      </c>
      <c r="K659">
        <v>0</v>
      </c>
      <c r="L659">
        <v>2.4622187077175002</v>
      </c>
      <c r="M659">
        <v>11.5</v>
      </c>
      <c r="N659">
        <v>1.55</v>
      </c>
    </row>
    <row r="660" spans="1:14" x14ac:dyDescent="0.25">
      <c r="A660" s="1" t="s">
        <v>672</v>
      </c>
      <c r="B660" t="str">
        <f>HYPERLINK("https://www.suredividend.com/sure-analysis-research-database/","GreenLight Biosciences Holdings PBC")</f>
        <v>GreenLight Biosciences Holdings PBC</v>
      </c>
      <c r="C660" t="s">
        <v>1797</v>
      </c>
      <c r="D660">
        <v>0.29949999999999999</v>
      </c>
      <c r="E660">
        <v>0</v>
      </c>
      <c r="F660" t="s">
        <v>1797</v>
      </c>
      <c r="G660" t="s">
        <v>1797</v>
      </c>
      <c r="H660">
        <v>0</v>
      </c>
      <c r="I660">
        <v>0</v>
      </c>
      <c r="J660">
        <v>0</v>
      </c>
      <c r="K660" t="s">
        <v>1797</v>
      </c>
    </row>
    <row r="661" spans="1:14" x14ac:dyDescent="0.25">
      <c r="A661" s="1" t="s">
        <v>673</v>
      </c>
      <c r="B661" t="str">
        <f>HYPERLINK("https://www.suredividend.com/sure-analysis-research-database/","Groupon Inc")</f>
        <v>Groupon Inc</v>
      </c>
      <c r="C661" t="s">
        <v>1806</v>
      </c>
      <c r="D661">
        <v>13.38</v>
      </c>
      <c r="E661">
        <v>0</v>
      </c>
      <c r="F661" t="s">
        <v>1797</v>
      </c>
      <c r="G661" t="s">
        <v>1797</v>
      </c>
      <c r="H661">
        <v>0</v>
      </c>
      <c r="I661">
        <v>426.19819799999999</v>
      </c>
      <c r="J661" t="s">
        <v>1797</v>
      </c>
      <c r="K661">
        <v>0</v>
      </c>
      <c r="L661">
        <v>1.893224077441763</v>
      </c>
      <c r="M661">
        <v>16.25</v>
      </c>
      <c r="N661">
        <v>2.89</v>
      </c>
    </row>
    <row r="662" spans="1:14" x14ac:dyDescent="0.25">
      <c r="A662" s="1" t="s">
        <v>674</v>
      </c>
      <c r="B662" t="str">
        <f>HYPERLINK("https://www.suredividend.com/sure-analysis-research-database/","GrowGeneration Corp")</f>
        <v>GrowGeneration Corp</v>
      </c>
      <c r="C662" t="s">
        <v>1801</v>
      </c>
      <c r="D662">
        <v>2.4700000000000002</v>
      </c>
      <c r="E662">
        <v>0</v>
      </c>
      <c r="F662" t="s">
        <v>1797</v>
      </c>
      <c r="G662" t="s">
        <v>1797</v>
      </c>
      <c r="H662">
        <v>0</v>
      </c>
      <c r="I662">
        <v>151.438894</v>
      </c>
      <c r="J662" t="s">
        <v>1797</v>
      </c>
      <c r="K662">
        <v>0</v>
      </c>
      <c r="L662">
        <v>2.8524967689153669</v>
      </c>
      <c r="M662">
        <v>5.89</v>
      </c>
      <c r="N662">
        <v>1.77</v>
      </c>
    </row>
    <row r="663" spans="1:14" x14ac:dyDescent="0.25">
      <c r="A663" s="1" t="s">
        <v>675</v>
      </c>
      <c r="B663" t="str">
        <f>HYPERLINK("https://www.suredividend.com/sure-analysis-research-database/","Globalstar Inc.")</f>
        <v>Globalstar Inc.</v>
      </c>
      <c r="C663" t="s">
        <v>1806</v>
      </c>
      <c r="D663">
        <v>1.89</v>
      </c>
      <c r="E663">
        <v>0</v>
      </c>
      <c r="F663" t="s">
        <v>1797</v>
      </c>
      <c r="G663" t="s">
        <v>1797</v>
      </c>
      <c r="H663">
        <v>0</v>
      </c>
      <c r="I663">
        <v>3591</v>
      </c>
      <c r="J663" t="s">
        <v>1797</v>
      </c>
      <c r="K663">
        <v>0</v>
      </c>
      <c r="L663">
        <v>1.467130083767582</v>
      </c>
      <c r="M663">
        <v>2.13</v>
      </c>
      <c r="N663">
        <v>0.8538</v>
      </c>
    </row>
    <row r="664" spans="1:14" x14ac:dyDescent="0.25">
      <c r="A664" s="1" t="s">
        <v>676</v>
      </c>
      <c r="B664" t="str">
        <f>HYPERLINK("https://www.suredividend.com/sure-analysis-research-database/","Great Southern Bancorp, Inc.")</f>
        <v>Great Southern Bancorp, Inc.</v>
      </c>
      <c r="C664" t="s">
        <v>1800</v>
      </c>
      <c r="D664">
        <v>56.69</v>
      </c>
      <c r="E664">
        <v>2.7610489669802001E-2</v>
      </c>
      <c r="F664">
        <v>0</v>
      </c>
      <c r="G664">
        <v>4.5639552591273169E-2</v>
      </c>
      <c r="H664">
        <v>1.565238659381111</v>
      </c>
      <c r="I664">
        <v>668.675614</v>
      </c>
      <c r="J664">
        <v>8.6549866512639291</v>
      </c>
      <c r="K664">
        <v>0.24610670744986021</v>
      </c>
      <c r="L664">
        <v>1.0802388347468559</v>
      </c>
      <c r="M664">
        <v>61.42</v>
      </c>
      <c r="N664">
        <v>43.38</v>
      </c>
    </row>
    <row r="665" spans="1:14" x14ac:dyDescent="0.25">
      <c r="A665" s="1" t="s">
        <v>677</v>
      </c>
      <c r="B665" t="str">
        <f>HYPERLINK("https://www.suredividend.com/sure-analysis-research-database/","Goosehead Insurance Inc")</f>
        <v>Goosehead Insurance Inc</v>
      </c>
      <c r="C665" t="s">
        <v>1800</v>
      </c>
      <c r="D665">
        <v>72.849999999999994</v>
      </c>
      <c r="E665">
        <v>0</v>
      </c>
      <c r="F665" t="s">
        <v>1797</v>
      </c>
      <c r="G665" t="s">
        <v>1797</v>
      </c>
      <c r="H665">
        <v>0</v>
      </c>
      <c r="I665">
        <v>1781.1739769999999</v>
      </c>
      <c r="J665">
        <v>161.63103235480941</v>
      </c>
      <c r="K665">
        <v>0</v>
      </c>
      <c r="L665">
        <v>1.402624354562285</v>
      </c>
      <c r="M665">
        <v>79.8</v>
      </c>
      <c r="N665">
        <v>35.21</v>
      </c>
    </row>
    <row r="666" spans="1:14" x14ac:dyDescent="0.25">
      <c r="A666" s="1" t="s">
        <v>678</v>
      </c>
      <c r="B666" t="str">
        <f>HYPERLINK("https://www.suredividend.com/sure-analysis-research-database/","Goodyear Tire &amp; Rubber Co.")</f>
        <v>Goodyear Tire &amp; Rubber Co.</v>
      </c>
      <c r="C666" t="s">
        <v>1801</v>
      </c>
      <c r="D666">
        <v>13.2</v>
      </c>
      <c r="E666">
        <v>0</v>
      </c>
      <c r="F666" t="s">
        <v>1797</v>
      </c>
      <c r="G666" t="s">
        <v>1797</v>
      </c>
      <c r="H666">
        <v>0</v>
      </c>
      <c r="I666">
        <v>3742.8396720000001</v>
      </c>
      <c r="J666" t="s">
        <v>1797</v>
      </c>
      <c r="K666">
        <v>0</v>
      </c>
      <c r="L666">
        <v>1.5581591986831089</v>
      </c>
      <c r="M666">
        <v>16.510000000000002</v>
      </c>
      <c r="N666">
        <v>9.86</v>
      </c>
    </row>
    <row r="667" spans="1:14" x14ac:dyDescent="0.25">
      <c r="A667" s="1" t="s">
        <v>679</v>
      </c>
      <c r="B667" t="str">
        <f>HYPERLINK("https://www.suredividend.com/sure-analysis-research-database/","Chart Industries Inc")</f>
        <v>Chart Industries Inc</v>
      </c>
      <c r="C667" t="s">
        <v>1798</v>
      </c>
      <c r="D667">
        <v>132.99</v>
      </c>
      <c r="E667">
        <v>0</v>
      </c>
      <c r="F667" t="s">
        <v>1797</v>
      </c>
      <c r="G667" t="s">
        <v>1797</v>
      </c>
      <c r="H667">
        <v>0</v>
      </c>
      <c r="I667">
        <v>5685.4053530000001</v>
      </c>
      <c r="J667" t="s">
        <v>1797</v>
      </c>
      <c r="K667">
        <v>0</v>
      </c>
      <c r="L667">
        <v>2.258572930783743</v>
      </c>
      <c r="M667">
        <v>184.65</v>
      </c>
      <c r="N667">
        <v>101.44</v>
      </c>
    </row>
    <row r="668" spans="1:14" x14ac:dyDescent="0.25">
      <c r="A668" s="1" t="s">
        <v>680</v>
      </c>
      <c r="B668" t="str">
        <f>HYPERLINK("https://www.suredividend.com/sure-analysis-research-database/","Gray Television, Inc.")</f>
        <v>Gray Television, Inc.</v>
      </c>
      <c r="C668" t="s">
        <v>1806</v>
      </c>
      <c r="D668">
        <v>9.18</v>
      </c>
      <c r="E668">
        <v>3.433642219106E-2</v>
      </c>
      <c r="F668" t="s">
        <v>1797</v>
      </c>
      <c r="G668" t="s">
        <v>1797</v>
      </c>
      <c r="H668">
        <v>0.31520835571393702</v>
      </c>
      <c r="I668">
        <v>875.66099099999997</v>
      </c>
      <c r="J668">
        <v>13.069567023358211</v>
      </c>
      <c r="K668">
        <v>0.43519032957881681</v>
      </c>
      <c r="L668">
        <v>2.0539549181175252</v>
      </c>
      <c r="M668">
        <v>13.84</v>
      </c>
      <c r="N668">
        <v>5.91</v>
      </c>
    </row>
    <row r="669" spans="1:14" x14ac:dyDescent="0.25">
      <c r="A669" s="1" t="s">
        <v>681</v>
      </c>
      <c r="B669" t="str">
        <f>HYPERLINK("https://www.suredividend.com/sure-analysis-research-database/","Getty Realty Corp.")</f>
        <v>Getty Realty Corp.</v>
      </c>
      <c r="C669" t="s">
        <v>1799</v>
      </c>
      <c r="D669">
        <v>28.81</v>
      </c>
      <c r="E669">
        <v>5.9092576709894998E-2</v>
      </c>
      <c r="F669">
        <v>4.6511627906976827E-2</v>
      </c>
      <c r="G669">
        <v>5.1547496797280427E-2</v>
      </c>
      <c r="H669">
        <v>1.702457135012079</v>
      </c>
      <c r="I669">
        <v>1518.3378499999999</v>
      </c>
      <c r="J669">
        <v>22.05604081420686</v>
      </c>
      <c r="K669">
        <v>1.2074164078099849</v>
      </c>
      <c r="L669">
        <v>0.72938784594031103</v>
      </c>
      <c r="M669">
        <v>34.590000000000003</v>
      </c>
      <c r="N669">
        <v>25.56</v>
      </c>
    </row>
    <row r="670" spans="1:14" x14ac:dyDescent="0.25">
      <c r="A670" s="1" t="s">
        <v>682</v>
      </c>
      <c r="B670" t="str">
        <f>HYPERLINK("https://www.suredividend.com/sure-analysis-research-database/","Granite Construction Inc.")</f>
        <v>Granite Construction Inc.</v>
      </c>
      <c r="C670" t="s">
        <v>1798</v>
      </c>
      <c r="D670">
        <v>46.99</v>
      </c>
      <c r="E670">
        <v>1.1017400746716E-2</v>
      </c>
      <c r="F670">
        <v>0</v>
      </c>
      <c r="G670">
        <v>0</v>
      </c>
      <c r="H670">
        <v>0.51770766108820709</v>
      </c>
      <c r="I670">
        <v>2063.8091169999998</v>
      </c>
      <c r="J670">
        <v>88.583102293329901</v>
      </c>
      <c r="K670">
        <v>1.1579236436774929</v>
      </c>
      <c r="L670">
        <v>0.97717346386400805</v>
      </c>
      <c r="M670">
        <v>52.11</v>
      </c>
      <c r="N670">
        <v>33.659999999999997</v>
      </c>
    </row>
    <row r="671" spans="1:14" x14ac:dyDescent="0.25">
      <c r="A671" s="1" t="s">
        <v>683</v>
      </c>
      <c r="B671" t="str">
        <f>HYPERLINK("https://www.suredividend.com/sure-analysis-research-database/","ESS Tech Inc")</f>
        <v>ESS Tech Inc</v>
      </c>
      <c r="C671" t="s">
        <v>1797</v>
      </c>
      <c r="D671">
        <v>1.01</v>
      </c>
      <c r="E671">
        <v>0</v>
      </c>
      <c r="F671" t="s">
        <v>1797</v>
      </c>
      <c r="G671" t="s">
        <v>1797</v>
      </c>
      <c r="H671">
        <v>0</v>
      </c>
      <c r="I671">
        <v>174.738122</v>
      </c>
      <c r="J671" t="s">
        <v>1797</v>
      </c>
      <c r="K671">
        <v>0</v>
      </c>
      <c r="L671">
        <v>2.7847726947134208</v>
      </c>
      <c r="M671">
        <v>2.57</v>
      </c>
      <c r="N671">
        <v>0.75</v>
      </c>
    </row>
    <row r="672" spans="1:14" x14ac:dyDescent="0.25">
      <c r="A672" s="1" t="s">
        <v>684</v>
      </c>
      <c r="B672" t="str">
        <f>HYPERLINK("https://www.suredividend.com/sure-analysis-GWRS/","Global Water Resources Inc")</f>
        <v>Global Water Resources Inc</v>
      </c>
      <c r="C672" t="s">
        <v>1805</v>
      </c>
      <c r="D672">
        <v>12.54</v>
      </c>
      <c r="E672">
        <v>2.3923444976076551E-2</v>
      </c>
      <c r="F672">
        <v>1.0068465565847839E-2</v>
      </c>
      <c r="G672">
        <v>4.0356436927426742E-3</v>
      </c>
      <c r="H672">
        <v>0.26793391398831201</v>
      </c>
      <c r="I672">
        <v>303.09828299999998</v>
      </c>
      <c r="J672">
        <v>39.553475555265557</v>
      </c>
      <c r="K672">
        <v>0.84150098614419599</v>
      </c>
      <c r="L672">
        <v>0.80342456627703507</v>
      </c>
      <c r="M672">
        <v>14.36</v>
      </c>
      <c r="N672">
        <v>9.23</v>
      </c>
    </row>
    <row r="673" spans="1:14" x14ac:dyDescent="0.25">
      <c r="A673" s="1" t="s">
        <v>685</v>
      </c>
      <c r="B673" t="str">
        <f>HYPERLINK("https://www.suredividend.com/sure-analysis-research-database/","Hawaiian Holdings, Inc.")</f>
        <v>Hawaiian Holdings, Inc.</v>
      </c>
      <c r="C673" t="s">
        <v>1798</v>
      </c>
      <c r="D673">
        <v>13.74</v>
      </c>
      <c r="E673">
        <v>0</v>
      </c>
      <c r="F673" t="s">
        <v>1797</v>
      </c>
      <c r="G673" t="s">
        <v>1797</v>
      </c>
      <c r="H673">
        <v>0</v>
      </c>
      <c r="I673">
        <v>709.44419400000004</v>
      </c>
      <c r="J673" t="s">
        <v>1797</v>
      </c>
      <c r="K673">
        <v>0</v>
      </c>
      <c r="L673">
        <v>1.5495031085520869</v>
      </c>
      <c r="M673">
        <v>14.71</v>
      </c>
      <c r="N673">
        <v>3.7</v>
      </c>
    </row>
    <row r="674" spans="1:14" x14ac:dyDescent="0.25">
      <c r="A674" s="1" t="s">
        <v>686</v>
      </c>
      <c r="B674" t="str">
        <f>HYPERLINK("https://www.suredividend.com/sure-analysis-research-database/","Haemonetics Corp.")</f>
        <v>Haemonetics Corp.</v>
      </c>
      <c r="C674" t="s">
        <v>1802</v>
      </c>
      <c r="D674">
        <v>83</v>
      </c>
      <c r="E674">
        <v>0</v>
      </c>
      <c r="F674" t="s">
        <v>1797</v>
      </c>
      <c r="G674" t="s">
        <v>1797</v>
      </c>
      <c r="H674">
        <v>0</v>
      </c>
      <c r="I674">
        <v>4211.625591</v>
      </c>
      <c r="J674">
        <v>32.83227383708693</v>
      </c>
      <c r="K674">
        <v>0</v>
      </c>
      <c r="L674">
        <v>0.77978407756328305</v>
      </c>
      <c r="M674">
        <v>95.26</v>
      </c>
      <c r="N674">
        <v>74.13</v>
      </c>
    </row>
    <row r="675" spans="1:14" x14ac:dyDescent="0.25">
      <c r="A675" s="1" t="s">
        <v>687</v>
      </c>
      <c r="B675" t="str">
        <f>HYPERLINK("https://www.suredividend.com/sure-analysis-research-database/","Hanmi Financial Corp.")</f>
        <v>Hanmi Financial Corp.</v>
      </c>
      <c r="C675" t="s">
        <v>1800</v>
      </c>
      <c r="D675">
        <v>18.41</v>
      </c>
      <c r="E675">
        <v>5.1904522834266012E-2</v>
      </c>
      <c r="F675">
        <v>0</v>
      </c>
      <c r="G675">
        <v>8.197818497166498E-3</v>
      </c>
      <c r="H675">
        <v>0.95556226537885003</v>
      </c>
      <c r="I675">
        <v>559.56084899999996</v>
      </c>
      <c r="J675">
        <v>6.2587898614155968</v>
      </c>
      <c r="K675">
        <v>0.32502117870028913</v>
      </c>
      <c r="L675">
        <v>1.5980070011888581</v>
      </c>
      <c r="M675">
        <v>22.85</v>
      </c>
      <c r="N675">
        <v>12.15</v>
      </c>
    </row>
    <row r="676" spans="1:14" x14ac:dyDescent="0.25">
      <c r="A676" s="1" t="s">
        <v>688</v>
      </c>
      <c r="B676" t="str">
        <f>HYPERLINK("https://www.suredividend.com/sure-analysis-research-database/","Hain Celestial Group Inc")</f>
        <v>Hain Celestial Group Inc</v>
      </c>
      <c r="C676" t="s">
        <v>1804</v>
      </c>
      <c r="D676">
        <v>11.18</v>
      </c>
      <c r="E676">
        <v>0</v>
      </c>
      <c r="F676" t="s">
        <v>1797</v>
      </c>
      <c r="G676" t="s">
        <v>1797</v>
      </c>
      <c r="H676">
        <v>0</v>
      </c>
      <c r="I676">
        <v>1002.946821</v>
      </c>
      <c r="J676" t="s">
        <v>1797</v>
      </c>
      <c r="K676">
        <v>0</v>
      </c>
      <c r="L676">
        <v>1.193657976042557</v>
      </c>
      <c r="M676">
        <v>22.14</v>
      </c>
      <c r="N676">
        <v>9.36</v>
      </c>
    </row>
    <row r="677" spans="1:14" x14ac:dyDescent="0.25">
      <c r="A677" s="1" t="s">
        <v>689</v>
      </c>
      <c r="B677" t="str">
        <f>HYPERLINK("https://www.suredividend.com/sure-analysis-research-database/","Halozyme Therapeutics Inc.")</f>
        <v>Halozyme Therapeutics Inc.</v>
      </c>
      <c r="C677" t="s">
        <v>1802</v>
      </c>
      <c r="D677">
        <v>34.43</v>
      </c>
      <c r="E677">
        <v>0</v>
      </c>
      <c r="F677" t="s">
        <v>1797</v>
      </c>
      <c r="G677" t="s">
        <v>1797</v>
      </c>
      <c r="H677">
        <v>0</v>
      </c>
      <c r="I677">
        <v>4548.1379269999998</v>
      </c>
      <c r="J677">
        <v>17.912542839532431</v>
      </c>
      <c r="K677">
        <v>0</v>
      </c>
      <c r="L677">
        <v>0.88163057587619809</v>
      </c>
      <c r="M677">
        <v>53.71</v>
      </c>
      <c r="N677">
        <v>29.85</v>
      </c>
    </row>
    <row r="678" spans="1:14" x14ac:dyDescent="0.25">
      <c r="A678" s="1" t="s">
        <v>690</v>
      </c>
      <c r="B678" t="str">
        <f>HYPERLINK("https://www.suredividend.com/sure-analysis-HASI/","Hannon Armstrong Sustainable Infrastructure capital Inc")</f>
        <v>Hannon Armstrong Sustainable Infrastructure capital Inc</v>
      </c>
      <c r="C678" t="s">
        <v>1799</v>
      </c>
      <c r="D678">
        <v>25.07</v>
      </c>
      <c r="E678">
        <v>6.3023534104507381E-2</v>
      </c>
      <c r="F678">
        <v>5.3333333333333448E-2</v>
      </c>
      <c r="G678">
        <v>3.3499944682456873E-2</v>
      </c>
      <c r="H678">
        <v>1.5418592405318441</v>
      </c>
      <c r="I678">
        <v>2790.1725940000001</v>
      </c>
      <c r="J678">
        <v>71.277879534806488</v>
      </c>
      <c r="K678">
        <v>3.9273032107280801</v>
      </c>
      <c r="L678">
        <v>2.185298385380936</v>
      </c>
      <c r="M678">
        <v>37.200000000000003</v>
      </c>
      <c r="N678">
        <v>13.04</v>
      </c>
    </row>
    <row r="679" spans="1:14" x14ac:dyDescent="0.25">
      <c r="A679" s="1" t="s">
        <v>691</v>
      </c>
      <c r="B679" t="str">
        <f>HYPERLINK("https://www.suredividend.com/sure-analysis-research-database/","Haynes International Inc.")</f>
        <v>Haynes International Inc.</v>
      </c>
      <c r="C679" t="s">
        <v>1798</v>
      </c>
      <c r="D679">
        <v>53.16</v>
      </c>
      <c r="E679">
        <v>1.6329530942057999E-2</v>
      </c>
      <c r="F679">
        <v>0</v>
      </c>
      <c r="G679">
        <v>0</v>
      </c>
      <c r="H679">
        <v>0.86807786487984007</v>
      </c>
      <c r="I679">
        <v>679.54385500000001</v>
      </c>
      <c r="J679">
        <v>16.18925204812388</v>
      </c>
      <c r="K679">
        <v>0.26465788563409748</v>
      </c>
      <c r="L679">
        <v>1.3827975593858799</v>
      </c>
      <c r="M679">
        <v>59.55</v>
      </c>
      <c r="N679">
        <v>40.78</v>
      </c>
    </row>
    <row r="680" spans="1:14" x14ac:dyDescent="0.25">
      <c r="A680" s="1" t="s">
        <v>692</v>
      </c>
      <c r="B680" t="str">
        <f>HYPERLINK("https://www.suredividend.com/sure-analysis-research-database/","Home Bancorp Inc")</f>
        <v>Home Bancorp Inc</v>
      </c>
      <c r="C680" t="s">
        <v>1800</v>
      </c>
      <c r="D680">
        <v>41.1</v>
      </c>
      <c r="E680">
        <v>2.3798311358785001E-2</v>
      </c>
      <c r="F680">
        <v>4.1666666666666741E-2</v>
      </c>
      <c r="G680">
        <v>4.5639552591273169E-2</v>
      </c>
      <c r="H680">
        <v>0.97811059684606405</v>
      </c>
      <c r="I680">
        <v>334.87741599999998</v>
      </c>
      <c r="J680">
        <v>8.0439435973193056</v>
      </c>
      <c r="K680">
        <v>0.19029389043697739</v>
      </c>
      <c r="L680">
        <v>1.1603227965709271</v>
      </c>
      <c r="M680">
        <v>44</v>
      </c>
      <c r="N680">
        <v>26.95</v>
      </c>
    </row>
    <row r="681" spans="1:14" x14ac:dyDescent="0.25">
      <c r="A681" s="1" t="s">
        <v>693</v>
      </c>
      <c r="B681" t="str">
        <f>HYPERLINK("https://www.suredividend.com/sure-analysis-HBNC/","Horizon Bancorp Inc (IN)")</f>
        <v>Horizon Bancorp Inc (IN)</v>
      </c>
      <c r="C681" t="s">
        <v>1800</v>
      </c>
      <c r="D681">
        <v>13.21</v>
      </c>
      <c r="E681">
        <v>4.8448145344436033E-2</v>
      </c>
      <c r="F681">
        <v>0</v>
      </c>
      <c r="G681">
        <v>9.8560543306117632E-2</v>
      </c>
      <c r="H681">
        <v>0.61483379409183503</v>
      </c>
      <c r="I681">
        <v>582.74658699999998</v>
      </c>
      <c r="J681">
        <v>7.8367233804010166</v>
      </c>
      <c r="K681">
        <v>0.36166693770107938</v>
      </c>
      <c r="L681">
        <v>1.6463545612561461</v>
      </c>
      <c r="M681">
        <v>14.65</v>
      </c>
      <c r="N681">
        <v>7.06</v>
      </c>
    </row>
    <row r="682" spans="1:14" x14ac:dyDescent="0.25">
      <c r="A682" s="1" t="s">
        <v>694</v>
      </c>
      <c r="B682" t="str">
        <f>HYPERLINK("https://www.suredividend.com/sure-analysis-research-database/","HBT Financial Inc")</f>
        <v>HBT Financial Inc</v>
      </c>
      <c r="C682" t="s">
        <v>1800</v>
      </c>
      <c r="D682">
        <v>19.690000000000001</v>
      </c>
      <c r="E682">
        <v>3.3626528596864012E-2</v>
      </c>
      <c r="F682" t="s">
        <v>1797</v>
      </c>
      <c r="G682" t="s">
        <v>1797</v>
      </c>
      <c r="H682">
        <v>0.66210634807226409</v>
      </c>
      <c r="I682">
        <v>624.36999800000001</v>
      </c>
      <c r="J682">
        <v>10.31402799078235</v>
      </c>
      <c r="K682">
        <v>0.33780936126135919</v>
      </c>
      <c r="L682">
        <v>0.8675570177674371</v>
      </c>
      <c r="M682">
        <v>22.24</v>
      </c>
      <c r="N682">
        <v>15.77</v>
      </c>
    </row>
    <row r="683" spans="1:14" x14ac:dyDescent="0.25">
      <c r="A683" s="1" t="s">
        <v>695</v>
      </c>
      <c r="B683" t="str">
        <f>HYPERLINK("https://www.suredividend.com/sure-analysis-research-database/","Health Catalyst Inc")</f>
        <v>Health Catalyst Inc</v>
      </c>
      <c r="C683" t="s">
        <v>1802</v>
      </c>
      <c r="D683">
        <v>10.99</v>
      </c>
      <c r="E683">
        <v>0</v>
      </c>
      <c r="F683" t="s">
        <v>1797</v>
      </c>
      <c r="G683" t="s">
        <v>1797</v>
      </c>
      <c r="H683">
        <v>0</v>
      </c>
      <c r="I683">
        <v>632.47806100000003</v>
      </c>
      <c r="J683" t="s">
        <v>1797</v>
      </c>
      <c r="K683">
        <v>0</v>
      </c>
      <c r="L683">
        <v>1.813168550027217</v>
      </c>
      <c r="M683">
        <v>15.87</v>
      </c>
      <c r="N683">
        <v>6.6</v>
      </c>
    </row>
    <row r="684" spans="1:14" x14ac:dyDescent="0.25">
      <c r="A684" s="1" t="s">
        <v>696</v>
      </c>
      <c r="B684" t="str">
        <f>HYPERLINK("https://www.suredividend.com/sure-analysis-research-database/","Warrior Met Coal Inc")</f>
        <v>Warrior Met Coal Inc</v>
      </c>
      <c r="C684" t="s">
        <v>1808</v>
      </c>
      <c r="D684">
        <v>63.53</v>
      </c>
      <c r="E684">
        <v>4.370254534929E-3</v>
      </c>
      <c r="F684">
        <v>0</v>
      </c>
      <c r="G684">
        <v>6.9610375725068785E-2</v>
      </c>
      <c r="H684">
        <v>0.27764227060409702</v>
      </c>
      <c r="I684">
        <v>3304.7107820000001</v>
      </c>
      <c r="J684">
        <v>7.3535083697591928</v>
      </c>
      <c r="K684">
        <v>3.2097372324173062E-2</v>
      </c>
      <c r="L684">
        <v>0.76179452151808302</v>
      </c>
      <c r="M684">
        <v>67.430000000000007</v>
      </c>
      <c r="N684">
        <v>31.87</v>
      </c>
    </row>
    <row r="685" spans="1:14" x14ac:dyDescent="0.25">
      <c r="A685" s="1" t="s">
        <v>697</v>
      </c>
      <c r="B685" t="str">
        <f>HYPERLINK("https://www.suredividend.com/sure-analysis-research-database/","Heritage-Crystal Clean Inc")</f>
        <v>Heritage-Crystal Clean Inc</v>
      </c>
      <c r="C685" t="s">
        <v>1798</v>
      </c>
      <c r="D685">
        <v>45.51</v>
      </c>
      <c r="E685">
        <v>0</v>
      </c>
      <c r="F685" t="s">
        <v>1797</v>
      </c>
      <c r="G685" t="s">
        <v>1797</v>
      </c>
      <c r="H685">
        <v>0</v>
      </c>
      <c r="I685">
        <v>0</v>
      </c>
      <c r="J685">
        <v>0</v>
      </c>
      <c r="K685" t="s">
        <v>1797</v>
      </c>
    </row>
    <row r="686" spans="1:14" x14ac:dyDescent="0.25">
      <c r="A686" s="1" t="s">
        <v>698</v>
      </c>
      <c r="B686" t="str">
        <f>HYPERLINK("https://www.suredividend.com/sure-analysis-research-database/","HCI Group Inc")</f>
        <v>HCI Group Inc</v>
      </c>
      <c r="C686" t="s">
        <v>1800</v>
      </c>
      <c r="D686">
        <v>85.88</v>
      </c>
      <c r="E686">
        <v>1.8464187045789001E-2</v>
      </c>
      <c r="F686">
        <v>0</v>
      </c>
      <c r="G686">
        <v>0</v>
      </c>
      <c r="H686">
        <v>1.585704383492387</v>
      </c>
      <c r="I686">
        <v>737.55315599999994</v>
      </c>
      <c r="J686">
        <v>17.776220289701381</v>
      </c>
      <c r="K686">
        <v>0.38960795663203612</v>
      </c>
      <c r="L686">
        <v>0.86230416093596807</v>
      </c>
      <c r="M686">
        <v>95.26</v>
      </c>
      <c r="N686">
        <v>40.76</v>
      </c>
    </row>
    <row r="687" spans="1:14" x14ac:dyDescent="0.25">
      <c r="A687" s="1" t="s">
        <v>699</v>
      </c>
      <c r="B687" t="str">
        <f>HYPERLINK("https://www.suredividend.com/sure-analysis-research-database/","Hackett Group Inc (The)")</f>
        <v>Hackett Group Inc (The)</v>
      </c>
      <c r="C687" t="s">
        <v>1803</v>
      </c>
      <c r="D687">
        <v>22.83</v>
      </c>
      <c r="E687">
        <v>1.9063729990765999E-2</v>
      </c>
      <c r="F687" t="s">
        <v>1797</v>
      </c>
      <c r="G687" t="s">
        <v>1797</v>
      </c>
      <c r="H687">
        <v>0.43522495568920211</v>
      </c>
      <c r="I687">
        <v>621.83217100000002</v>
      </c>
      <c r="J687">
        <v>17.264962952494649</v>
      </c>
      <c r="K687">
        <v>0.34541663149936669</v>
      </c>
      <c r="L687">
        <v>0.93464321642325909</v>
      </c>
      <c r="M687">
        <v>24.46</v>
      </c>
      <c r="N687">
        <v>16.77</v>
      </c>
    </row>
    <row r="688" spans="1:14" x14ac:dyDescent="0.25">
      <c r="A688" s="1" t="s">
        <v>700</v>
      </c>
      <c r="B688" t="str">
        <f>HYPERLINK("https://www.suredividend.com/sure-analysis-research-database/","Healthcare Services Group, Inc.")</f>
        <v>Healthcare Services Group, Inc.</v>
      </c>
      <c r="C688" t="s">
        <v>1802</v>
      </c>
      <c r="D688">
        <v>9.91</v>
      </c>
      <c r="E688">
        <v>0</v>
      </c>
      <c r="F688" t="s">
        <v>1797</v>
      </c>
      <c r="G688" t="s">
        <v>1797</v>
      </c>
      <c r="H688">
        <v>0</v>
      </c>
      <c r="I688">
        <v>731.84358999999995</v>
      </c>
      <c r="J688">
        <v>22.90805365136006</v>
      </c>
      <c r="K688">
        <v>0</v>
      </c>
      <c r="L688">
        <v>1.0374562558282361</v>
      </c>
      <c r="M688">
        <v>15.97</v>
      </c>
      <c r="N688">
        <v>8.75</v>
      </c>
    </row>
    <row r="689" spans="1:14" x14ac:dyDescent="0.25">
      <c r="A689" s="1" t="s">
        <v>701</v>
      </c>
      <c r="B689" t="str">
        <f>HYPERLINK("https://www.suredividend.com/sure-analysis-research-database/","Hudson Technologies, Inc.")</f>
        <v>Hudson Technologies, Inc.</v>
      </c>
      <c r="C689" t="s">
        <v>1808</v>
      </c>
      <c r="D689">
        <v>13</v>
      </c>
      <c r="E689">
        <v>0</v>
      </c>
      <c r="F689" t="s">
        <v>1797</v>
      </c>
      <c r="G689" t="s">
        <v>1797</v>
      </c>
      <c r="H689">
        <v>0</v>
      </c>
      <c r="I689">
        <v>591.53093999999999</v>
      </c>
      <c r="J689">
        <v>0</v>
      </c>
      <c r="K689" t="s">
        <v>1797</v>
      </c>
      <c r="L689">
        <v>1.1797640221318151</v>
      </c>
      <c r="M689">
        <v>15.03</v>
      </c>
      <c r="N689">
        <v>7.21</v>
      </c>
    </row>
    <row r="690" spans="1:14" x14ac:dyDescent="0.25">
      <c r="A690" s="1" t="s">
        <v>702</v>
      </c>
      <c r="B690" t="str">
        <f>HYPERLINK("https://www.suredividend.com/sure-analysis-research-database/","Turtle Beach Corp")</f>
        <v>Turtle Beach Corp</v>
      </c>
      <c r="C690" t="s">
        <v>1803</v>
      </c>
      <c r="D690">
        <v>10.32</v>
      </c>
      <c r="E690">
        <v>0</v>
      </c>
      <c r="F690" t="s">
        <v>1797</v>
      </c>
      <c r="G690" t="s">
        <v>1797</v>
      </c>
      <c r="H690">
        <v>0</v>
      </c>
      <c r="I690">
        <v>179.60941399999999</v>
      </c>
      <c r="J690" t="s">
        <v>1797</v>
      </c>
      <c r="K690">
        <v>0</v>
      </c>
      <c r="L690">
        <v>1.6019265119811541</v>
      </c>
      <c r="M690">
        <v>13.26</v>
      </c>
      <c r="N690">
        <v>6.17</v>
      </c>
    </row>
    <row r="691" spans="1:14" x14ac:dyDescent="0.25">
      <c r="A691" s="1" t="s">
        <v>703</v>
      </c>
      <c r="B691" t="str">
        <f>HYPERLINK("https://www.suredividend.com/sure-analysis-research-database/","H&amp;E Equipment Services Inc")</f>
        <v>H&amp;E Equipment Services Inc</v>
      </c>
      <c r="C691" t="s">
        <v>1798</v>
      </c>
      <c r="D691">
        <v>48.55</v>
      </c>
      <c r="E691">
        <v>2.2236439729293001E-2</v>
      </c>
      <c r="F691">
        <v>0</v>
      </c>
      <c r="G691">
        <v>0</v>
      </c>
      <c r="H691">
        <v>1.0795791488572171</v>
      </c>
      <c r="I691">
        <v>1769.6439069999999</v>
      </c>
      <c r="J691">
        <v>10.60168527207481</v>
      </c>
      <c r="K691">
        <v>0.23216755889402521</v>
      </c>
      <c r="L691">
        <v>1.471978757508837</v>
      </c>
      <c r="M691">
        <v>54.4</v>
      </c>
      <c r="N691">
        <v>31.1</v>
      </c>
    </row>
    <row r="692" spans="1:14" x14ac:dyDescent="0.25">
      <c r="A692" s="1" t="s">
        <v>704</v>
      </c>
      <c r="B692" t="str">
        <f>HYPERLINK("https://www.suredividend.com/sure-analysis-research-database/","Helen of Troy Ltd")</f>
        <v>Helen of Troy Ltd</v>
      </c>
      <c r="C692" t="s">
        <v>1804</v>
      </c>
      <c r="D692">
        <v>121.43</v>
      </c>
      <c r="E692">
        <v>0</v>
      </c>
      <c r="F692" t="s">
        <v>1797</v>
      </c>
      <c r="G692" t="s">
        <v>1797</v>
      </c>
      <c r="H692">
        <v>0</v>
      </c>
      <c r="I692">
        <v>2883.5281450000002</v>
      </c>
      <c r="J692">
        <v>17.795162582633921</v>
      </c>
      <c r="K692">
        <v>0</v>
      </c>
      <c r="L692">
        <v>1.6529009164735411</v>
      </c>
      <c r="M692">
        <v>143.68</v>
      </c>
      <c r="N692">
        <v>81.14</v>
      </c>
    </row>
    <row r="693" spans="1:14" x14ac:dyDescent="0.25">
      <c r="A693" s="1" t="s">
        <v>705</v>
      </c>
      <c r="B693" t="str">
        <f>HYPERLINK("https://www.suredividend.com/sure-analysis-research-database/","HF Foods Group Inc.")</f>
        <v>HF Foods Group Inc.</v>
      </c>
      <c r="C693" t="s">
        <v>1804</v>
      </c>
      <c r="D693">
        <v>5.46</v>
      </c>
      <c r="E693">
        <v>0</v>
      </c>
      <c r="F693" t="s">
        <v>1797</v>
      </c>
      <c r="G693" t="s">
        <v>1797</v>
      </c>
      <c r="H693">
        <v>0</v>
      </c>
      <c r="I693">
        <v>295.67751500000003</v>
      </c>
      <c r="J693" t="s">
        <v>1797</v>
      </c>
      <c r="K693">
        <v>0</v>
      </c>
      <c r="L693">
        <v>1.4896299442258949</v>
      </c>
      <c r="M693">
        <v>6.55</v>
      </c>
      <c r="N693">
        <v>3.42</v>
      </c>
    </row>
    <row r="694" spans="1:14" x14ac:dyDescent="0.25">
      <c r="A694" s="1" t="s">
        <v>706</v>
      </c>
      <c r="B694" t="str">
        <f>HYPERLINK("https://www.suredividend.com/sure-analysis-research-database/","Heritage Financial Corp.")</f>
        <v>Heritage Financial Corp.</v>
      </c>
      <c r="C694" t="s">
        <v>1800</v>
      </c>
      <c r="D694">
        <v>20.3</v>
      </c>
      <c r="E694">
        <v>4.1721146977131002E-2</v>
      </c>
      <c r="F694">
        <v>4.7619047619047672E-2</v>
      </c>
      <c r="G694">
        <v>4.0950396969256841E-2</v>
      </c>
      <c r="H694">
        <v>0.84693928363577309</v>
      </c>
      <c r="I694">
        <v>708.49184300000002</v>
      </c>
      <c r="J694">
        <v>9.0755494427791881</v>
      </c>
      <c r="K694">
        <v>0.38323044508406018</v>
      </c>
      <c r="L694">
        <v>1.3675281431325319</v>
      </c>
      <c r="M694">
        <v>27.75</v>
      </c>
      <c r="N694">
        <v>14.12</v>
      </c>
    </row>
    <row r="695" spans="1:14" x14ac:dyDescent="0.25">
      <c r="A695" s="1" t="s">
        <v>707</v>
      </c>
      <c r="B695" t="str">
        <f>HYPERLINK("https://www.suredividend.com/sure-analysis-research-database/","Hilton Grand Vacations Inc")</f>
        <v>Hilton Grand Vacations Inc</v>
      </c>
      <c r="C695" t="s">
        <v>1801</v>
      </c>
      <c r="D695">
        <v>40.409999999999997</v>
      </c>
      <c r="E695">
        <v>0</v>
      </c>
      <c r="F695" t="s">
        <v>1797</v>
      </c>
      <c r="G695" t="s">
        <v>1797</v>
      </c>
      <c r="H695">
        <v>0</v>
      </c>
      <c r="I695">
        <v>4363.6342480000003</v>
      </c>
      <c r="J695">
        <v>13.50970355479876</v>
      </c>
      <c r="K695">
        <v>0</v>
      </c>
      <c r="L695">
        <v>1.3397751390332431</v>
      </c>
      <c r="M695">
        <v>51.81</v>
      </c>
      <c r="N695">
        <v>33.14</v>
      </c>
    </row>
    <row r="696" spans="1:14" x14ac:dyDescent="0.25">
      <c r="A696" s="1" t="s">
        <v>708</v>
      </c>
      <c r="B696" t="str">
        <f>HYPERLINK("https://www.suredividend.com/sure-analysis-HI/","Hillenbrand Inc")</f>
        <v>Hillenbrand Inc</v>
      </c>
      <c r="C696" t="s">
        <v>1798</v>
      </c>
      <c r="D696">
        <v>45.27</v>
      </c>
      <c r="E696">
        <v>1.9659818864590239E-2</v>
      </c>
      <c r="F696">
        <v>1.1363636363636459E-2</v>
      </c>
      <c r="G696">
        <v>1.163103470916038E-2</v>
      </c>
      <c r="H696">
        <v>0.87584785060784909</v>
      </c>
      <c r="I696">
        <v>3174.4736419999999</v>
      </c>
      <c r="J696">
        <v>5.5721847330173766</v>
      </c>
      <c r="K696">
        <v>0.1077303629283947</v>
      </c>
      <c r="L696">
        <v>1.3040856349234831</v>
      </c>
      <c r="M696">
        <v>53.11</v>
      </c>
      <c r="N696">
        <v>36.99</v>
      </c>
    </row>
    <row r="697" spans="1:14" x14ac:dyDescent="0.25">
      <c r="A697" s="1" t="s">
        <v>709</v>
      </c>
      <c r="B697" t="str">
        <f>HYPERLINK("https://www.suredividend.com/sure-analysis-research-database/","Hibbett Inc")</f>
        <v>Hibbett Inc</v>
      </c>
      <c r="C697" t="s">
        <v>1801</v>
      </c>
      <c r="D697">
        <v>65.67</v>
      </c>
      <c r="E697">
        <v>1.5071038066402E-2</v>
      </c>
      <c r="F697" t="s">
        <v>1797</v>
      </c>
      <c r="G697" t="s">
        <v>1797</v>
      </c>
      <c r="H697">
        <v>0.98971506982064406</v>
      </c>
      <c r="I697">
        <v>773.05088799999999</v>
      </c>
      <c r="J697">
        <v>6.9834223578565124</v>
      </c>
      <c r="K697">
        <v>0.11521712105013319</v>
      </c>
      <c r="L697">
        <v>0.95463457825730302</v>
      </c>
      <c r="M697">
        <v>73.45</v>
      </c>
      <c r="N697">
        <v>34.159999999999997</v>
      </c>
    </row>
    <row r="698" spans="1:14" x14ac:dyDescent="0.25">
      <c r="A698" s="1" t="s">
        <v>710</v>
      </c>
      <c r="B698" t="str">
        <f>HYPERLINK("https://www.suredividend.com/sure-analysis-HIFS/","Hingham Institution For Savings")</f>
        <v>Hingham Institution For Savings</v>
      </c>
      <c r="C698" t="s">
        <v>1800</v>
      </c>
      <c r="D698">
        <v>196.54</v>
      </c>
      <c r="E698">
        <v>1.282181744174214E-2</v>
      </c>
      <c r="F698">
        <v>0</v>
      </c>
      <c r="G698">
        <v>9.805797673485328E-3</v>
      </c>
      <c r="H698">
        <v>2.494379722709783</v>
      </c>
      <c r="I698">
        <v>413.91323999999997</v>
      </c>
      <c r="J698">
        <v>0</v>
      </c>
      <c r="K698" t="s">
        <v>1797</v>
      </c>
      <c r="L698">
        <v>1.3025865623551061</v>
      </c>
      <c r="M698">
        <v>302.95</v>
      </c>
      <c r="N698">
        <v>146.08000000000001</v>
      </c>
    </row>
    <row r="699" spans="1:14" x14ac:dyDescent="0.25">
      <c r="A699" s="1" t="s">
        <v>711</v>
      </c>
      <c r="B699" t="str">
        <f>HYPERLINK("https://www.suredividend.com/sure-analysis-research-database/","Hims &amp; Hers Health Inc")</f>
        <v>Hims &amp; Hers Health Inc</v>
      </c>
      <c r="C699" t="s">
        <v>1797</v>
      </c>
      <c r="D699">
        <v>8.57</v>
      </c>
      <c r="E699">
        <v>0</v>
      </c>
      <c r="F699" t="s">
        <v>1797</v>
      </c>
      <c r="G699" t="s">
        <v>1797</v>
      </c>
      <c r="H699">
        <v>0</v>
      </c>
      <c r="I699">
        <v>1744.9881339999999</v>
      </c>
      <c r="J699" t="s">
        <v>1797</v>
      </c>
      <c r="K699">
        <v>0</v>
      </c>
      <c r="L699">
        <v>1.6575539316710379</v>
      </c>
      <c r="M699">
        <v>12.34</v>
      </c>
      <c r="N699">
        <v>5.65</v>
      </c>
    </row>
    <row r="700" spans="1:14" x14ac:dyDescent="0.25">
      <c r="A700" s="1" t="s">
        <v>712</v>
      </c>
      <c r="B700" t="str">
        <f>HYPERLINK("https://www.suredividend.com/sure-analysis-research-database/","Hippo Holdings Inc")</f>
        <v>Hippo Holdings Inc</v>
      </c>
      <c r="C700" t="s">
        <v>1797</v>
      </c>
      <c r="D700">
        <v>8.35</v>
      </c>
      <c r="E700">
        <v>0</v>
      </c>
      <c r="F700" t="s">
        <v>1797</v>
      </c>
      <c r="G700" t="s">
        <v>1797</v>
      </c>
      <c r="H700">
        <v>0</v>
      </c>
      <c r="I700">
        <v>199.45845399999999</v>
      </c>
      <c r="J700" t="s">
        <v>1797</v>
      </c>
      <c r="K700">
        <v>0</v>
      </c>
      <c r="L700">
        <v>1.8259197397509761</v>
      </c>
      <c r="M700">
        <v>20.39</v>
      </c>
      <c r="N700">
        <v>6.65</v>
      </c>
    </row>
    <row r="701" spans="1:14" x14ac:dyDescent="0.25">
      <c r="A701" s="1" t="s">
        <v>713</v>
      </c>
      <c r="B701" t="str">
        <f>HYPERLINK("https://www.suredividend.com/sure-analysis-research-database/","Hecla Mining Co.")</f>
        <v>Hecla Mining Co.</v>
      </c>
      <c r="C701" t="s">
        <v>1808</v>
      </c>
      <c r="D701">
        <v>4.3899999999999997</v>
      </c>
      <c r="E701">
        <v>5.682996961865E-3</v>
      </c>
      <c r="F701">
        <v>0</v>
      </c>
      <c r="G701">
        <v>0.20112443398143129</v>
      </c>
      <c r="H701">
        <v>2.4948356662587001E-2</v>
      </c>
      <c r="I701">
        <v>2714.0423040000001</v>
      </c>
      <c r="J701" t="s">
        <v>1797</v>
      </c>
      <c r="K701" t="s">
        <v>1797</v>
      </c>
      <c r="L701">
        <v>0.97289260568215608</v>
      </c>
      <c r="M701">
        <v>6.97</v>
      </c>
      <c r="N701">
        <v>3.55</v>
      </c>
    </row>
    <row r="702" spans="1:14" x14ac:dyDescent="0.25">
      <c r="A702" s="1" t="s">
        <v>714</v>
      </c>
      <c r="B702" t="str">
        <f>HYPERLINK("https://www.suredividend.com/sure-analysis-research-database/","Herbalife Ltd")</f>
        <v>Herbalife Ltd</v>
      </c>
      <c r="C702" t="s">
        <v>1804</v>
      </c>
      <c r="D702">
        <v>13.39</v>
      </c>
      <c r="E702">
        <v>0</v>
      </c>
      <c r="F702" t="s">
        <v>1797</v>
      </c>
      <c r="G702" t="s">
        <v>1797</v>
      </c>
      <c r="H702">
        <v>0</v>
      </c>
      <c r="I702">
        <v>1327.1157189999999</v>
      </c>
      <c r="J702">
        <v>7.1197195219420601</v>
      </c>
      <c r="K702">
        <v>0</v>
      </c>
      <c r="L702">
        <v>1.488921267487294</v>
      </c>
      <c r="M702">
        <v>21.33</v>
      </c>
      <c r="N702">
        <v>11.14</v>
      </c>
    </row>
    <row r="703" spans="1:14" x14ac:dyDescent="0.25">
      <c r="A703" s="1" t="s">
        <v>715</v>
      </c>
      <c r="B703" t="str">
        <f>HYPERLINK("https://www.suredividend.com/sure-analysis-research-database/","Heliogen Inc")</f>
        <v>Heliogen Inc</v>
      </c>
      <c r="C703" t="s">
        <v>1797</v>
      </c>
      <c r="D703">
        <v>2.4500000000000002</v>
      </c>
      <c r="E703">
        <v>0</v>
      </c>
      <c r="F703" t="s">
        <v>1797</v>
      </c>
      <c r="G703" t="s">
        <v>1797</v>
      </c>
      <c r="H703">
        <v>0</v>
      </c>
      <c r="I703">
        <v>0</v>
      </c>
      <c r="J703">
        <v>0</v>
      </c>
      <c r="K703">
        <v>0</v>
      </c>
    </row>
    <row r="704" spans="1:14" x14ac:dyDescent="0.25">
      <c r="A704" s="1" t="s">
        <v>716</v>
      </c>
      <c r="B704" t="str">
        <f>HYPERLINK("https://www.suredividend.com/sure-analysis-HLI/","Houlihan Lokey Inc")</f>
        <v>Houlihan Lokey Inc</v>
      </c>
      <c r="C704" t="s">
        <v>1800</v>
      </c>
      <c r="D704">
        <v>114.47</v>
      </c>
      <c r="E704">
        <v>1.921900934742728E-2</v>
      </c>
      <c r="F704">
        <v>3.7735849056603772E-2</v>
      </c>
      <c r="G704">
        <v>0.15292162467409559</v>
      </c>
      <c r="H704">
        <v>2.162675161764386</v>
      </c>
      <c r="I704">
        <v>5908.2545799999998</v>
      </c>
      <c r="J704">
        <v>23.526490371597411</v>
      </c>
      <c r="K704">
        <v>0.57671337647050291</v>
      </c>
      <c r="L704">
        <v>0.78732628621787304</v>
      </c>
      <c r="M704">
        <v>123.51</v>
      </c>
      <c r="N704">
        <v>82.53</v>
      </c>
    </row>
    <row r="705" spans="1:14" x14ac:dyDescent="0.25">
      <c r="A705" s="1" t="s">
        <v>717</v>
      </c>
      <c r="B705" t="str">
        <f>HYPERLINK("https://www.suredividend.com/sure-analysis-research-database/","Helios Technologies Inc")</f>
        <v>Helios Technologies Inc</v>
      </c>
      <c r="C705" t="s">
        <v>1798</v>
      </c>
      <c r="D705">
        <v>42.56</v>
      </c>
      <c r="E705">
        <v>8.4359385100940005E-3</v>
      </c>
      <c r="F705">
        <v>0</v>
      </c>
      <c r="G705">
        <v>0</v>
      </c>
      <c r="H705">
        <v>0.35903354298961698</v>
      </c>
      <c r="I705">
        <v>1406.735212</v>
      </c>
      <c r="J705">
        <v>27.205368837317241</v>
      </c>
      <c r="K705">
        <v>0.22868378534370509</v>
      </c>
      <c r="L705">
        <v>1.1324572067271961</v>
      </c>
      <c r="M705">
        <v>72.150000000000006</v>
      </c>
      <c r="N705">
        <v>37.42</v>
      </c>
    </row>
    <row r="706" spans="1:14" x14ac:dyDescent="0.25">
      <c r="A706" s="1" t="s">
        <v>718</v>
      </c>
      <c r="B706" t="str">
        <f>HYPERLINK("https://www.suredividend.com/sure-analysis-research-database/","Harmonic, Inc.")</f>
        <v>Harmonic, Inc.</v>
      </c>
      <c r="C706" t="s">
        <v>1803</v>
      </c>
      <c r="D706">
        <v>12.17</v>
      </c>
      <c r="E706">
        <v>0</v>
      </c>
      <c r="F706" t="s">
        <v>1797</v>
      </c>
      <c r="G706" t="s">
        <v>1797</v>
      </c>
      <c r="H706">
        <v>0</v>
      </c>
      <c r="I706">
        <v>1365.3514600000001</v>
      </c>
      <c r="J706">
        <v>217.27426165977079</v>
      </c>
      <c r="K706">
        <v>0</v>
      </c>
      <c r="L706">
        <v>1.040557718874896</v>
      </c>
      <c r="M706">
        <v>18.43</v>
      </c>
      <c r="N706">
        <v>8.8000000000000007</v>
      </c>
    </row>
    <row r="707" spans="1:14" x14ac:dyDescent="0.25">
      <c r="A707" s="1" t="s">
        <v>719</v>
      </c>
      <c r="B707" t="str">
        <f>HYPERLINK("https://www.suredividend.com/sure-analysis-research-database/","Holley Inc")</f>
        <v>Holley Inc</v>
      </c>
      <c r="C707" t="s">
        <v>1797</v>
      </c>
      <c r="D707">
        <v>4.53</v>
      </c>
      <c r="E707">
        <v>0</v>
      </c>
      <c r="F707" t="s">
        <v>1797</v>
      </c>
      <c r="G707" t="s">
        <v>1797</v>
      </c>
      <c r="H707">
        <v>0</v>
      </c>
      <c r="I707">
        <v>538.16866600000003</v>
      </c>
      <c r="J707">
        <v>195.5554745276163</v>
      </c>
      <c r="K707">
        <v>0</v>
      </c>
      <c r="L707">
        <v>1.7608056562850829</v>
      </c>
      <c r="M707">
        <v>8.06</v>
      </c>
      <c r="N707">
        <v>1.93</v>
      </c>
    </row>
    <row r="708" spans="1:14" x14ac:dyDescent="0.25">
      <c r="A708" s="1" t="s">
        <v>720</v>
      </c>
      <c r="B708" t="str">
        <f>HYPERLINK("https://www.suredividend.com/sure-analysis-research-database/","Hillman Solutions Corp")</f>
        <v>Hillman Solutions Corp</v>
      </c>
      <c r="C708" t="s">
        <v>1797</v>
      </c>
      <c r="D708">
        <v>8.91</v>
      </c>
      <c r="E708">
        <v>0</v>
      </c>
      <c r="F708" t="s">
        <v>1797</v>
      </c>
      <c r="G708" t="s">
        <v>1797</v>
      </c>
      <c r="H708">
        <v>0</v>
      </c>
      <c r="I708">
        <v>1736.5857209999999</v>
      </c>
      <c r="J708" t="s">
        <v>1797</v>
      </c>
      <c r="K708">
        <v>0</v>
      </c>
      <c r="L708">
        <v>1.413783138612702</v>
      </c>
      <c r="M708">
        <v>10.28</v>
      </c>
      <c r="N708">
        <v>6.02</v>
      </c>
    </row>
    <row r="709" spans="1:14" x14ac:dyDescent="0.25">
      <c r="A709" s="1" t="s">
        <v>721</v>
      </c>
      <c r="B709" t="str">
        <f>HYPERLINK("https://www.suredividend.com/sure-analysis-research-database/","Hamilton Lane Inc")</f>
        <v>Hamilton Lane Inc</v>
      </c>
      <c r="C709" t="s">
        <v>1800</v>
      </c>
      <c r="D709">
        <v>112.53</v>
      </c>
      <c r="E709">
        <v>1.5210925204893999E-2</v>
      </c>
      <c r="F709">
        <v>0.1125</v>
      </c>
      <c r="G709">
        <v>0.15931169051681421</v>
      </c>
      <c r="H709">
        <v>1.7116854133068209</v>
      </c>
      <c r="I709">
        <v>4343.6665519999997</v>
      </c>
      <c r="J709">
        <v>37.069908703050992</v>
      </c>
      <c r="K709">
        <v>0.78517679509487193</v>
      </c>
      <c r="L709">
        <v>1.222836463958054</v>
      </c>
      <c r="M709">
        <v>116.98</v>
      </c>
      <c r="N709">
        <v>60.27</v>
      </c>
    </row>
    <row r="710" spans="1:14" x14ac:dyDescent="0.25">
      <c r="A710" s="1" t="s">
        <v>722</v>
      </c>
      <c r="B710" t="str">
        <f>HYPERLINK("https://www.suredividend.com/sure-analysis-research-database/","Cue Health Inc")</f>
        <v>Cue Health Inc</v>
      </c>
      <c r="C710" t="s">
        <v>1797</v>
      </c>
      <c r="D710">
        <v>0.19500000000000001</v>
      </c>
      <c r="E710">
        <v>0</v>
      </c>
      <c r="F710" t="s">
        <v>1797</v>
      </c>
      <c r="G710" t="s">
        <v>1797</v>
      </c>
      <c r="H710">
        <v>0</v>
      </c>
      <c r="I710">
        <v>30.153251000000001</v>
      </c>
      <c r="J710" t="s">
        <v>1797</v>
      </c>
      <c r="K710">
        <v>0</v>
      </c>
      <c r="L710">
        <v>1.412070240933744</v>
      </c>
      <c r="M710">
        <v>2.82</v>
      </c>
      <c r="N710">
        <v>0.16250000000000001</v>
      </c>
    </row>
    <row r="711" spans="1:14" x14ac:dyDescent="0.25">
      <c r="A711" s="1" t="s">
        <v>723</v>
      </c>
      <c r="B711" t="str">
        <f>HYPERLINK("https://www.suredividend.com/sure-analysis-research-database/","HilleVax Inc")</f>
        <v>HilleVax Inc</v>
      </c>
      <c r="C711" t="s">
        <v>1797</v>
      </c>
      <c r="D711">
        <v>14.89</v>
      </c>
      <c r="E711">
        <v>0</v>
      </c>
      <c r="F711" t="s">
        <v>1797</v>
      </c>
      <c r="G711" t="s">
        <v>1797</v>
      </c>
      <c r="H711">
        <v>0</v>
      </c>
      <c r="I711">
        <v>721.226945</v>
      </c>
      <c r="J711">
        <v>0</v>
      </c>
      <c r="K711" t="s">
        <v>1797</v>
      </c>
      <c r="L711">
        <v>1.1543394127685149</v>
      </c>
      <c r="M711">
        <v>19.09</v>
      </c>
      <c r="N711">
        <v>9.94</v>
      </c>
    </row>
    <row r="712" spans="1:14" x14ac:dyDescent="0.25">
      <c r="A712" s="1" t="s">
        <v>724</v>
      </c>
      <c r="B712" t="str">
        <f>HYPERLINK("https://www.suredividend.com/sure-analysis-research-database/","Helix Energy Solutions Group Inc")</f>
        <v>Helix Energy Solutions Group Inc</v>
      </c>
      <c r="C712" t="s">
        <v>1807</v>
      </c>
      <c r="D712">
        <v>9.42</v>
      </c>
      <c r="E712">
        <v>0</v>
      </c>
      <c r="F712" t="s">
        <v>1797</v>
      </c>
      <c r="G712" t="s">
        <v>1797</v>
      </c>
      <c r="H712">
        <v>0</v>
      </c>
      <c r="I712">
        <v>1419.699777</v>
      </c>
      <c r="J712">
        <v>70.404154583684601</v>
      </c>
      <c r="K712">
        <v>0</v>
      </c>
      <c r="L712">
        <v>0.76179317095739907</v>
      </c>
      <c r="M712">
        <v>11.88</v>
      </c>
      <c r="N712">
        <v>6.19</v>
      </c>
    </row>
    <row r="713" spans="1:14" x14ac:dyDescent="0.25">
      <c r="A713" s="1" t="s">
        <v>725</v>
      </c>
      <c r="B713" t="str">
        <f>HYPERLINK("https://www.suredividend.com/sure-analysis-HMN/","Horace Mann Educators Corp.")</f>
        <v>Horace Mann Educators Corp.</v>
      </c>
      <c r="C713" t="s">
        <v>1800</v>
      </c>
      <c r="D713">
        <v>33.43</v>
      </c>
      <c r="E713">
        <v>3.9485492072988328E-2</v>
      </c>
      <c r="F713">
        <v>3.125E-2</v>
      </c>
      <c r="G713">
        <v>2.7957638855196091E-2</v>
      </c>
      <c r="H713">
        <v>1.2993224259010221</v>
      </c>
      <c r="I713">
        <v>1365.122809</v>
      </c>
      <c r="J713" t="s">
        <v>1797</v>
      </c>
      <c r="K713" t="s">
        <v>1797</v>
      </c>
      <c r="L713">
        <v>0.56388598461858808</v>
      </c>
      <c r="M713">
        <v>36.99</v>
      </c>
      <c r="N713">
        <v>27.22</v>
      </c>
    </row>
    <row r="714" spans="1:14" x14ac:dyDescent="0.25">
      <c r="A714" s="1" t="s">
        <v>726</v>
      </c>
      <c r="B714" t="str">
        <f>HYPERLINK("https://www.suredividend.com/sure-analysis-research-database/","Home Point Capital Inc")</f>
        <v>Home Point Capital Inc</v>
      </c>
      <c r="C714" t="s">
        <v>1797</v>
      </c>
      <c r="D714">
        <v>2.3199999999999998</v>
      </c>
      <c r="E714">
        <v>0</v>
      </c>
      <c r="F714" t="s">
        <v>1797</v>
      </c>
      <c r="G714" t="s">
        <v>1797</v>
      </c>
      <c r="H714">
        <v>0</v>
      </c>
      <c r="I714">
        <v>0</v>
      </c>
      <c r="J714">
        <v>0</v>
      </c>
      <c r="K714" t="s">
        <v>1797</v>
      </c>
    </row>
    <row r="715" spans="1:14" x14ac:dyDescent="0.25">
      <c r="A715" s="1" t="s">
        <v>727</v>
      </c>
      <c r="B715" t="str">
        <f>HYPERLINK("https://www.suredividend.com/sure-analysis-research-database/","HomeStreet Inc")</f>
        <v>HomeStreet Inc</v>
      </c>
      <c r="C715" t="s">
        <v>1800</v>
      </c>
      <c r="D715">
        <v>10.77</v>
      </c>
      <c r="E715">
        <v>5.7067660267684013E-2</v>
      </c>
      <c r="F715" t="s">
        <v>1797</v>
      </c>
      <c r="G715" t="s">
        <v>1797</v>
      </c>
      <c r="H715">
        <v>0.61461870108296301</v>
      </c>
      <c r="I715">
        <v>202.584292</v>
      </c>
      <c r="J715" t="s">
        <v>1797</v>
      </c>
      <c r="K715" t="s">
        <v>1797</v>
      </c>
      <c r="L715">
        <v>2.4819514333969499</v>
      </c>
      <c r="M715">
        <v>27.44</v>
      </c>
      <c r="N715">
        <v>4.07</v>
      </c>
    </row>
    <row r="716" spans="1:14" x14ac:dyDescent="0.25">
      <c r="A716" s="1" t="s">
        <v>728</v>
      </c>
      <c r="B716" t="str">
        <f>HYPERLINK("https://www.suredividend.com/sure-analysis-HNI/","HNI Corp.")</f>
        <v>HNI Corp.</v>
      </c>
      <c r="C716" t="s">
        <v>1798</v>
      </c>
      <c r="D716">
        <v>40.909999999999997</v>
      </c>
      <c r="E716">
        <v>3.1288193595697879E-2</v>
      </c>
      <c r="F716">
        <v>0</v>
      </c>
      <c r="G716">
        <v>1.6402190778280978E-2</v>
      </c>
      <c r="H716">
        <v>1.262088538775626</v>
      </c>
      <c r="I716">
        <v>1905.5649719999999</v>
      </c>
      <c r="J716">
        <v>44.395996743394988</v>
      </c>
      <c r="K716">
        <v>1.280788044221256</v>
      </c>
      <c r="L716">
        <v>0.86172341187621804</v>
      </c>
      <c r="M716">
        <v>43.22</v>
      </c>
      <c r="N716">
        <v>23.88</v>
      </c>
    </row>
    <row r="717" spans="1:14" x14ac:dyDescent="0.25">
      <c r="A717" s="1" t="s">
        <v>729</v>
      </c>
      <c r="B717" t="str">
        <f>HYPERLINK("https://www.suredividend.com/sure-analysis-research-database/","Honest Company Inc (The )")</f>
        <v>Honest Company Inc (The )</v>
      </c>
      <c r="C717" t="s">
        <v>1797</v>
      </c>
      <c r="D717">
        <v>2.85</v>
      </c>
      <c r="E717">
        <v>0</v>
      </c>
      <c r="F717" t="s">
        <v>1797</v>
      </c>
      <c r="G717" t="s">
        <v>1797</v>
      </c>
      <c r="H717">
        <v>0</v>
      </c>
      <c r="I717">
        <v>272.08756799999998</v>
      </c>
      <c r="J717" t="s">
        <v>1797</v>
      </c>
      <c r="K717">
        <v>0</v>
      </c>
      <c r="L717">
        <v>1.370458578142737</v>
      </c>
      <c r="M717">
        <v>3.75</v>
      </c>
      <c r="N717">
        <v>1.06</v>
      </c>
    </row>
    <row r="718" spans="1:14" x14ac:dyDescent="0.25">
      <c r="A718" s="1" t="s">
        <v>730</v>
      </c>
      <c r="B718" t="str">
        <f>HYPERLINK("https://www.suredividend.com/sure-analysis-HOMB/","Home Bancshares Inc")</f>
        <v>Home Bancshares Inc</v>
      </c>
      <c r="C718" t="s">
        <v>1800</v>
      </c>
      <c r="D718">
        <v>23.63</v>
      </c>
      <c r="E718">
        <v>3.0469741853575961E-2</v>
      </c>
      <c r="F718">
        <v>9.0909090909090828E-2</v>
      </c>
      <c r="G718">
        <v>8.4471771197698553E-2</v>
      </c>
      <c r="H718">
        <v>0.71103098061341996</v>
      </c>
      <c r="I718">
        <v>4767.8582999999999</v>
      </c>
      <c r="J718">
        <v>11.2882648752406</v>
      </c>
      <c r="K718">
        <v>0.34184181760260568</v>
      </c>
      <c r="L718">
        <v>1.2648382850071911</v>
      </c>
      <c r="M718">
        <v>25.8</v>
      </c>
      <c r="N718">
        <v>19.28</v>
      </c>
    </row>
    <row r="719" spans="1:14" x14ac:dyDescent="0.25">
      <c r="A719" s="1" t="s">
        <v>731</v>
      </c>
      <c r="B719" t="str">
        <f>HYPERLINK("https://www.suredividend.com/sure-analysis-research-database/","HarborOne Bancorp Inc.")</f>
        <v>HarborOne Bancorp Inc.</v>
      </c>
      <c r="C719" t="s">
        <v>1800</v>
      </c>
      <c r="D719">
        <v>11.66</v>
      </c>
      <c r="E719">
        <v>2.5408049706704999E-2</v>
      </c>
      <c r="F719" t="s">
        <v>1797</v>
      </c>
      <c r="G719" t="s">
        <v>1797</v>
      </c>
      <c r="H719">
        <v>0.29625785958018402</v>
      </c>
      <c r="I719">
        <v>533.64256699999999</v>
      </c>
      <c r="J719">
        <v>16.28696984709293</v>
      </c>
      <c r="K719">
        <v>0.40061914750531979</v>
      </c>
      <c r="L719">
        <v>1.1283853043387659</v>
      </c>
      <c r="M719">
        <v>13.96</v>
      </c>
      <c r="N719">
        <v>7.29</v>
      </c>
    </row>
    <row r="720" spans="1:14" x14ac:dyDescent="0.25">
      <c r="A720" s="1" t="s">
        <v>732</v>
      </c>
      <c r="B720" t="str">
        <f>HYPERLINK("https://www.suredividend.com/sure-analysis-research-database/","Hope Bancorp Inc")</f>
        <v>Hope Bancorp Inc</v>
      </c>
      <c r="C720" t="s">
        <v>1800</v>
      </c>
      <c r="D720">
        <v>11.55</v>
      </c>
      <c r="E720">
        <v>4.7188118924646007E-2</v>
      </c>
      <c r="F720" t="s">
        <v>1797</v>
      </c>
      <c r="G720" t="s">
        <v>1797</v>
      </c>
      <c r="H720">
        <v>0.545022773579662</v>
      </c>
      <c r="I720">
        <v>1387.246314</v>
      </c>
      <c r="J720">
        <v>8.7305850674974046</v>
      </c>
      <c r="K720">
        <v>0.41289604059065299</v>
      </c>
      <c r="L720">
        <v>1.580500596375515</v>
      </c>
      <c r="M720">
        <v>12.95</v>
      </c>
      <c r="N720">
        <v>7.21</v>
      </c>
    </row>
    <row r="721" spans="1:14" x14ac:dyDescent="0.25">
      <c r="A721" s="1" t="s">
        <v>733</v>
      </c>
      <c r="B721" t="str">
        <f>HYPERLINK("https://www.suredividend.com/sure-analysis-research-database/","Anywhere Real Estate Inc")</f>
        <v>Anywhere Real Estate Inc</v>
      </c>
      <c r="C721" t="s">
        <v>1797</v>
      </c>
      <c r="D721">
        <v>7.03</v>
      </c>
      <c r="E721">
        <v>0</v>
      </c>
      <c r="F721" t="s">
        <v>1797</v>
      </c>
      <c r="G721" t="s">
        <v>1797</v>
      </c>
      <c r="H721">
        <v>0</v>
      </c>
      <c r="I721">
        <v>776.72972600000003</v>
      </c>
      <c r="J721" t="s">
        <v>1797</v>
      </c>
      <c r="K721">
        <v>0</v>
      </c>
      <c r="L721">
        <v>2.6814609823518549</v>
      </c>
      <c r="M721">
        <v>9.85</v>
      </c>
      <c r="N721">
        <v>4.09</v>
      </c>
    </row>
    <row r="722" spans="1:14" x14ac:dyDescent="0.25">
      <c r="A722" s="1" t="s">
        <v>734</v>
      </c>
      <c r="B722" t="str">
        <f>HYPERLINK("https://www.suredividend.com/sure-analysis-research-database/","Hovnanian Enterprises, Inc.")</f>
        <v>Hovnanian Enterprises, Inc.</v>
      </c>
      <c r="C722" t="s">
        <v>1801</v>
      </c>
      <c r="D722">
        <v>161.05000000000001</v>
      </c>
      <c r="E722">
        <v>0</v>
      </c>
      <c r="F722" t="s">
        <v>1797</v>
      </c>
      <c r="G722" t="s">
        <v>1797</v>
      </c>
      <c r="H722">
        <v>0</v>
      </c>
      <c r="I722">
        <v>860.97201199999995</v>
      </c>
      <c r="J722">
        <v>4.8048262538437081</v>
      </c>
      <c r="K722">
        <v>0</v>
      </c>
      <c r="L722">
        <v>2.4457368938940789</v>
      </c>
      <c r="M722">
        <v>167.39</v>
      </c>
      <c r="N722">
        <v>46.37</v>
      </c>
    </row>
    <row r="723" spans="1:14" x14ac:dyDescent="0.25">
      <c r="A723" s="1" t="s">
        <v>735</v>
      </c>
      <c r="B723" t="str">
        <f>HYPERLINK("https://www.suredividend.com/sure-analysis-HP/","Helmerich &amp; Payne, Inc.")</f>
        <v>Helmerich &amp; Payne, Inc.</v>
      </c>
      <c r="C723" t="s">
        <v>1807</v>
      </c>
      <c r="D723">
        <v>33.93</v>
      </c>
      <c r="E723">
        <v>2.9472443265546711E-2</v>
      </c>
      <c r="F723">
        <v>-0.27659574468085102</v>
      </c>
      <c r="G723">
        <v>-0.2486572250119424</v>
      </c>
      <c r="H723">
        <v>1.8589370004763079</v>
      </c>
      <c r="I723">
        <v>3373.5540380000002</v>
      </c>
      <c r="J723">
        <v>7.8777733787598923</v>
      </c>
      <c r="K723">
        <v>0.44685985588372779</v>
      </c>
      <c r="L723">
        <v>0.94726852941210204</v>
      </c>
      <c r="M723">
        <v>50.04</v>
      </c>
      <c r="N723">
        <v>29.85</v>
      </c>
    </row>
    <row r="724" spans="1:14" x14ac:dyDescent="0.25">
      <c r="A724" s="1" t="s">
        <v>736</v>
      </c>
      <c r="B724" t="str">
        <f>HYPERLINK("https://www.suredividend.com/sure-analysis-research-database/","HighPeak Energy Inc")</f>
        <v>HighPeak Energy Inc</v>
      </c>
      <c r="C724" t="s">
        <v>1797</v>
      </c>
      <c r="D724">
        <v>14.09</v>
      </c>
      <c r="E724">
        <v>7.0651261457800006E-3</v>
      </c>
      <c r="F724" t="s">
        <v>1797</v>
      </c>
      <c r="G724" t="s">
        <v>1797</v>
      </c>
      <c r="H724">
        <v>9.9547627394051014E-2</v>
      </c>
      <c r="I724">
        <v>1809.4508049999999</v>
      </c>
      <c r="J724">
        <v>10.16522552903306</v>
      </c>
      <c r="K724">
        <v>6.7719474417721776E-2</v>
      </c>
      <c r="L724">
        <v>1.3938453710231931</v>
      </c>
      <c r="M724">
        <v>29.86</v>
      </c>
      <c r="N724">
        <v>10.37</v>
      </c>
    </row>
    <row r="725" spans="1:14" x14ac:dyDescent="0.25">
      <c r="A725" s="1" t="s">
        <v>737</v>
      </c>
      <c r="B725" t="str">
        <f>HYPERLINK("https://www.suredividend.com/sure-analysis-research-database/","Healthequity Inc")</f>
        <v>Healthequity Inc</v>
      </c>
      <c r="C725" t="s">
        <v>1802</v>
      </c>
      <c r="D725">
        <v>72.39</v>
      </c>
      <c r="E725">
        <v>0</v>
      </c>
      <c r="F725" t="s">
        <v>1797</v>
      </c>
      <c r="G725" t="s">
        <v>1797</v>
      </c>
      <c r="H725">
        <v>0</v>
      </c>
      <c r="I725">
        <v>6211.1448140000002</v>
      </c>
      <c r="J725">
        <v>213.15572992072481</v>
      </c>
      <c r="K725">
        <v>0</v>
      </c>
      <c r="L725">
        <v>0.73536405162789609</v>
      </c>
      <c r="M725">
        <v>76.62</v>
      </c>
      <c r="N725">
        <v>48.86</v>
      </c>
    </row>
    <row r="726" spans="1:14" x14ac:dyDescent="0.25">
      <c r="A726" s="1" t="s">
        <v>738</v>
      </c>
      <c r="B726" t="str">
        <f>HYPERLINK("https://www.suredividend.com/sure-analysis-research-database/","Herc Holdings Inc")</f>
        <v>Herc Holdings Inc</v>
      </c>
      <c r="C726" t="s">
        <v>1798</v>
      </c>
      <c r="D726">
        <v>140.43</v>
      </c>
      <c r="E726">
        <v>1.7873832297346001E-2</v>
      </c>
      <c r="F726" t="s">
        <v>1797</v>
      </c>
      <c r="G726" t="s">
        <v>1797</v>
      </c>
      <c r="H726">
        <v>2.5100222695163041</v>
      </c>
      <c r="I726">
        <v>3974.1689999999999</v>
      </c>
      <c r="J726">
        <v>11.23281232334652</v>
      </c>
      <c r="K726">
        <v>0.2064163050589066</v>
      </c>
      <c r="L726">
        <v>1.9771552765990279</v>
      </c>
      <c r="M726">
        <v>159.13999999999999</v>
      </c>
      <c r="N726">
        <v>92.44</v>
      </c>
    </row>
    <row r="727" spans="1:14" x14ac:dyDescent="0.25">
      <c r="A727" s="1" t="s">
        <v>739</v>
      </c>
      <c r="B727" t="str">
        <f>HYPERLINK("https://www.suredividend.com/sure-analysis-research-database/","Harmony Biosciences Holdings Inc")</f>
        <v>Harmony Biosciences Holdings Inc</v>
      </c>
      <c r="C727" t="s">
        <v>1797</v>
      </c>
      <c r="D727">
        <v>31.32</v>
      </c>
      <c r="E727">
        <v>0</v>
      </c>
      <c r="F727" t="s">
        <v>1797</v>
      </c>
      <c r="G727" t="s">
        <v>1797</v>
      </c>
      <c r="H727">
        <v>0</v>
      </c>
      <c r="I727">
        <v>1834.4732859999999</v>
      </c>
      <c r="J727">
        <v>12.16857342098106</v>
      </c>
      <c r="K727">
        <v>0</v>
      </c>
      <c r="L727">
        <v>1.202792011759698</v>
      </c>
      <c r="M727">
        <v>51.3</v>
      </c>
      <c r="N727">
        <v>18.61</v>
      </c>
    </row>
    <row r="728" spans="1:14" x14ac:dyDescent="0.25">
      <c r="A728" s="1" t="s">
        <v>740</v>
      </c>
      <c r="B728" t="str">
        <f>HYPERLINK("https://www.suredividend.com/sure-analysis-research-database/","HireRight Holdings Corp")</f>
        <v>HireRight Holdings Corp</v>
      </c>
      <c r="C728" t="s">
        <v>1797</v>
      </c>
      <c r="D728">
        <v>12.73</v>
      </c>
      <c r="E728">
        <v>0</v>
      </c>
      <c r="F728" t="s">
        <v>1797</v>
      </c>
      <c r="G728" t="s">
        <v>1797</v>
      </c>
      <c r="H728">
        <v>0</v>
      </c>
      <c r="I728">
        <v>861.11762899999997</v>
      </c>
      <c r="J728">
        <v>104.74609284880179</v>
      </c>
      <c r="K728">
        <v>0</v>
      </c>
      <c r="L728">
        <v>1.391818142061201</v>
      </c>
      <c r="M728">
        <v>14</v>
      </c>
      <c r="N728">
        <v>8.5</v>
      </c>
    </row>
    <row r="729" spans="1:14" x14ac:dyDescent="0.25">
      <c r="A729" s="1" t="s">
        <v>741</v>
      </c>
      <c r="B729" t="str">
        <f>HYPERLINK("https://www.suredividend.com/sure-analysis-research-database/","Heron Therapeutics Inc")</f>
        <v>Heron Therapeutics Inc</v>
      </c>
      <c r="C729" t="s">
        <v>1802</v>
      </c>
      <c r="D729">
        <v>2.15</v>
      </c>
      <c r="E729">
        <v>0</v>
      </c>
      <c r="F729" t="s">
        <v>1797</v>
      </c>
      <c r="G729" t="s">
        <v>1797</v>
      </c>
      <c r="H729">
        <v>0</v>
      </c>
      <c r="I729">
        <v>322.65617600000002</v>
      </c>
      <c r="J729">
        <v>0</v>
      </c>
      <c r="K729" t="s">
        <v>1797</v>
      </c>
      <c r="L729">
        <v>1.831322787289198</v>
      </c>
      <c r="M729">
        <v>3.41</v>
      </c>
      <c r="N729">
        <v>0.5</v>
      </c>
    </row>
    <row r="730" spans="1:14" x14ac:dyDescent="0.25">
      <c r="A730" s="1" t="s">
        <v>742</v>
      </c>
      <c r="B730" t="str">
        <f>HYPERLINK("https://www.suredividend.com/sure-analysis-research-database/","Heidrick &amp; Struggles International, Inc.")</f>
        <v>Heidrick &amp; Struggles International, Inc.</v>
      </c>
      <c r="C730" t="s">
        <v>1798</v>
      </c>
      <c r="D730">
        <v>27.22</v>
      </c>
      <c r="E730">
        <v>2.1665514145652001E-2</v>
      </c>
      <c r="F730">
        <v>0</v>
      </c>
      <c r="G730">
        <v>0</v>
      </c>
      <c r="H730">
        <v>0.58973529504467104</v>
      </c>
      <c r="I730">
        <v>547.72672</v>
      </c>
      <c r="J730">
        <v>9.8513771744096115</v>
      </c>
      <c r="K730">
        <v>0.22005048322562351</v>
      </c>
      <c r="L730">
        <v>1.073470862382887</v>
      </c>
      <c r="M730">
        <v>33.799999999999997</v>
      </c>
      <c r="N730">
        <v>22.25</v>
      </c>
    </row>
    <row r="731" spans="1:14" x14ac:dyDescent="0.25">
      <c r="A731" s="1" t="s">
        <v>743</v>
      </c>
      <c r="B731" t="str">
        <f>HYPERLINK("https://www.suredividend.com/sure-analysis-research-database/","Healthstream Inc")</f>
        <v>Healthstream Inc</v>
      </c>
      <c r="C731" t="s">
        <v>1802</v>
      </c>
      <c r="D731">
        <v>27.02</v>
      </c>
      <c r="E731">
        <v>3.6894550604730002E-3</v>
      </c>
      <c r="F731" t="s">
        <v>1797</v>
      </c>
      <c r="G731" t="s">
        <v>1797</v>
      </c>
      <c r="H731">
        <v>9.9689075734006011E-2</v>
      </c>
      <c r="I731">
        <v>818.309752</v>
      </c>
      <c r="J731">
        <v>62.600195203488369</v>
      </c>
      <c r="K731">
        <v>0.23434197398685011</v>
      </c>
      <c r="L731">
        <v>0.57143480924262602</v>
      </c>
      <c r="M731">
        <v>27.52</v>
      </c>
      <c r="N731">
        <v>20.38</v>
      </c>
    </row>
    <row r="732" spans="1:14" x14ac:dyDescent="0.25">
      <c r="A732" s="1" t="s">
        <v>744</v>
      </c>
      <c r="B732" t="str">
        <f>HYPERLINK("https://www.suredividend.com/sure-analysis-research-database/","Hersha Hospitality Trust")</f>
        <v>Hersha Hospitality Trust</v>
      </c>
      <c r="C732" t="s">
        <v>1799</v>
      </c>
      <c r="D732">
        <v>9.99</v>
      </c>
      <c r="E732">
        <v>2.4724789090696E-2</v>
      </c>
      <c r="F732" t="s">
        <v>1797</v>
      </c>
      <c r="G732" t="s">
        <v>1797</v>
      </c>
      <c r="H732">
        <v>0.247000643016062</v>
      </c>
      <c r="I732">
        <v>402.55869799999999</v>
      </c>
      <c r="J732">
        <v>46.581659146031008</v>
      </c>
      <c r="K732">
        <v>1.1790006826542341</v>
      </c>
      <c r="L732">
        <v>1.0036172274430799</v>
      </c>
      <c r="M732">
        <v>10.039999999999999</v>
      </c>
      <c r="N732">
        <v>5.56</v>
      </c>
    </row>
    <row r="733" spans="1:14" x14ac:dyDescent="0.25">
      <c r="A733" s="1" t="s">
        <v>745</v>
      </c>
      <c r="B733" t="str">
        <f>HYPERLINK("https://www.suredividend.com/sure-analysis-research-database/","HomeTrust Bancshares Inc")</f>
        <v>HomeTrust Bancshares Inc</v>
      </c>
      <c r="C733" t="s">
        <v>1800</v>
      </c>
      <c r="D733">
        <v>26.46</v>
      </c>
      <c r="E733">
        <v>1.5336799427784001E-2</v>
      </c>
      <c r="F733">
        <v>9.9999999999999867E-2</v>
      </c>
      <c r="G733">
        <v>0.12888132073019751</v>
      </c>
      <c r="H733">
        <v>0.40581171285918599</v>
      </c>
      <c r="I733">
        <v>459.96230300000002</v>
      </c>
      <c r="J733">
        <v>0</v>
      </c>
      <c r="K733" t="s">
        <v>1797</v>
      </c>
      <c r="L733">
        <v>0.94736102003338007</v>
      </c>
      <c r="M733">
        <v>30.21</v>
      </c>
      <c r="N733">
        <v>17.68</v>
      </c>
    </row>
    <row r="734" spans="1:14" x14ac:dyDescent="0.25">
      <c r="A734" s="1" t="s">
        <v>746</v>
      </c>
      <c r="B734" t="str">
        <f>HYPERLINK("https://www.suredividend.com/sure-analysis-research-database/","Heritage Commerce Corp.")</f>
        <v>Heritage Commerce Corp.</v>
      </c>
      <c r="C734" t="s">
        <v>1800</v>
      </c>
      <c r="D734">
        <v>9.43</v>
      </c>
      <c r="E734">
        <v>5.3325318952512003E-2</v>
      </c>
      <c r="F734">
        <v>0</v>
      </c>
      <c r="G734">
        <v>1.6137364741595661E-2</v>
      </c>
      <c r="H734">
        <v>0.50285775772218899</v>
      </c>
      <c r="I734">
        <v>576.08959200000004</v>
      </c>
      <c r="J734">
        <v>8.0108127993158487</v>
      </c>
      <c r="K734">
        <v>0.42979295531811029</v>
      </c>
      <c r="L734">
        <v>1.566368227243488</v>
      </c>
      <c r="M734">
        <v>12.33</v>
      </c>
      <c r="N734">
        <v>6.29</v>
      </c>
    </row>
    <row r="735" spans="1:14" x14ac:dyDescent="0.25">
      <c r="A735" s="1" t="s">
        <v>747</v>
      </c>
      <c r="B735" t="str">
        <f>HYPERLINK("https://www.suredividend.com/sure-analysis-research-database/","Hilltop Holdings Inc")</f>
        <v>Hilltop Holdings Inc</v>
      </c>
      <c r="C735" t="s">
        <v>1800</v>
      </c>
      <c r="D735">
        <v>33.92</v>
      </c>
      <c r="E735">
        <v>1.8716674303137001E-2</v>
      </c>
      <c r="F735">
        <v>6.6666666666666652E-2</v>
      </c>
      <c r="G735">
        <v>0.1486983549970351</v>
      </c>
      <c r="H735">
        <v>0.63486959236242202</v>
      </c>
      <c r="I735">
        <v>2210.560328</v>
      </c>
      <c r="J735">
        <v>20.750394986623611</v>
      </c>
      <c r="K735">
        <v>0.38711560509903781</v>
      </c>
      <c r="L735">
        <v>1.3564711299849559</v>
      </c>
      <c r="M735">
        <v>35.659999999999997</v>
      </c>
      <c r="N735">
        <v>26.63</v>
      </c>
    </row>
    <row r="736" spans="1:14" x14ac:dyDescent="0.25">
      <c r="A736" s="1" t="s">
        <v>748</v>
      </c>
      <c r="B736" t="str">
        <f>HYPERLINK("https://www.suredividend.com/sure-analysis-research-database/","Heartland Express, Inc.")</f>
        <v>Heartland Express, Inc.</v>
      </c>
      <c r="C736" t="s">
        <v>1798</v>
      </c>
      <c r="D736">
        <v>13.08</v>
      </c>
      <c r="E736">
        <v>6.0909896829190006E-3</v>
      </c>
      <c r="F736">
        <v>0</v>
      </c>
      <c r="G736">
        <v>0</v>
      </c>
      <c r="H736">
        <v>7.9670145052592012E-2</v>
      </c>
      <c r="I736">
        <v>1033.668909</v>
      </c>
      <c r="J736">
        <v>41.070760847107437</v>
      </c>
      <c r="K736">
        <v>0.25022030481341712</v>
      </c>
      <c r="L736">
        <v>0.8744688290033511</v>
      </c>
      <c r="M736">
        <v>18</v>
      </c>
      <c r="N736">
        <v>11.41</v>
      </c>
    </row>
    <row r="737" spans="1:14" x14ac:dyDescent="0.25">
      <c r="A737" s="1" t="s">
        <v>749</v>
      </c>
      <c r="B737" t="str">
        <f>HYPERLINK("https://www.suredividend.com/sure-analysis-research-database/","Heartland Financial USA, Inc.")</f>
        <v>Heartland Financial USA, Inc.</v>
      </c>
      <c r="C737" t="s">
        <v>1800</v>
      </c>
      <c r="D737">
        <v>36.86</v>
      </c>
      <c r="E737">
        <v>3.1658573462830013E-2</v>
      </c>
      <c r="F737">
        <v>7.1428571428571397E-2</v>
      </c>
      <c r="G737">
        <v>0.13396657763302719</v>
      </c>
      <c r="H737">
        <v>1.16693501783994</v>
      </c>
      <c r="I737">
        <v>1572.506723</v>
      </c>
      <c r="J737">
        <v>7.7506529419824828</v>
      </c>
      <c r="K737">
        <v>0.24618882232910119</v>
      </c>
      <c r="L737">
        <v>1.349371480382924</v>
      </c>
      <c r="M737">
        <v>48.17</v>
      </c>
      <c r="N737">
        <v>25.08</v>
      </c>
    </row>
    <row r="738" spans="1:14" x14ac:dyDescent="0.25">
      <c r="A738" s="1" t="s">
        <v>750</v>
      </c>
      <c r="B738" t="str">
        <f>HYPERLINK("https://www.suredividend.com/sure-analysis-research-database/","Hub Group, Inc.")</f>
        <v>Hub Group, Inc.</v>
      </c>
      <c r="C738" t="s">
        <v>1798</v>
      </c>
      <c r="D738">
        <v>88.71</v>
      </c>
      <c r="E738">
        <v>0</v>
      </c>
      <c r="F738" t="s">
        <v>1797</v>
      </c>
      <c r="G738" t="s">
        <v>1797</v>
      </c>
      <c r="H738">
        <v>0</v>
      </c>
      <c r="I738">
        <v>2767.0395699999999</v>
      </c>
      <c r="J738">
        <v>12.691794117871</v>
      </c>
      <c r="K738">
        <v>0</v>
      </c>
      <c r="L738">
        <v>0.98553141189458704</v>
      </c>
      <c r="M738">
        <v>104.67</v>
      </c>
      <c r="N738">
        <v>63.45</v>
      </c>
    </row>
    <row r="739" spans="1:14" x14ac:dyDescent="0.25">
      <c r="A739" s="1" t="s">
        <v>751</v>
      </c>
      <c r="B739" t="str">
        <f>HYPERLINK("https://www.suredividend.com/sure-analysis-research-database/","Humacyte Inc")</f>
        <v>Humacyte Inc</v>
      </c>
      <c r="C739" t="s">
        <v>1797</v>
      </c>
      <c r="D739">
        <v>2.65</v>
      </c>
      <c r="E739">
        <v>0</v>
      </c>
      <c r="F739" t="s">
        <v>1797</v>
      </c>
      <c r="G739" t="s">
        <v>1797</v>
      </c>
      <c r="H739">
        <v>0</v>
      </c>
      <c r="I739">
        <v>274.47442799999999</v>
      </c>
      <c r="J739" t="s">
        <v>1797</v>
      </c>
      <c r="K739">
        <v>0</v>
      </c>
      <c r="L739">
        <v>1.777164857926447</v>
      </c>
      <c r="M739">
        <v>5.6</v>
      </c>
      <c r="N739">
        <v>1.96</v>
      </c>
    </row>
    <row r="740" spans="1:14" x14ac:dyDescent="0.25">
      <c r="A740" s="1" t="s">
        <v>752</v>
      </c>
      <c r="B740" t="str">
        <f>HYPERLINK("https://www.suredividend.com/sure-analysis-research-database/","Huron Consulting Group Inc")</f>
        <v>Huron Consulting Group Inc</v>
      </c>
      <c r="C740" t="s">
        <v>1798</v>
      </c>
      <c r="D740">
        <v>104.1</v>
      </c>
      <c r="E740">
        <v>0</v>
      </c>
      <c r="F740" t="s">
        <v>1797</v>
      </c>
      <c r="G740" t="s">
        <v>1797</v>
      </c>
      <c r="H740">
        <v>0</v>
      </c>
      <c r="I740">
        <v>1951.6527470000001</v>
      </c>
      <c r="J740">
        <v>25.43499689173867</v>
      </c>
      <c r="K740">
        <v>0</v>
      </c>
      <c r="L740">
        <v>0.57397172648857508</v>
      </c>
      <c r="M740">
        <v>113.31</v>
      </c>
      <c r="N740">
        <v>66.510000000000005</v>
      </c>
    </row>
    <row r="741" spans="1:14" x14ac:dyDescent="0.25">
      <c r="A741" s="1" t="s">
        <v>753</v>
      </c>
      <c r="B741" t="str">
        <f>HYPERLINK("https://www.suredividend.com/sure-analysis-research-database/","Haverty Furniture Cos., Inc.")</f>
        <v>Haverty Furniture Cos., Inc.</v>
      </c>
      <c r="C741" t="s">
        <v>1801</v>
      </c>
      <c r="D741">
        <v>35.159999999999997</v>
      </c>
      <c r="E741">
        <v>3.2650555677465998E-2</v>
      </c>
      <c r="F741">
        <v>2.5714285714285712</v>
      </c>
      <c r="G741">
        <v>0.3797296614612149</v>
      </c>
      <c r="H741">
        <v>1.147993537619725</v>
      </c>
      <c r="I741">
        <v>571.65529200000003</v>
      </c>
      <c r="J741">
        <v>8.7871263531419075</v>
      </c>
      <c r="K741">
        <v>0.29587462309786727</v>
      </c>
      <c r="L741">
        <v>1.019786179653188</v>
      </c>
      <c r="M741">
        <v>37</v>
      </c>
      <c r="N741">
        <v>24.06</v>
      </c>
    </row>
    <row r="742" spans="1:14" x14ac:dyDescent="0.25">
      <c r="A742" s="1" t="s">
        <v>754</v>
      </c>
      <c r="B742" t="str">
        <f>HYPERLINK("https://www.suredividend.com/sure-analysis-research-database/","Hancock Whitney Corp.")</f>
        <v>Hancock Whitney Corp.</v>
      </c>
      <c r="C742" t="s">
        <v>1800</v>
      </c>
      <c r="D742">
        <v>45.59</v>
      </c>
      <c r="E742">
        <v>2.5761825328687E-2</v>
      </c>
      <c r="F742">
        <v>0.1111111111111112</v>
      </c>
      <c r="G742">
        <v>2.1295687600135119E-2</v>
      </c>
      <c r="H742">
        <v>1.1744816167348719</v>
      </c>
      <c r="I742">
        <v>3927.6316120000001</v>
      </c>
      <c r="J742">
        <v>8.1762973644164489</v>
      </c>
      <c r="K742">
        <v>0.21123770085159571</v>
      </c>
      <c r="L742">
        <v>1.840231460129317</v>
      </c>
      <c r="M742">
        <v>51.7</v>
      </c>
      <c r="N742">
        <v>29.68</v>
      </c>
    </row>
    <row r="743" spans="1:14" x14ac:dyDescent="0.25">
      <c r="A743" s="1" t="s">
        <v>755</v>
      </c>
      <c r="B743" t="str">
        <f>HYPERLINK("https://www.suredividend.com/sure-analysis-HWKN/","Hawkins Inc")</f>
        <v>Hawkins Inc</v>
      </c>
      <c r="C743" t="s">
        <v>1808</v>
      </c>
      <c r="D743">
        <v>66.290000000000006</v>
      </c>
      <c r="E743">
        <v>9.6545481973148283E-3</v>
      </c>
      <c r="F743">
        <v>0.14285714285714279</v>
      </c>
      <c r="G743">
        <v>-7.0009677439474283E-2</v>
      </c>
      <c r="H743">
        <v>0.61589658335057507</v>
      </c>
      <c r="I743">
        <v>1388.3611880000001</v>
      </c>
      <c r="J743">
        <v>20.123509790990269</v>
      </c>
      <c r="K743">
        <v>0.18777334858249239</v>
      </c>
      <c r="L743">
        <v>0.98582672548873806</v>
      </c>
      <c r="M743">
        <v>73.47</v>
      </c>
      <c r="N743">
        <v>37.08</v>
      </c>
    </row>
    <row r="744" spans="1:14" x14ac:dyDescent="0.25">
      <c r="A744" s="1" t="s">
        <v>756</v>
      </c>
      <c r="B744" t="str">
        <f>HYPERLINK("https://www.suredividend.com/sure-analysis-research-database/","Hyster-Yale Materials Handling Inc")</f>
        <v>Hyster-Yale Materials Handling Inc</v>
      </c>
      <c r="C744" t="s">
        <v>1798</v>
      </c>
      <c r="D744">
        <v>64.349999999999994</v>
      </c>
      <c r="E744">
        <v>1.9956079027679999E-2</v>
      </c>
      <c r="F744">
        <v>7.7519379844961378E-3</v>
      </c>
      <c r="G744">
        <v>9.4953746828438934E-3</v>
      </c>
      <c r="H744">
        <v>1.284173685431224</v>
      </c>
      <c r="I744">
        <v>882.60561700000005</v>
      </c>
      <c r="J744">
        <v>0</v>
      </c>
      <c r="K744" t="s">
        <v>1797</v>
      </c>
      <c r="L744">
        <v>1.33952040207642</v>
      </c>
      <c r="M744">
        <v>65.989999999999995</v>
      </c>
      <c r="N744">
        <v>28.38</v>
      </c>
    </row>
    <row r="745" spans="1:14" x14ac:dyDescent="0.25">
      <c r="A745" s="1" t="s">
        <v>757</v>
      </c>
      <c r="B745" t="str">
        <f>HYPERLINK("https://www.suredividend.com/sure-analysis-research-database/","Hydrofarm Holdings Group Inc")</f>
        <v>Hydrofarm Holdings Group Inc</v>
      </c>
      <c r="C745" t="s">
        <v>1797</v>
      </c>
      <c r="D745">
        <v>0.94000000000000006</v>
      </c>
      <c r="E745">
        <v>0</v>
      </c>
      <c r="F745" t="s">
        <v>1797</v>
      </c>
      <c r="G745" t="s">
        <v>1797</v>
      </c>
      <c r="H745">
        <v>0</v>
      </c>
      <c r="I745">
        <v>43.014001</v>
      </c>
      <c r="J745" t="s">
        <v>1797</v>
      </c>
      <c r="K745">
        <v>0</v>
      </c>
      <c r="L745">
        <v>2.0207662133045421</v>
      </c>
      <c r="M745">
        <v>2.27</v>
      </c>
      <c r="N745">
        <v>0.67149999999999999</v>
      </c>
    </row>
    <row r="746" spans="1:14" x14ac:dyDescent="0.25">
      <c r="A746" s="1" t="s">
        <v>758</v>
      </c>
      <c r="B746" t="str">
        <f>HYPERLINK("https://www.suredividend.com/sure-analysis-research-database/","Hyliion Holdings Corporation")</f>
        <v>Hyliion Holdings Corporation</v>
      </c>
      <c r="C746" t="s">
        <v>1797</v>
      </c>
      <c r="D746">
        <v>0.92920000000000003</v>
      </c>
      <c r="E746">
        <v>0</v>
      </c>
      <c r="F746" t="s">
        <v>1797</v>
      </c>
      <c r="G746" t="s">
        <v>1797</v>
      </c>
      <c r="H746">
        <v>0</v>
      </c>
      <c r="I746">
        <v>169.847961</v>
      </c>
      <c r="J746" t="s">
        <v>1797</v>
      </c>
      <c r="K746">
        <v>0</v>
      </c>
      <c r="L746">
        <v>2.5108727458809619</v>
      </c>
      <c r="M746">
        <v>3.88</v>
      </c>
      <c r="N746">
        <v>0.5181</v>
      </c>
    </row>
    <row r="747" spans="1:14" x14ac:dyDescent="0.25">
      <c r="A747" s="1" t="s">
        <v>759</v>
      </c>
      <c r="B747" t="str">
        <f>HYPERLINK("https://www.suredividend.com/sure-analysis-research-database/","Hycroft Mining Holding Corporation")</f>
        <v>Hycroft Mining Holding Corporation</v>
      </c>
      <c r="C747" t="s">
        <v>1797</v>
      </c>
      <c r="D747">
        <v>2.39</v>
      </c>
      <c r="E747">
        <v>0</v>
      </c>
      <c r="F747" t="s">
        <v>1797</v>
      </c>
      <c r="G747" t="s">
        <v>1797</v>
      </c>
      <c r="H747">
        <v>0</v>
      </c>
      <c r="I747">
        <v>483.09748500000001</v>
      </c>
      <c r="J747" t="s">
        <v>1797</v>
      </c>
      <c r="K747">
        <v>0</v>
      </c>
      <c r="L747">
        <v>0.95976496125700306</v>
      </c>
      <c r="M747">
        <v>7.04</v>
      </c>
      <c r="N747">
        <v>1.63</v>
      </c>
    </row>
    <row r="748" spans="1:14" x14ac:dyDescent="0.25">
      <c r="A748" s="1" t="s">
        <v>760</v>
      </c>
      <c r="B748" t="str">
        <f>HYPERLINK("https://www.suredividend.com/sure-analysis-research-database/","Hyzon Motors Inc")</f>
        <v>Hyzon Motors Inc</v>
      </c>
      <c r="C748" t="s">
        <v>1797</v>
      </c>
      <c r="D748">
        <v>0.64450000000000007</v>
      </c>
      <c r="E748">
        <v>0</v>
      </c>
      <c r="F748" t="s">
        <v>1797</v>
      </c>
      <c r="G748" t="s">
        <v>1797</v>
      </c>
      <c r="H748">
        <v>0</v>
      </c>
      <c r="I748">
        <v>157.90432100000001</v>
      </c>
      <c r="J748" t="s">
        <v>1797</v>
      </c>
      <c r="K748">
        <v>0</v>
      </c>
      <c r="L748">
        <v>2.6341251200667548</v>
      </c>
      <c r="M748">
        <v>2.35</v>
      </c>
      <c r="N748">
        <v>0.45</v>
      </c>
    </row>
    <row r="749" spans="1:14" x14ac:dyDescent="0.25">
      <c r="A749" s="1" t="s">
        <v>761</v>
      </c>
      <c r="B749" t="str">
        <f>HYPERLINK("https://www.suredividend.com/sure-analysis-research-database/","Marinemax, Inc.")</f>
        <v>Marinemax, Inc.</v>
      </c>
      <c r="C749" t="s">
        <v>1801</v>
      </c>
      <c r="D749">
        <v>34.020000000000003</v>
      </c>
      <c r="E749">
        <v>0</v>
      </c>
      <c r="F749" t="s">
        <v>1797</v>
      </c>
      <c r="G749" t="s">
        <v>1797</v>
      </c>
      <c r="H749">
        <v>0</v>
      </c>
      <c r="I749">
        <v>758.303044</v>
      </c>
      <c r="J749">
        <v>6.9389565013451442</v>
      </c>
      <c r="K749">
        <v>0</v>
      </c>
      <c r="L749">
        <v>1.355451242814834</v>
      </c>
      <c r="M749">
        <v>42.88</v>
      </c>
      <c r="N749">
        <v>25.6</v>
      </c>
    </row>
    <row r="750" spans="1:14" x14ac:dyDescent="0.25">
      <c r="A750" s="1" t="s">
        <v>762</v>
      </c>
      <c r="B750" t="str">
        <f>HYPERLINK("https://www.suredividend.com/sure-analysis-research-database/","Integral Ad Science Holding Corp")</f>
        <v>Integral Ad Science Holding Corp</v>
      </c>
      <c r="C750" t="s">
        <v>1797</v>
      </c>
      <c r="D750">
        <v>14.75</v>
      </c>
      <c r="E750">
        <v>0</v>
      </c>
      <c r="F750" t="s">
        <v>1797</v>
      </c>
      <c r="G750" t="s">
        <v>1797</v>
      </c>
      <c r="H750">
        <v>0</v>
      </c>
      <c r="I750">
        <v>2328.2968070000002</v>
      </c>
      <c r="J750">
        <v>271.99729056658879</v>
      </c>
      <c r="K750">
        <v>0</v>
      </c>
      <c r="L750">
        <v>1.6010583653592141</v>
      </c>
      <c r="M750">
        <v>20.88</v>
      </c>
      <c r="N750">
        <v>9.2799999999999994</v>
      </c>
    </row>
    <row r="751" spans="1:14" x14ac:dyDescent="0.25">
      <c r="A751" s="1" t="s">
        <v>763</v>
      </c>
      <c r="B751" t="str">
        <f>HYPERLINK("https://www.suredividend.com/sure-analysis-research-database/","Independent Bank Corporation (Ionia, MI)")</f>
        <v>Independent Bank Corporation (Ionia, MI)</v>
      </c>
      <c r="C751" t="s">
        <v>1800</v>
      </c>
      <c r="D751">
        <v>25.23</v>
      </c>
      <c r="E751">
        <v>3.5202734162015997E-2</v>
      </c>
      <c r="F751" t="s">
        <v>1797</v>
      </c>
      <c r="G751" t="s">
        <v>1797</v>
      </c>
      <c r="H751">
        <v>0.8881649829076701</v>
      </c>
      <c r="I751">
        <v>525.80122300000005</v>
      </c>
      <c r="J751">
        <v>0</v>
      </c>
      <c r="K751" t="s">
        <v>1797</v>
      </c>
      <c r="L751">
        <v>1.318764883246232</v>
      </c>
      <c r="M751">
        <v>26.99</v>
      </c>
      <c r="N751">
        <v>14.24</v>
      </c>
    </row>
    <row r="752" spans="1:14" x14ac:dyDescent="0.25">
      <c r="A752" s="1" t="s">
        <v>764</v>
      </c>
      <c r="B752" t="str">
        <f>HYPERLINK("https://www.suredividend.com/sure-analysis-research-database/","IBEX Ltd")</f>
        <v>IBEX Ltd</v>
      </c>
      <c r="C752" t="s">
        <v>1797</v>
      </c>
      <c r="D752">
        <v>17.43</v>
      </c>
      <c r="E752">
        <v>0</v>
      </c>
      <c r="F752" t="s">
        <v>1797</v>
      </c>
      <c r="G752" t="s">
        <v>1797</v>
      </c>
      <c r="H752">
        <v>0</v>
      </c>
      <c r="I752">
        <v>312.67244699999998</v>
      </c>
      <c r="J752">
        <v>0</v>
      </c>
      <c r="K752" t="s">
        <v>1797</v>
      </c>
      <c r="L752">
        <v>0.53700242834080003</v>
      </c>
      <c r="M752">
        <v>31.4</v>
      </c>
      <c r="N752">
        <v>11.45</v>
      </c>
    </row>
    <row r="753" spans="1:14" x14ac:dyDescent="0.25">
      <c r="A753" s="1" t="s">
        <v>765</v>
      </c>
      <c r="B753" t="str">
        <f>HYPERLINK("https://www.suredividend.com/sure-analysis-IBOC/","International Bancshares Corp.")</f>
        <v>International Bancshares Corp.</v>
      </c>
      <c r="C753" t="s">
        <v>1800</v>
      </c>
      <c r="D753">
        <v>52.62</v>
      </c>
      <c r="E753">
        <v>2.394526795895097E-2</v>
      </c>
      <c r="F753" t="s">
        <v>1797</v>
      </c>
      <c r="G753" t="s">
        <v>1797</v>
      </c>
      <c r="H753">
        <v>1.243205455782304</v>
      </c>
      <c r="I753">
        <v>3265.5972000000002</v>
      </c>
      <c r="J753">
        <v>7.9492828696896813</v>
      </c>
      <c r="K753">
        <v>0.18836446299731879</v>
      </c>
      <c r="L753">
        <v>1.122449029447224</v>
      </c>
      <c r="M753">
        <v>54.72</v>
      </c>
      <c r="N753">
        <v>38.049999999999997</v>
      </c>
    </row>
    <row r="754" spans="1:14" x14ac:dyDescent="0.25">
      <c r="A754" s="1" t="s">
        <v>766</v>
      </c>
      <c r="B754" t="str">
        <f>HYPERLINK("https://www.suredividend.com/sure-analysis-research-database/","Installed Building Products Inc")</f>
        <v>Installed Building Products Inc</v>
      </c>
      <c r="C754" t="s">
        <v>1798</v>
      </c>
      <c r="D754">
        <v>186.66</v>
      </c>
      <c r="E754">
        <v>1.1834534888910999E-2</v>
      </c>
      <c r="F754" t="s">
        <v>1797</v>
      </c>
      <c r="G754" t="s">
        <v>1797</v>
      </c>
      <c r="H754">
        <v>2.2090342823641498</v>
      </c>
      <c r="I754">
        <v>5355.4807259999998</v>
      </c>
      <c r="J754">
        <v>21.630702443989389</v>
      </c>
      <c r="K754">
        <v>0.252749917890635</v>
      </c>
      <c r="L754">
        <v>1.704096933393817</v>
      </c>
      <c r="M754">
        <v>189.07</v>
      </c>
      <c r="N754">
        <v>96.79</v>
      </c>
    </row>
    <row r="755" spans="1:14" x14ac:dyDescent="0.25">
      <c r="A755" s="1" t="s">
        <v>767</v>
      </c>
      <c r="B755" t="str">
        <f>HYPERLINK("https://www.suredividend.com/sure-analysis-research-database/","ImmunityBio Inc")</f>
        <v>ImmunityBio Inc</v>
      </c>
      <c r="C755" t="s">
        <v>1797</v>
      </c>
      <c r="D755">
        <v>3.85</v>
      </c>
      <c r="E755">
        <v>0</v>
      </c>
      <c r="F755" t="s">
        <v>1797</v>
      </c>
      <c r="G755" t="s">
        <v>1797</v>
      </c>
      <c r="H755">
        <v>0</v>
      </c>
      <c r="I755">
        <v>2570.6656670000002</v>
      </c>
      <c r="J755" t="s">
        <v>1797</v>
      </c>
      <c r="K755">
        <v>0</v>
      </c>
      <c r="L755">
        <v>2.9409387979280939</v>
      </c>
      <c r="M755">
        <v>6.93</v>
      </c>
      <c r="N755">
        <v>1.21</v>
      </c>
    </row>
    <row r="756" spans="1:14" x14ac:dyDescent="0.25">
      <c r="A756" s="1" t="s">
        <v>768</v>
      </c>
      <c r="B756" t="str">
        <f>HYPERLINK("https://www.suredividend.com/sure-analysis-research-database/","Independent Bank Group Inc")</f>
        <v>Independent Bank Group Inc</v>
      </c>
      <c r="C756" t="s">
        <v>1800</v>
      </c>
      <c r="D756">
        <v>50.81</v>
      </c>
      <c r="E756">
        <v>2.9021485356348999E-2</v>
      </c>
      <c r="F756">
        <v>0</v>
      </c>
      <c r="G756">
        <v>8.7348394571074905E-2</v>
      </c>
      <c r="H756">
        <v>1.4745816709560959</v>
      </c>
      <c r="I756">
        <v>2097.5982739999999</v>
      </c>
      <c r="J756">
        <v>30.49011968980755</v>
      </c>
      <c r="K756">
        <v>0.88298303650065646</v>
      </c>
      <c r="L756">
        <v>1.554634232588384</v>
      </c>
      <c r="M756">
        <v>61.2</v>
      </c>
      <c r="N756">
        <v>27.71</v>
      </c>
    </row>
    <row r="757" spans="1:14" x14ac:dyDescent="0.25">
      <c r="A757" s="1" t="s">
        <v>769</v>
      </c>
      <c r="B757" t="str">
        <f>HYPERLINK("https://www.suredividend.com/sure-analysis-research-database/","ICF International, Inc")</f>
        <v>ICF International, Inc</v>
      </c>
      <c r="C757" t="s">
        <v>1798</v>
      </c>
      <c r="D757">
        <v>132.55000000000001</v>
      </c>
      <c r="E757">
        <v>4.2116570320650014E-3</v>
      </c>
      <c r="F757">
        <v>0</v>
      </c>
      <c r="G757">
        <v>0</v>
      </c>
      <c r="H757">
        <v>0.55825513960033801</v>
      </c>
      <c r="I757">
        <v>2494.181951</v>
      </c>
      <c r="J757">
        <v>35.976026636760963</v>
      </c>
      <c r="K757">
        <v>0.1529466135891337</v>
      </c>
      <c r="L757">
        <v>0.75630087695227211</v>
      </c>
      <c r="M757">
        <v>145.1</v>
      </c>
      <c r="N757">
        <v>93.8</v>
      </c>
    </row>
    <row r="758" spans="1:14" x14ac:dyDescent="0.25">
      <c r="A758" s="1" t="s">
        <v>770</v>
      </c>
      <c r="B758" t="str">
        <f>HYPERLINK("https://www.suredividend.com/sure-analysis-research-database/","Ichor Holdings Ltd")</f>
        <v>Ichor Holdings Ltd</v>
      </c>
      <c r="C758" t="s">
        <v>1803</v>
      </c>
      <c r="D758">
        <v>32.35</v>
      </c>
      <c r="E758">
        <v>0</v>
      </c>
      <c r="F758" t="s">
        <v>1797</v>
      </c>
      <c r="G758" t="s">
        <v>1797</v>
      </c>
      <c r="H758">
        <v>0</v>
      </c>
      <c r="I758">
        <v>950.44380899999999</v>
      </c>
      <c r="J758" t="s">
        <v>1797</v>
      </c>
      <c r="K758">
        <v>0</v>
      </c>
      <c r="L758">
        <v>1.909423008099012</v>
      </c>
      <c r="M758">
        <v>39.729999999999997</v>
      </c>
      <c r="N758">
        <v>22.26</v>
      </c>
    </row>
    <row r="759" spans="1:14" x14ac:dyDescent="0.25">
      <c r="A759" s="1" t="s">
        <v>771</v>
      </c>
      <c r="B759" t="str">
        <f>HYPERLINK("https://www.suredividend.com/sure-analysis-research-database/","Intercept Pharmaceuticals Inc")</f>
        <v>Intercept Pharmaceuticals Inc</v>
      </c>
      <c r="C759" t="s">
        <v>1802</v>
      </c>
      <c r="D759">
        <v>19</v>
      </c>
      <c r="E759">
        <v>0</v>
      </c>
      <c r="F759" t="s">
        <v>1797</v>
      </c>
      <c r="G759" t="s">
        <v>1797</v>
      </c>
      <c r="H759">
        <v>0</v>
      </c>
      <c r="I759">
        <v>0</v>
      </c>
      <c r="J759">
        <v>0</v>
      </c>
      <c r="K759">
        <v>0</v>
      </c>
    </row>
    <row r="760" spans="1:14" x14ac:dyDescent="0.25">
      <c r="A760" s="1" t="s">
        <v>772</v>
      </c>
      <c r="B760" t="str">
        <f>HYPERLINK("https://www.suredividend.com/sure-analysis-research-database/","Icosavax Inc")</f>
        <v>Icosavax Inc</v>
      </c>
      <c r="C760" t="s">
        <v>1797</v>
      </c>
      <c r="D760">
        <v>15.61</v>
      </c>
      <c r="E760">
        <v>0</v>
      </c>
      <c r="F760" t="s">
        <v>1797</v>
      </c>
      <c r="G760" t="s">
        <v>1797</v>
      </c>
      <c r="H760">
        <v>0</v>
      </c>
      <c r="I760">
        <v>781.91022299999997</v>
      </c>
      <c r="J760">
        <v>0</v>
      </c>
      <c r="K760" t="s">
        <v>1797</v>
      </c>
      <c r="L760">
        <v>1.2346241932698581</v>
      </c>
      <c r="M760">
        <v>16.11</v>
      </c>
      <c r="N760">
        <v>4.75</v>
      </c>
    </row>
    <row r="761" spans="1:14" x14ac:dyDescent="0.25">
      <c r="A761" s="1" t="s">
        <v>773</v>
      </c>
      <c r="B761" t="str">
        <f>HYPERLINK("https://www.suredividend.com/sure-analysis-research-database/","Interdigital Inc")</f>
        <v>Interdigital Inc</v>
      </c>
      <c r="C761" t="s">
        <v>1806</v>
      </c>
      <c r="D761">
        <v>103.36</v>
      </c>
      <c r="E761">
        <v>1.4341091586918001E-2</v>
      </c>
      <c r="F761">
        <v>0.14285714285714279</v>
      </c>
      <c r="G761">
        <v>2.7066087089351761E-2</v>
      </c>
      <c r="H761">
        <v>1.4822952264239311</v>
      </c>
      <c r="I761">
        <v>2656.6782039999998</v>
      </c>
      <c r="J761">
        <v>12.809997560935621</v>
      </c>
      <c r="K761">
        <v>0.2053040479811539</v>
      </c>
      <c r="L761">
        <v>1.020380516792291</v>
      </c>
      <c r="M761">
        <v>110.94</v>
      </c>
      <c r="N761">
        <v>56.63</v>
      </c>
    </row>
    <row r="762" spans="1:14" x14ac:dyDescent="0.25">
      <c r="A762" s="1" t="s">
        <v>774</v>
      </c>
      <c r="B762" t="str">
        <f>HYPERLINK("https://www.suredividend.com/sure-analysis-research-database/","IDT Corp.")</f>
        <v>IDT Corp.</v>
      </c>
      <c r="C762" t="s">
        <v>1806</v>
      </c>
      <c r="D762">
        <v>32.58</v>
      </c>
      <c r="E762">
        <v>0</v>
      </c>
      <c r="F762" t="s">
        <v>1797</v>
      </c>
      <c r="G762" t="s">
        <v>1797</v>
      </c>
      <c r="H762">
        <v>0</v>
      </c>
      <c r="I762">
        <v>768.44178399999998</v>
      </c>
      <c r="J762">
        <v>20.685396223855289</v>
      </c>
      <c r="K762">
        <v>0</v>
      </c>
      <c r="L762">
        <v>0.33457350711478601</v>
      </c>
      <c r="M762">
        <v>35.18</v>
      </c>
      <c r="N762">
        <v>21.64</v>
      </c>
    </row>
    <row r="763" spans="1:14" x14ac:dyDescent="0.25">
      <c r="A763" s="1" t="s">
        <v>775</v>
      </c>
      <c r="B763" t="str">
        <f>HYPERLINK("https://www.suredividend.com/sure-analysis-research-database/","Ideaya Biosciences Inc")</f>
        <v>Ideaya Biosciences Inc</v>
      </c>
      <c r="C763" t="s">
        <v>1802</v>
      </c>
      <c r="D763">
        <v>39.74</v>
      </c>
      <c r="E763">
        <v>0</v>
      </c>
      <c r="F763" t="s">
        <v>1797</v>
      </c>
      <c r="G763" t="s">
        <v>1797</v>
      </c>
      <c r="H763">
        <v>0</v>
      </c>
      <c r="I763">
        <v>2561.6194169999999</v>
      </c>
      <c r="J763" t="s">
        <v>1797</v>
      </c>
      <c r="K763">
        <v>0</v>
      </c>
      <c r="L763">
        <v>0.84620535614764303</v>
      </c>
      <c r="M763">
        <v>40.14</v>
      </c>
      <c r="N763">
        <v>13.29</v>
      </c>
    </row>
    <row r="764" spans="1:14" x14ac:dyDescent="0.25">
      <c r="A764" s="1" t="s">
        <v>776</v>
      </c>
      <c r="B764" t="str">
        <f>HYPERLINK("https://www.suredividend.com/sure-analysis-research-database/","Ivanhoe Electric Inc")</f>
        <v>Ivanhoe Electric Inc</v>
      </c>
      <c r="C764" t="s">
        <v>1797</v>
      </c>
      <c r="D764">
        <v>8.91</v>
      </c>
      <c r="E764">
        <v>0</v>
      </c>
      <c r="F764" t="s">
        <v>1797</v>
      </c>
      <c r="G764" t="s">
        <v>1797</v>
      </c>
      <c r="H764">
        <v>0</v>
      </c>
      <c r="I764">
        <v>827.6499</v>
      </c>
      <c r="J764">
        <v>0</v>
      </c>
      <c r="K764" t="s">
        <v>1797</v>
      </c>
      <c r="L764">
        <v>1.0916478088460151</v>
      </c>
      <c r="M764">
        <v>16.75</v>
      </c>
      <c r="N764">
        <v>8.73</v>
      </c>
    </row>
    <row r="765" spans="1:14" x14ac:dyDescent="0.25">
      <c r="A765" s="1" t="s">
        <v>777</v>
      </c>
      <c r="B765" t="str">
        <f>HYPERLINK("https://www.suredividend.com/sure-analysis-research-database/","IES Holdings Inc")</f>
        <v>IES Holdings Inc</v>
      </c>
      <c r="C765" t="s">
        <v>1798</v>
      </c>
      <c r="D765">
        <v>79.349999999999994</v>
      </c>
      <c r="E765">
        <v>0</v>
      </c>
      <c r="F765" t="s">
        <v>1797</v>
      </c>
      <c r="G765" t="s">
        <v>1797</v>
      </c>
      <c r="H765">
        <v>0</v>
      </c>
      <c r="I765">
        <v>1602.411198</v>
      </c>
      <c r="J765">
        <v>17.309142740019009</v>
      </c>
      <c r="K765">
        <v>0</v>
      </c>
      <c r="L765">
        <v>0.87370501406175005</v>
      </c>
      <c r="M765">
        <v>86.44</v>
      </c>
      <c r="N765">
        <v>37.53</v>
      </c>
    </row>
    <row r="766" spans="1:14" x14ac:dyDescent="0.25">
      <c r="A766" s="1" t="s">
        <v>778</v>
      </c>
      <c r="B766" t="str">
        <f>HYPERLINK("https://www.suredividend.com/sure-analysis-research-database/","IGM Biosciences Inc")</f>
        <v>IGM Biosciences Inc</v>
      </c>
      <c r="C766" t="s">
        <v>1802</v>
      </c>
      <c r="D766">
        <v>10.94</v>
      </c>
      <c r="E766">
        <v>0</v>
      </c>
      <c r="F766" t="s">
        <v>1797</v>
      </c>
      <c r="G766" t="s">
        <v>1797</v>
      </c>
      <c r="H766">
        <v>0</v>
      </c>
      <c r="I766">
        <v>359.85678300000001</v>
      </c>
      <c r="J766" t="s">
        <v>1797</v>
      </c>
      <c r="K766">
        <v>0</v>
      </c>
      <c r="L766">
        <v>1.4988183517952181</v>
      </c>
      <c r="M766">
        <v>27.92</v>
      </c>
      <c r="N766">
        <v>3.81</v>
      </c>
    </row>
    <row r="767" spans="1:14" x14ac:dyDescent="0.25">
      <c r="A767" s="1" t="s">
        <v>779</v>
      </c>
      <c r="B767" t="str">
        <f>HYPERLINK("https://www.suredividend.com/sure-analysis-research-database/","International Game Technology PLC")</f>
        <v>International Game Technology PLC</v>
      </c>
      <c r="C767" t="s">
        <v>1801</v>
      </c>
      <c r="D767">
        <v>25.75</v>
      </c>
      <c r="E767">
        <v>3.0733266906446E-2</v>
      </c>
      <c r="F767" t="s">
        <v>1797</v>
      </c>
      <c r="G767" t="s">
        <v>1797</v>
      </c>
      <c r="H767">
        <v>0.79138162284100411</v>
      </c>
      <c r="I767">
        <v>5126.2819069999996</v>
      </c>
      <c r="J767">
        <v>51.262819067499997</v>
      </c>
      <c r="K767">
        <v>1.6026359312292511</v>
      </c>
      <c r="L767">
        <v>1.6256548799418971</v>
      </c>
      <c r="M767">
        <v>33.520000000000003</v>
      </c>
      <c r="N767">
        <v>21.82</v>
      </c>
    </row>
    <row r="768" spans="1:14" x14ac:dyDescent="0.25">
      <c r="A768" s="1" t="s">
        <v>780</v>
      </c>
      <c r="B768" t="str">
        <f>HYPERLINK("https://www.suredividend.com/sure-analysis-research-database/","iHeartMedia Inc")</f>
        <v>iHeartMedia Inc</v>
      </c>
      <c r="C768" t="s">
        <v>1806</v>
      </c>
      <c r="D768">
        <v>2.2799999999999998</v>
      </c>
      <c r="E768">
        <v>0</v>
      </c>
      <c r="F768" t="s">
        <v>1797</v>
      </c>
      <c r="G768" t="s">
        <v>1797</v>
      </c>
      <c r="H768">
        <v>0</v>
      </c>
      <c r="I768">
        <v>281.14567399999999</v>
      </c>
      <c r="J768">
        <v>0</v>
      </c>
      <c r="K768" t="s">
        <v>1797</v>
      </c>
      <c r="L768">
        <v>2.4608523894543981</v>
      </c>
      <c r="M768">
        <v>9.01</v>
      </c>
      <c r="N768">
        <v>1.78</v>
      </c>
    </row>
    <row r="769" spans="1:14" x14ac:dyDescent="0.25">
      <c r="A769" s="1" t="s">
        <v>781</v>
      </c>
      <c r="B769" t="str">
        <f>HYPERLINK("https://www.suredividend.com/sure-analysis-research-database/","Information Services Group Inc.")</f>
        <v>Information Services Group Inc.</v>
      </c>
      <c r="C769" t="s">
        <v>1803</v>
      </c>
      <c r="D769">
        <v>4.5199999999999996</v>
      </c>
      <c r="E769">
        <v>3.7734464521914E-2</v>
      </c>
      <c r="F769" t="s">
        <v>1797</v>
      </c>
      <c r="G769" t="s">
        <v>1797</v>
      </c>
      <c r="H769">
        <v>0.170559779639053</v>
      </c>
      <c r="I769">
        <v>220.90851799999999</v>
      </c>
      <c r="J769">
        <v>0</v>
      </c>
      <c r="K769" t="s">
        <v>1797</v>
      </c>
      <c r="L769">
        <v>1.0850716943009751</v>
      </c>
      <c r="M769">
        <v>5.65</v>
      </c>
      <c r="N769">
        <v>3.89</v>
      </c>
    </row>
    <row r="770" spans="1:14" x14ac:dyDescent="0.25">
      <c r="A770" s="1" t="s">
        <v>782</v>
      </c>
      <c r="B770" t="str">
        <f>HYPERLINK("https://www.suredividend.com/sure-analysis-research-database/","Insteel Industries, Inc.")</f>
        <v>Insteel Industries, Inc.</v>
      </c>
      <c r="C770" t="s">
        <v>1798</v>
      </c>
      <c r="D770">
        <v>36.36</v>
      </c>
      <c r="E770">
        <v>3.1277102539960001E-3</v>
      </c>
      <c r="F770">
        <v>0</v>
      </c>
      <c r="G770">
        <v>0</v>
      </c>
      <c r="H770">
        <v>0.11372354483529799</v>
      </c>
      <c r="I770">
        <v>707.35653000000002</v>
      </c>
      <c r="J770">
        <v>21.82188894030541</v>
      </c>
      <c r="K770">
        <v>6.8508159539336144E-2</v>
      </c>
      <c r="L770">
        <v>1.284345511817119</v>
      </c>
      <c r="M770">
        <v>39.380000000000003</v>
      </c>
      <c r="N770">
        <v>23.64</v>
      </c>
    </row>
    <row r="771" spans="1:14" x14ac:dyDescent="0.25">
      <c r="A771" s="1" t="s">
        <v>783</v>
      </c>
      <c r="B771" t="str">
        <f>HYPERLINK("https://www.suredividend.com/sure-analysis-research-database/","i3 Verticals Inc")</f>
        <v>i3 Verticals Inc</v>
      </c>
      <c r="C771" t="s">
        <v>1803</v>
      </c>
      <c r="D771">
        <v>19.899999999999999</v>
      </c>
      <c r="E771">
        <v>0</v>
      </c>
      <c r="F771" t="s">
        <v>1797</v>
      </c>
      <c r="G771" t="s">
        <v>1797</v>
      </c>
      <c r="H771">
        <v>0</v>
      </c>
      <c r="I771">
        <v>463.24899599999998</v>
      </c>
      <c r="J771" t="s">
        <v>1797</v>
      </c>
      <c r="K771">
        <v>0</v>
      </c>
      <c r="L771">
        <v>1.307459560374282</v>
      </c>
      <c r="M771">
        <v>30.84</v>
      </c>
      <c r="N771">
        <v>17.87</v>
      </c>
    </row>
    <row r="772" spans="1:14" x14ac:dyDescent="0.25">
      <c r="A772" s="1" t="s">
        <v>784</v>
      </c>
      <c r="B772" t="str">
        <f>HYPERLINK("https://www.suredividend.com/sure-analysis-IIPR/","Innovative Industrial Properties Inc")</f>
        <v>Innovative Industrial Properties Inc</v>
      </c>
      <c r="C772" t="s">
        <v>1799</v>
      </c>
      <c r="D772">
        <v>93.21</v>
      </c>
      <c r="E772">
        <v>7.8103207810320791E-2</v>
      </c>
      <c r="F772">
        <v>1.111111111111107E-2</v>
      </c>
      <c r="G772">
        <v>0.32242720460880808</v>
      </c>
      <c r="H772">
        <v>7.0014785499980183</v>
      </c>
      <c r="I772">
        <v>2613.5925539999998</v>
      </c>
      <c r="J772">
        <v>16.007303961414792</v>
      </c>
      <c r="K772">
        <v>1.209236364421074</v>
      </c>
      <c r="L772">
        <v>1.557018472149732</v>
      </c>
      <c r="M772">
        <v>105.67</v>
      </c>
      <c r="N772">
        <v>59.34</v>
      </c>
    </row>
    <row r="773" spans="1:14" x14ac:dyDescent="0.25">
      <c r="A773" s="1" t="s">
        <v>785</v>
      </c>
      <c r="B773" t="str">
        <f>HYPERLINK("https://www.suredividend.com/sure-analysis-ILPT/","Industrial Logistics Properties Trust")</f>
        <v>Industrial Logistics Properties Trust</v>
      </c>
      <c r="C773" t="s">
        <v>1799</v>
      </c>
      <c r="D773">
        <v>4.28</v>
      </c>
      <c r="E773">
        <v>9.3457943925233638E-3</v>
      </c>
      <c r="F773">
        <v>0</v>
      </c>
      <c r="G773">
        <v>-0.50306771631207348</v>
      </c>
      <c r="H773">
        <v>3.9669791957800002E-2</v>
      </c>
      <c r="I773">
        <v>281.81156199999998</v>
      </c>
      <c r="J773" t="s">
        <v>1797</v>
      </c>
      <c r="K773" t="s">
        <v>1797</v>
      </c>
      <c r="L773">
        <v>2.0531542034782362</v>
      </c>
      <c r="M773">
        <v>4.88</v>
      </c>
      <c r="N773">
        <v>1.63</v>
      </c>
    </row>
    <row r="774" spans="1:14" x14ac:dyDescent="0.25">
      <c r="A774" s="1" t="s">
        <v>786</v>
      </c>
      <c r="B774" t="str">
        <f>HYPERLINK("https://www.suredividend.com/sure-analysis-research-database/","Imax Corp")</f>
        <v>Imax Corp</v>
      </c>
      <c r="C774" t="s">
        <v>1806</v>
      </c>
      <c r="D774">
        <v>14.53</v>
      </c>
      <c r="E774">
        <v>0</v>
      </c>
      <c r="F774" t="s">
        <v>1797</v>
      </c>
      <c r="G774" t="s">
        <v>1797</v>
      </c>
      <c r="H774">
        <v>0</v>
      </c>
      <c r="I774">
        <v>793.44109000000003</v>
      </c>
      <c r="J774">
        <v>31.228002611382241</v>
      </c>
      <c r="K774">
        <v>0</v>
      </c>
      <c r="L774">
        <v>0.71428342853276106</v>
      </c>
      <c r="M774">
        <v>21.82</v>
      </c>
      <c r="N774">
        <v>14.13</v>
      </c>
    </row>
    <row r="775" spans="1:14" x14ac:dyDescent="0.25">
      <c r="A775" s="1" t="s">
        <v>787</v>
      </c>
      <c r="B775" t="str">
        <f>HYPERLINK("https://www.suredividend.com/sure-analysis-research-database/","Immunogen, Inc.")</f>
        <v>Immunogen, Inc.</v>
      </c>
      <c r="C775" t="s">
        <v>1802</v>
      </c>
      <c r="D775">
        <v>29.76</v>
      </c>
      <c r="E775">
        <v>0</v>
      </c>
      <c r="F775" t="s">
        <v>1797</v>
      </c>
      <c r="G775" t="s">
        <v>1797</v>
      </c>
      <c r="H775">
        <v>0</v>
      </c>
      <c r="I775">
        <v>7924.0247939999999</v>
      </c>
      <c r="J775" t="s">
        <v>1797</v>
      </c>
      <c r="K775">
        <v>0</v>
      </c>
      <c r="M775">
        <v>30.13</v>
      </c>
      <c r="N775">
        <v>3.61</v>
      </c>
    </row>
    <row r="776" spans="1:14" x14ac:dyDescent="0.25">
      <c r="A776" s="1" t="s">
        <v>788</v>
      </c>
      <c r="B776" t="str">
        <f>HYPERLINK("https://www.suredividend.com/sure-analysis-research-database/","Ingles Markets, Inc.")</f>
        <v>Ingles Markets, Inc.</v>
      </c>
      <c r="C776" t="s">
        <v>1804</v>
      </c>
      <c r="D776">
        <v>85.33</v>
      </c>
      <c r="E776">
        <v>7.6890300192040007E-3</v>
      </c>
      <c r="F776">
        <v>0</v>
      </c>
      <c r="G776">
        <v>0</v>
      </c>
      <c r="H776">
        <v>0.65610493153871607</v>
      </c>
      <c r="I776">
        <v>1240.0390259999999</v>
      </c>
      <c r="J776">
        <v>5.8822043665463966</v>
      </c>
      <c r="K776">
        <v>5.9108552390875327E-2</v>
      </c>
      <c r="L776">
        <v>0.307581146840185</v>
      </c>
      <c r="M776">
        <v>96.9</v>
      </c>
      <c r="N776">
        <v>72.8</v>
      </c>
    </row>
    <row r="777" spans="1:14" x14ac:dyDescent="0.25">
      <c r="A777" s="1" t="s">
        <v>789</v>
      </c>
      <c r="B777" t="str">
        <f>HYPERLINK("https://www.suredividend.com/sure-analysis-research-database/","Immunovant Inc")</f>
        <v>Immunovant Inc</v>
      </c>
      <c r="C777" t="s">
        <v>1802</v>
      </c>
      <c r="D777">
        <v>42.36</v>
      </c>
      <c r="E777">
        <v>0</v>
      </c>
      <c r="F777" t="s">
        <v>1797</v>
      </c>
      <c r="G777" t="s">
        <v>1797</v>
      </c>
      <c r="H777">
        <v>0</v>
      </c>
      <c r="I777">
        <v>6127.879355</v>
      </c>
      <c r="J777">
        <v>0</v>
      </c>
      <c r="K777" t="s">
        <v>1797</v>
      </c>
      <c r="L777">
        <v>0.37457187851406598</v>
      </c>
      <c r="M777">
        <v>45.58</v>
      </c>
      <c r="N777">
        <v>14.05</v>
      </c>
    </row>
    <row r="778" spans="1:14" x14ac:dyDescent="0.25">
      <c r="A778" s="1" t="s">
        <v>790</v>
      </c>
      <c r="B778" t="str">
        <f>HYPERLINK("https://www.suredividend.com/sure-analysis-research-database/","International Money Express Inc.")</f>
        <v>International Money Express Inc.</v>
      </c>
      <c r="C778" t="s">
        <v>1803</v>
      </c>
      <c r="D778">
        <v>20.58</v>
      </c>
      <c r="E778">
        <v>0</v>
      </c>
      <c r="F778" t="s">
        <v>1797</v>
      </c>
      <c r="G778" t="s">
        <v>1797</v>
      </c>
      <c r="H778">
        <v>0</v>
      </c>
      <c r="I778">
        <v>717.56333299999994</v>
      </c>
      <c r="J778">
        <v>13.026947213114751</v>
      </c>
      <c r="K778">
        <v>0</v>
      </c>
      <c r="L778">
        <v>0.84615243028058607</v>
      </c>
      <c r="M778">
        <v>28.24</v>
      </c>
      <c r="N778">
        <v>15.76</v>
      </c>
    </row>
    <row r="779" spans="1:14" x14ac:dyDescent="0.25">
      <c r="A779" s="1" t="s">
        <v>791</v>
      </c>
      <c r="B779" t="str">
        <f>HYPERLINK("https://www.suredividend.com/sure-analysis-research-database/","First Internet Bancorp")</f>
        <v>First Internet Bancorp</v>
      </c>
      <c r="C779" t="s">
        <v>1800</v>
      </c>
      <c r="D779">
        <v>25.74</v>
      </c>
      <c r="E779">
        <v>9.2381751920400015E-3</v>
      </c>
      <c r="F779">
        <v>0</v>
      </c>
      <c r="G779">
        <v>0</v>
      </c>
      <c r="H779">
        <v>0.23779062944312501</v>
      </c>
      <c r="I779">
        <v>222.48814300000001</v>
      </c>
      <c r="J779">
        <v>0</v>
      </c>
      <c r="K779" t="s">
        <v>1797</v>
      </c>
      <c r="L779">
        <v>1.605205391063417</v>
      </c>
      <c r="M779">
        <v>27.52</v>
      </c>
      <c r="N779">
        <v>9.49</v>
      </c>
    </row>
    <row r="780" spans="1:14" x14ac:dyDescent="0.25">
      <c r="A780" s="1" t="s">
        <v>792</v>
      </c>
      <c r="B780" t="str">
        <f>HYPERLINK("https://www.suredividend.com/sure-analysis-research-database/","Inhibrx Inc")</f>
        <v>Inhibrx Inc</v>
      </c>
      <c r="C780" t="s">
        <v>1797</v>
      </c>
      <c r="D780">
        <v>34.9</v>
      </c>
      <c r="E780">
        <v>0</v>
      </c>
      <c r="F780" t="s">
        <v>1797</v>
      </c>
      <c r="G780" t="s">
        <v>1797</v>
      </c>
      <c r="H780">
        <v>0</v>
      </c>
      <c r="I780">
        <v>1650.4442429999999</v>
      </c>
      <c r="J780" t="s">
        <v>1797</v>
      </c>
      <c r="K780">
        <v>0</v>
      </c>
      <c r="L780">
        <v>1.5526592944980839</v>
      </c>
      <c r="M780">
        <v>39.5</v>
      </c>
      <c r="N780">
        <v>14.31</v>
      </c>
    </row>
    <row r="781" spans="1:14" x14ac:dyDescent="0.25">
      <c r="A781" s="1" t="s">
        <v>793</v>
      </c>
      <c r="B781" t="str">
        <f>HYPERLINK("https://www.suredividend.com/sure-analysis-INDB/","Independent Bank Corp.")</f>
        <v>Independent Bank Corp.</v>
      </c>
      <c r="C781" t="s">
        <v>1800</v>
      </c>
      <c r="D781">
        <v>62.65</v>
      </c>
      <c r="E781">
        <v>3.5115722266560262E-2</v>
      </c>
      <c r="F781">
        <v>0</v>
      </c>
      <c r="G781">
        <v>4.5639552591273169E-2</v>
      </c>
      <c r="H781">
        <v>2.1356440392782612</v>
      </c>
      <c r="I781">
        <v>2747.4096840000002</v>
      </c>
      <c r="J781">
        <v>10.49663288104316</v>
      </c>
      <c r="K781">
        <v>0.36506735714158312</v>
      </c>
      <c r="L781">
        <v>1.338264790760664</v>
      </c>
      <c r="M781">
        <v>77.38</v>
      </c>
      <c r="N781">
        <v>40.619999999999997</v>
      </c>
    </row>
    <row r="782" spans="1:14" x14ac:dyDescent="0.25">
      <c r="A782" s="1" t="s">
        <v>794</v>
      </c>
      <c r="B782" t="str">
        <f>HYPERLINK("https://www.suredividend.com/sure-analysis-research-database/","Indie Semiconductor Inc")</f>
        <v>Indie Semiconductor Inc</v>
      </c>
      <c r="C782" t="s">
        <v>1797</v>
      </c>
      <c r="D782">
        <v>6.96</v>
      </c>
      <c r="E782">
        <v>0</v>
      </c>
      <c r="F782" t="s">
        <v>1797</v>
      </c>
      <c r="G782" t="s">
        <v>1797</v>
      </c>
      <c r="H782">
        <v>0</v>
      </c>
      <c r="I782">
        <v>1122.676682</v>
      </c>
      <c r="J782" t="s">
        <v>1797</v>
      </c>
      <c r="K782">
        <v>0</v>
      </c>
      <c r="L782">
        <v>1.969264895316881</v>
      </c>
      <c r="M782">
        <v>11.12</v>
      </c>
      <c r="N782">
        <v>4.67</v>
      </c>
    </row>
    <row r="783" spans="1:14" x14ac:dyDescent="0.25">
      <c r="A783" s="1" t="s">
        <v>795</v>
      </c>
      <c r="B783" t="str">
        <f>HYPERLINK("https://www.suredividend.com/sure-analysis-research-database/","INDUS Realty Trust Inc")</f>
        <v>INDUS Realty Trust Inc</v>
      </c>
      <c r="C783" t="s">
        <v>1797</v>
      </c>
      <c r="D783">
        <v>66.989999999999995</v>
      </c>
      <c r="E783">
        <v>0</v>
      </c>
      <c r="F783" t="s">
        <v>1797</v>
      </c>
      <c r="G783" t="s">
        <v>1797</v>
      </c>
      <c r="H783">
        <v>0.7000000178813931</v>
      </c>
      <c r="I783">
        <v>0</v>
      </c>
      <c r="J783">
        <v>0</v>
      </c>
      <c r="K783">
        <v>112.90322869054729</v>
      </c>
    </row>
    <row r="784" spans="1:14" x14ac:dyDescent="0.25">
      <c r="A784" s="1" t="s">
        <v>796</v>
      </c>
      <c r="B784" t="str">
        <f>HYPERLINK("https://www.suredividend.com/sure-analysis-research-database/","Infinera Corp.")</f>
        <v>Infinera Corp.</v>
      </c>
      <c r="C784" t="s">
        <v>1803</v>
      </c>
      <c r="D784">
        <v>4.84</v>
      </c>
      <c r="E784">
        <v>0</v>
      </c>
      <c r="F784" t="s">
        <v>1797</v>
      </c>
      <c r="G784" t="s">
        <v>1797</v>
      </c>
      <c r="H784">
        <v>0</v>
      </c>
      <c r="I784">
        <v>1098.3110469999999</v>
      </c>
      <c r="J784" t="s">
        <v>1797</v>
      </c>
      <c r="K784">
        <v>0</v>
      </c>
      <c r="L784">
        <v>1.70466529905491</v>
      </c>
      <c r="M784">
        <v>7.8</v>
      </c>
      <c r="N784">
        <v>2.82</v>
      </c>
    </row>
    <row r="785" spans="1:14" x14ac:dyDescent="0.25">
      <c r="A785" s="1" t="s">
        <v>797</v>
      </c>
      <c r="B785" t="str">
        <f>HYPERLINK("https://www.suredividend.com/sure-analysis-research-database/","Inogen Inc")</f>
        <v>Inogen Inc</v>
      </c>
      <c r="C785" t="s">
        <v>1802</v>
      </c>
      <c r="D785">
        <v>5.98</v>
      </c>
      <c r="E785">
        <v>0</v>
      </c>
      <c r="F785" t="s">
        <v>1797</v>
      </c>
      <c r="G785" t="s">
        <v>1797</v>
      </c>
      <c r="H785">
        <v>0</v>
      </c>
      <c r="I785">
        <v>139.380728</v>
      </c>
      <c r="J785" t="s">
        <v>1797</v>
      </c>
      <c r="K785">
        <v>0</v>
      </c>
      <c r="L785">
        <v>2.0774215454767329</v>
      </c>
      <c r="M785">
        <v>26.11</v>
      </c>
      <c r="N785">
        <v>4.13</v>
      </c>
    </row>
    <row r="786" spans="1:14" x14ac:dyDescent="0.25">
      <c r="A786" s="1" t="s">
        <v>798</v>
      </c>
      <c r="B786" t="str">
        <f>HYPERLINK("https://www.suredividend.com/sure-analysis-research-database/","Summit Hotel Properties Inc")</f>
        <v>Summit Hotel Properties Inc</v>
      </c>
      <c r="C786" t="s">
        <v>1799</v>
      </c>
      <c r="D786">
        <v>6.55</v>
      </c>
      <c r="E786">
        <v>3.3145156485145003E-2</v>
      </c>
      <c r="F786" t="s">
        <v>1797</v>
      </c>
      <c r="G786" t="s">
        <v>1797</v>
      </c>
      <c r="H786">
        <v>0.217100774977699</v>
      </c>
      <c r="I786">
        <v>704.64050499999996</v>
      </c>
      <c r="J786" t="s">
        <v>1797</v>
      </c>
      <c r="K786" t="s">
        <v>1797</v>
      </c>
      <c r="L786">
        <v>1.5375032026117821</v>
      </c>
      <c r="M786">
        <v>8.51</v>
      </c>
      <c r="N786">
        <v>5.26</v>
      </c>
    </row>
    <row r="787" spans="1:14" x14ac:dyDescent="0.25">
      <c r="A787" s="1" t="s">
        <v>799</v>
      </c>
      <c r="B787" t="str">
        <f>HYPERLINK("https://www.suredividend.com/sure-analysis-research-database/","InnovAge Holding Corp")</f>
        <v>InnovAge Holding Corp</v>
      </c>
      <c r="C787" t="s">
        <v>1797</v>
      </c>
      <c r="D787">
        <v>5.84</v>
      </c>
      <c r="E787">
        <v>0</v>
      </c>
      <c r="F787" t="s">
        <v>1797</v>
      </c>
      <c r="G787" t="s">
        <v>1797</v>
      </c>
      <c r="H787">
        <v>0</v>
      </c>
      <c r="I787">
        <v>793.56746599999997</v>
      </c>
      <c r="J787" t="s">
        <v>1797</v>
      </c>
      <c r="K787">
        <v>0</v>
      </c>
      <c r="L787">
        <v>1.1613056509567301</v>
      </c>
      <c r="M787">
        <v>8.15</v>
      </c>
      <c r="N787">
        <v>5.04</v>
      </c>
    </row>
    <row r="788" spans="1:14" x14ac:dyDescent="0.25">
      <c r="A788" s="1" t="s">
        <v>800</v>
      </c>
      <c r="B788" t="str">
        <f>HYPERLINK("https://www.suredividend.com/sure-analysis-research-database/","Inovio Pharmaceuticals Inc")</f>
        <v>Inovio Pharmaceuticals Inc</v>
      </c>
      <c r="C788" t="s">
        <v>1802</v>
      </c>
      <c r="D788">
        <v>0.77</v>
      </c>
      <c r="E788">
        <v>0</v>
      </c>
      <c r="F788" t="s">
        <v>1797</v>
      </c>
      <c r="G788" t="s">
        <v>1797</v>
      </c>
      <c r="H788">
        <v>0</v>
      </c>
      <c r="I788">
        <v>210.199546</v>
      </c>
      <c r="J788" t="s">
        <v>1797</v>
      </c>
      <c r="K788">
        <v>0</v>
      </c>
      <c r="L788">
        <v>1.685769777245431</v>
      </c>
      <c r="M788">
        <v>1.95</v>
      </c>
      <c r="N788">
        <v>0.32400000000000001</v>
      </c>
    </row>
    <row r="789" spans="1:14" x14ac:dyDescent="0.25">
      <c r="A789" s="1" t="s">
        <v>801</v>
      </c>
      <c r="B789" t="str">
        <f>HYPERLINK("https://www.suredividend.com/sure-analysis-research-database/","Inspired Entertainment Inc")</f>
        <v>Inspired Entertainment Inc</v>
      </c>
      <c r="C789" t="s">
        <v>1806</v>
      </c>
      <c r="D789">
        <v>8.9600000000000009</v>
      </c>
      <c r="E789">
        <v>0</v>
      </c>
      <c r="F789" t="s">
        <v>1797</v>
      </c>
      <c r="G789" t="s">
        <v>1797</v>
      </c>
      <c r="H789">
        <v>0</v>
      </c>
      <c r="I789">
        <v>235.97581099999999</v>
      </c>
      <c r="J789">
        <v>0</v>
      </c>
      <c r="K789" t="s">
        <v>1797</v>
      </c>
      <c r="L789">
        <v>1.445916793495668</v>
      </c>
      <c r="M789">
        <v>16.440000000000001</v>
      </c>
      <c r="N789">
        <v>6.12</v>
      </c>
    </row>
    <row r="790" spans="1:14" x14ac:dyDescent="0.25">
      <c r="A790" s="1" t="s">
        <v>802</v>
      </c>
      <c r="B790" t="str">
        <f>HYPERLINK("https://www.suredividend.com/sure-analysis-research-database/","Inseego Corp")</f>
        <v>Inseego Corp</v>
      </c>
      <c r="C790" t="s">
        <v>1803</v>
      </c>
      <c r="D790">
        <v>0.193</v>
      </c>
      <c r="E790">
        <v>0</v>
      </c>
      <c r="F790" t="s">
        <v>1797</v>
      </c>
      <c r="G790" t="s">
        <v>1797</v>
      </c>
      <c r="H790">
        <v>0</v>
      </c>
      <c r="I790">
        <v>22.587118</v>
      </c>
      <c r="J790" t="s">
        <v>1797</v>
      </c>
      <c r="K790">
        <v>0</v>
      </c>
      <c r="L790">
        <v>2.0723800864049688</v>
      </c>
      <c r="M790">
        <v>1.3</v>
      </c>
      <c r="N790">
        <v>0.17</v>
      </c>
    </row>
    <row r="791" spans="1:14" x14ac:dyDescent="0.25">
      <c r="A791" s="1" t="s">
        <v>803</v>
      </c>
      <c r="B791" t="str">
        <f>HYPERLINK("https://www.suredividend.com/sure-analysis-research-database/","Insmed Inc")</f>
        <v>Insmed Inc</v>
      </c>
      <c r="C791" t="s">
        <v>1802</v>
      </c>
      <c r="D791">
        <v>28.46</v>
      </c>
      <c r="E791">
        <v>0</v>
      </c>
      <c r="F791" t="s">
        <v>1797</v>
      </c>
      <c r="G791" t="s">
        <v>1797</v>
      </c>
      <c r="H791">
        <v>0</v>
      </c>
      <c r="I791">
        <v>4071.54637</v>
      </c>
      <c r="J791" t="s">
        <v>1797</v>
      </c>
      <c r="K791">
        <v>0</v>
      </c>
      <c r="L791">
        <v>0.92675920883486507</v>
      </c>
      <c r="M791">
        <v>32</v>
      </c>
      <c r="N791">
        <v>16.04</v>
      </c>
    </row>
    <row r="792" spans="1:14" x14ac:dyDescent="0.25">
      <c r="A792" s="1" t="s">
        <v>804</v>
      </c>
      <c r="B792" t="str">
        <f>HYPERLINK("https://www.suredividend.com/sure-analysis-research-database/","Inspire Medical Systems Inc")</f>
        <v>Inspire Medical Systems Inc</v>
      </c>
      <c r="C792" t="s">
        <v>1802</v>
      </c>
      <c r="D792">
        <v>185.86</v>
      </c>
      <c r="E792">
        <v>0</v>
      </c>
      <c r="F792" t="s">
        <v>1797</v>
      </c>
      <c r="G792" t="s">
        <v>1797</v>
      </c>
      <c r="H792">
        <v>0</v>
      </c>
      <c r="I792">
        <v>5487.3657679999997</v>
      </c>
      <c r="J792" t="s">
        <v>1797</v>
      </c>
      <c r="K792">
        <v>0</v>
      </c>
      <c r="L792">
        <v>1.534435106540591</v>
      </c>
      <c r="M792">
        <v>330</v>
      </c>
      <c r="N792">
        <v>123.27</v>
      </c>
    </row>
    <row r="793" spans="1:14" x14ac:dyDescent="0.25">
      <c r="A793" s="1" t="s">
        <v>805</v>
      </c>
      <c r="B793" t="str">
        <f>HYPERLINK("https://www.suredividend.com/sure-analysis-research-database/","Instructure Holdings Inc")</f>
        <v>Instructure Holdings Inc</v>
      </c>
      <c r="C793" t="s">
        <v>1797</v>
      </c>
      <c r="D793">
        <v>25.69</v>
      </c>
      <c r="E793">
        <v>0</v>
      </c>
      <c r="F793" t="s">
        <v>1797</v>
      </c>
      <c r="G793" t="s">
        <v>1797</v>
      </c>
      <c r="H793">
        <v>0</v>
      </c>
      <c r="I793">
        <v>3696.9708300000002</v>
      </c>
      <c r="J793" t="s">
        <v>1797</v>
      </c>
      <c r="K793">
        <v>0</v>
      </c>
      <c r="L793">
        <v>0.76394590482491509</v>
      </c>
      <c r="M793">
        <v>31.47</v>
      </c>
      <c r="N793">
        <v>22.99</v>
      </c>
    </row>
    <row r="794" spans="1:14" x14ac:dyDescent="0.25">
      <c r="A794" s="1" t="s">
        <v>806</v>
      </c>
      <c r="B794" t="str">
        <f>HYPERLINK("https://www.suredividend.com/sure-analysis-research-database/","International Seaways Inc")</f>
        <v>International Seaways Inc</v>
      </c>
      <c r="C794" t="s">
        <v>1798</v>
      </c>
      <c r="D794">
        <v>51.11</v>
      </c>
      <c r="E794">
        <v>0.120252702847256</v>
      </c>
      <c r="F794">
        <v>-0.92</v>
      </c>
      <c r="G794">
        <v>0.1486983549970351</v>
      </c>
      <c r="H794">
        <v>6.1461156425232613</v>
      </c>
      <c r="I794">
        <v>2499.73945</v>
      </c>
      <c r="J794">
        <v>3.8890652201829292</v>
      </c>
      <c r="K794">
        <v>0.47460352451917082</v>
      </c>
      <c r="L794">
        <v>0.5224868435570641</v>
      </c>
      <c r="M794">
        <v>51.96</v>
      </c>
      <c r="N794">
        <v>33.79</v>
      </c>
    </row>
    <row r="795" spans="1:14" x14ac:dyDescent="0.25">
      <c r="A795" s="1" t="s">
        <v>807</v>
      </c>
      <c r="B795" t="str">
        <f>HYPERLINK("https://www.suredividend.com/sure-analysis-research-database/","Intapp Inc")</f>
        <v>Intapp Inc</v>
      </c>
      <c r="C795" t="s">
        <v>1797</v>
      </c>
      <c r="D795">
        <v>41.36</v>
      </c>
      <c r="E795">
        <v>0</v>
      </c>
      <c r="F795" t="s">
        <v>1797</v>
      </c>
      <c r="G795" t="s">
        <v>1797</v>
      </c>
      <c r="H795">
        <v>0</v>
      </c>
      <c r="I795">
        <v>2880.9657910000001</v>
      </c>
      <c r="J795" t="s">
        <v>1797</v>
      </c>
      <c r="K795">
        <v>0</v>
      </c>
      <c r="L795">
        <v>1.246729650605674</v>
      </c>
      <c r="M795">
        <v>50.46</v>
      </c>
      <c r="N795">
        <v>25.9</v>
      </c>
    </row>
    <row r="796" spans="1:14" x14ac:dyDescent="0.25">
      <c r="A796" s="1" t="s">
        <v>808</v>
      </c>
      <c r="B796" t="str">
        <f>HYPERLINK("https://www.suredividend.com/sure-analysis-research-database/","Innoviva Inc")</f>
        <v>Innoviva Inc</v>
      </c>
      <c r="C796" t="s">
        <v>1802</v>
      </c>
      <c r="D796">
        <v>16.37</v>
      </c>
      <c r="E796">
        <v>0</v>
      </c>
      <c r="F796" t="s">
        <v>1797</v>
      </c>
      <c r="G796" t="s">
        <v>1797</v>
      </c>
      <c r="H796">
        <v>0</v>
      </c>
      <c r="I796">
        <v>1049.09887</v>
      </c>
      <c r="J796">
        <v>21.033720347053759</v>
      </c>
      <c r="K796">
        <v>0</v>
      </c>
      <c r="M796">
        <v>16.86</v>
      </c>
      <c r="N796">
        <v>10.64</v>
      </c>
    </row>
    <row r="797" spans="1:14" x14ac:dyDescent="0.25">
      <c r="A797" s="1" t="s">
        <v>809</v>
      </c>
      <c r="B797" t="str">
        <f>HYPERLINK("https://www.suredividend.com/sure-analysis-research-database/","Identiv Inc")</f>
        <v>Identiv Inc</v>
      </c>
      <c r="C797" t="s">
        <v>1803</v>
      </c>
      <c r="D797">
        <v>7.9</v>
      </c>
      <c r="E797">
        <v>0</v>
      </c>
      <c r="F797" t="s">
        <v>1797</v>
      </c>
      <c r="G797" t="s">
        <v>1797</v>
      </c>
      <c r="H797">
        <v>0</v>
      </c>
      <c r="I797">
        <v>183.07737299999999</v>
      </c>
      <c r="J797" t="s">
        <v>1797</v>
      </c>
      <c r="K797">
        <v>0</v>
      </c>
      <c r="L797">
        <v>1.775221097446505</v>
      </c>
      <c r="M797">
        <v>9.66</v>
      </c>
      <c r="N797">
        <v>4.72</v>
      </c>
    </row>
    <row r="798" spans="1:14" x14ac:dyDescent="0.25">
      <c r="A798" s="1" t="s">
        <v>810</v>
      </c>
      <c r="B798" t="str">
        <f>HYPERLINK("https://www.suredividend.com/sure-analysis-research-database/","IonQ Inc")</f>
        <v>IonQ Inc</v>
      </c>
      <c r="C798" t="s">
        <v>1797</v>
      </c>
      <c r="D798">
        <v>11.4</v>
      </c>
      <c r="E798">
        <v>0</v>
      </c>
      <c r="F798" t="s">
        <v>1797</v>
      </c>
      <c r="G798" t="s">
        <v>1797</v>
      </c>
      <c r="H798">
        <v>0</v>
      </c>
      <c r="I798">
        <v>2333.58</v>
      </c>
      <c r="J798" t="s">
        <v>1797</v>
      </c>
      <c r="K798">
        <v>0</v>
      </c>
      <c r="L798">
        <v>2.8219700865440931</v>
      </c>
      <c r="M798">
        <v>21.6</v>
      </c>
      <c r="N798">
        <v>4.01</v>
      </c>
    </row>
    <row r="799" spans="1:14" x14ac:dyDescent="0.25">
      <c r="A799" s="1" t="s">
        <v>811</v>
      </c>
      <c r="B799" t="str">
        <f>HYPERLINK("https://www.suredividend.com/sure-analysis-research-database/","Innospec Inc")</f>
        <v>Innospec Inc</v>
      </c>
      <c r="C799" t="s">
        <v>1808</v>
      </c>
      <c r="D799">
        <v>117.23</v>
      </c>
      <c r="E799">
        <v>1.1949929272612E-2</v>
      </c>
      <c r="F799" t="s">
        <v>1797</v>
      </c>
      <c r="G799" t="s">
        <v>1797</v>
      </c>
      <c r="H799">
        <v>1.4008902086283419</v>
      </c>
      <c r="I799">
        <v>2915.017617</v>
      </c>
      <c r="J799">
        <v>22.989097924053631</v>
      </c>
      <c r="K799">
        <v>0.27630970584385439</v>
      </c>
      <c r="L799">
        <v>0.83055341286170803</v>
      </c>
      <c r="M799">
        <v>125.87</v>
      </c>
      <c r="N799">
        <v>90.52</v>
      </c>
    </row>
    <row r="800" spans="1:14" x14ac:dyDescent="0.25">
      <c r="A800" s="1" t="s">
        <v>812</v>
      </c>
      <c r="B800" t="str">
        <f>HYPERLINK("https://www.suredividend.com/sure-analysis-research-database/","Iovance Biotherapeutics Inc")</f>
        <v>Iovance Biotherapeutics Inc</v>
      </c>
      <c r="C800" t="s">
        <v>1802</v>
      </c>
      <c r="D800">
        <v>9.01</v>
      </c>
      <c r="E800">
        <v>0</v>
      </c>
      <c r="F800" t="s">
        <v>1797</v>
      </c>
      <c r="G800" t="s">
        <v>1797</v>
      </c>
      <c r="H800">
        <v>0</v>
      </c>
      <c r="I800">
        <v>2305.8252160000002</v>
      </c>
      <c r="J800">
        <v>0</v>
      </c>
      <c r="K800" t="s">
        <v>1797</v>
      </c>
      <c r="L800">
        <v>1.5979819760644021</v>
      </c>
      <c r="M800">
        <v>10.31</v>
      </c>
      <c r="N800">
        <v>3.21</v>
      </c>
    </row>
    <row r="801" spans="1:14" x14ac:dyDescent="0.25">
      <c r="A801" s="1" t="s">
        <v>813</v>
      </c>
      <c r="B801" t="str">
        <f>HYPERLINK("https://www.suredividend.com/sure-analysis-IPAR/","Inter Parfums, Inc.")</f>
        <v>Inter Parfums, Inc.</v>
      </c>
      <c r="C801" t="s">
        <v>1804</v>
      </c>
      <c r="D801">
        <v>139.55000000000001</v>
      </c>
      <c r="E801">
        <v>1.791472590469366E-2</v>
      </c>
      <c r="F801" t="s">
        <v>1797</v>
      </c>
      <c r="G801" t="s">
        <v>1797</v>
      </c>
      <c r="H801">
        <v>2.4658069192488741</v>
      </c>
      <c r="I801">
        <v>4462.8090000000002</v>
      </c>
      <c r="J801">
        <v>28.097315436241612</v>
      </c>
      <c r="K801">
        <v>0.49814281196946952</v>
      </c>
      <c r="L801">
        <v>1.033431252168111</v>
      </c>
      <c r="M801">
        <v>156.76</v>
      </c>
      <c r="N801">
        <v>104.89</v>
      </c>
    </row>
    <row r="802" spans="1:14" x14ac:dyDescent="0.25">
      <c r="A802" s="1" t="s">
        <v>814</v>
      </c>
      <c r="B802" t="str">
        <f>HYPERLINK("https://www.suredividend.com/sure-analysis-research-database/","Intrepid Potash Inc")</f>
        <v>Intrepid Potash Inc</v>
      </c>
      <c r="C802" t="s">
        <v>1808</v>
      </c>
      <c r="D802">
        <v>20.12</v>
      </c>
      <c r="E802">
        <v>0</v>
      </c>
      <c r="F802" t="s">
        <v>1797</v>
      </c>
      <c r="G802" t="s">
        <v>1797</v>
      </c>
      <c r="H802">
        <v>0</v>
      </c>
      <c r="I802">
        <v>264.71115400000002</v>
      </c>
      <c r="J802">
        <v>47.295185663748441</v>
      </c>
      <c r="K802">
        <v>0</v>
      </c>
      <c r="L802">
        <v>1.321741670574216</v>
      </c>
      <c r="M802">
        <v>34.51</v>
      </c>
      <c r="N802">
        <v>17.23</v>
      </c>
    </row>
    <row r="803" spans="1:14" x14ac:dyDescent="0.25">
      <c r="A803" s="1" t="s">
        <v>815</v>
      </c>
      <c r="B803" t="str">
        <f>HYPERLINK("https://www.suredividend.com/sure-analysis-research-database/","Century Therapeutics Inc")</f>
        <v>Century Therapeutics Inc</v>
      </c>
      <c r="C803" t="s">
        <v>1797</v>
      </c>
      <c r="D803">
        <v>3.84</v>
      </c>
      <c r="E803">
        <v>0</v>
      </c>
      <c r="F803" t="s">
        <v>1797</v>
      </c>
      <c r="G803" t="s">
        <v>1797</v>
      </c>
      <c r="H803">
        <v>0</v>
      </c>
      <c r="I803">
        <v>229.766277</v>
      </c>
      <c r="J803" t="s">
        <v>1797</v>
      </c>
      <c r="K803">
        <v>0</v>
      </c>
      <c r="L803">
        <v>1.1152728228429329</v>
      </c>
      <c r="M803">
        <v>5.34</v>
      </c>
      <c r="N803">
        <v>1.28</v>
      </c>
    </row>
    <row r="804" spans="1:14" x14ac:dyDescent="0.25">
      <c r="A804" s="1" t="s">
        <v>816</v>
      </c>
      <c r="B804" t="str">
        <f>HYPERLINK("https://www.suredividend.com/sure-analysis-research-database/","Irobot Corp")</f>
        <v>Irobot Corp</v>
      </c>
      <c r="C804" t="s">
        <v>1803</v>
      </c>
      <c r="D804">
        <v>29.98</v>
      </c>
      <c r="E804">
        <v>0</v>
      </c>
      <c r="F804" t="s">
        <v>1797</v>
      </c>
      <c r="G804" t="s">
        <v>1797</v>
      </c>
      <c r="H804">
        <v>0</v>
      </c>
      <c r="I804">
        <v>835.41083800000001</v>
      </c>
      <c r="J804" t="s">
        <v>1797</v>
      </c>
      <c r="K804">
        <v>0</v>
      </c>
      <c r="L804">
        <v>0.32055645099534702</v>
      </c>
      <c r="M804">
        <v>51.49</v>
      </c>
      <c r="N804">
        <v>28.23</v>
      </c>
    </row>
    <row r="805" spans="1:14" x14ac:dyDescent="0.25">
      <c r="A805" s="1" t="s">
        <v>817</v>
      </c>
      <c r="B805" t="str">
        <f>HYPERLINK("https://www.suredividend.com/sure-analysis-research-database/","Iridium Communications Inc")</f>
        <v>Iridium Communications Inc</v>
      </c>
      <c r="C805" t="s">
        <v>1806</v>
      </c>
      <c r="D805">
        <v>38.340000000000003</v>
      </c>
      <c r="E805">
        <v>1.3453766014382E-2</v>
      </c>
      <c r="F805" t="s">
        <v>1797</v>
      </c>
      <c r="G805" t="s">
        <v>1797</v>
      </c>
      <c r="H805">
        <v>0.51581738899143204</v>
      </c>
      <c r="I805">
        <v>4748.4306999999999</v>
      </c>
      <c r="J805" t="s">
        <v>1797</v>
      </c>
      <c r="K805" t="s">
        <v>1797</v>
      </c>
      <c r="L805">
        <v>0.67917960990098902</v>
      </c>
      <c r="M805">
        <v>67.39</v>
      </c>
      <c r="N805">
        <v>33.99</v>
      </c>
    </row>
    <row r="806" spans="1:14" x14ac:dyDescent="0.25">
      <c r="A806" s="1" t="s">
        <v>818</v>
      </c>
      <c r="B806" t="str">
        <f>HYPERLINK("https://www.suredividend.com/sure-analysis-research-database/","Iradimed Corp")</f>
        <v>Iradimed Corp</v>
      </c>
      <c r="C806" t="s">
        <v>1802</v>
      </c>
      <c r="D806">
        <v>45.3</v>
      </c>
      <c r="E806">
        <v>2.6338303897917002E-2</v>
      </c>
      <c r="F806" t="s">
        <v>1797</v>
      </c>
      <c r="G806" t="s">
        <v>1797</v>
      </c>
      <c r="H806">
        <v>1.1931251665756419</v>
      </c>
      <c r="I806">
        <v>571.23299999999995</v>
      </c>
      <c r="J806">
        <v>34.987649681160377</v>
      </c>
      <c r="K806">
        <v>0.92490322990359841</v>
      </c>
      <c r="L806">
        <v>0.7617272756088751</v>
      </c>
      <c r="M806">
        <v>50.7</v>
      </c>
      <c r="N806">
        <v>28.87</v>
      </c>
    </row>
    <row r="807" spans="1:14" x14ac:dyDescent="0.25">
      <c r="A807" s="1" t="s">
        <v>819</v>
      </c>
      <c r="B807" t="str">
        <f>HYPERLINK("https://www.suredividend.com/sure-analysis-research-database/","IronNet Inc")</f>
        <v>IronNet Inc</v>
      </c>
      <c r="C807" t="s">
        <v>1797</v>
      </c>
      <c r="D807">
        <v>0.127</v>
      </c>
      <c r="E807">
        <v>0</v>
      </c>
      <c r="F807" t="s">
        <v>1797</v>
      </c>
      <c r="G807" t="s">
        <v>1797</v>
      </c>
      <c r="H807">
        <v>0</v>
      </c>
      <c r="I807">
        <v>0</v>
      </c>
      <c r="J807">
        <v>0</v>
      </c>
      <c r="K807">
        <v>0</v>
      </c>
    </row>
    <row r="808" spans="1:14" x14ac:dyDescent="0.25">
      <c r="A808" s="1" t="s">
        <v>820</v>
      </c>
      <c r="B808" t="str">
        <f>HYPERLINK("https://www.suredividend.com/sure-analysis-IRT/","Independence Realty Trust Inc")</f>
        <v>Independence Realty Trust Inc</v>
      </c>
      <c r="C808" t="s">
        <v>1799</v>
      </c>
      <c r="D808">
        <v>15.21</v>
      </c>
      <c r="E808">
        <v>4.2077580539119003E-2</v>
      </c>
      <c r="F808">
        <v>0.14285714285714279</v>
      </c>
      <c r="G808">
        <v>-2.328131613882611E-2</v>
      </c>
      <c r="H808">
        <v>0.61068858244992408</v>
      </c>
      <c r="I808">
        <v>3417.8485909999999</v>
      </c>
      <c r="J808">
        <v>60.048641748480271</v>
      </c>
      <c r="K808">
        <v>2.4185686433660361</v>
      </c>
      <c r="L808">
        <v>1.238347353617087</v>
      </c>
      <c r="M808">
        <v>18.920000000000002</v>
      </c>
      <c r="N808">
        <v>11.49</v>
      </c>
    </row>
    <row r="809" spans="1:14" x14ac:dyDescent="0.25">
      <c r="A809" s="1" t="s">
        <v>821</v>
      </c>
      <c r="B809" t="str">
        <f>HYPERLINK("https://www.suredividend.com/sure-analysis-research-database/","iRhythm Technologies Inc")</f>
        <v>iRhythm Technologies Inc</v>
      </c>
      <c r="C809" t="s">
        <v>1802</v>
      </c>
      <c r="D809">
        <v>110.04</v>
      </c>
      <c r="E809">
        <v>0</v>
      </c>
      <c r="F809" t="s">
        <v>1797</v>
      </c>
      <c r="G809" t="s">
        <v>1797</v>
      </c>
      <c r="H809">
        <v>0</v>
      </c>
      <c r="I809">
        <v>3372.8094099999998</v>
      </c>
      <c r="J809" t="s">
        <v>1797</v>
      </c>
      <c r="K809">
        <v>0</v>
      </c>
      <c r="L809">
        <v>1.1689431855576491</v>
      </c>
      <c r="M809">
        <v>140.22999999999999</v>
      </c>
      <c r="N809">
        <v>70.239999999999995</v>
      </c>
    </row>
    <row r="810" spans="1:14" x14ac:dyDescent="0.25">
      <c r="A810" s="1" t="s">
        <v>822</v>
      </c>
      <c r="B810" t="str">
        <f>HYPERLINK("https://www.suredividend.com/sure-analysis-research-database/","Ironwood Pharmaceuticals Inc")</f>
        <v>Ironwood Pharmaceuticals Inc</v>
      </c>
      <c r="C810" t="s">
        <v>1802</v>
      </c>
      <c r="D810">
        <v>12.15</v>
      </c>
      <c r="E810">
        <v>0</v>
      </c>
      <c r="F810" t="s">
        <v>1797</v>
      </c>
      <c r="G810" t="s">
        <v>1797</v>
      </c>
      <c r="H810">
        <v>0</v>
      </c>
      <c r="I810">
        <v>1896.967909</v>
      </c>
      <c r="J810" t="s">
        <v>1797</v>
      </c>
      <c r="K810">
        <v>0</v>
      </c>
      <c r="L810">
        <v>0.7210456926513501</v>
      </c>
      <c r="M810">
        <v>12.84</v>
      </c>
      <c r="N810">
        <v>8.07</v>
      </c>
    </row>
    <row r="811" spans="1:14" x14ac:dyDescent="0.25">
      <c r="A811" s="1" t="s">
        <v>823</v>
      </c>
      <c r="B811" t="str">
        <f>HYPERLINK("https://www.suredividend.com/sure-analysis-research-database/","IVERIC bio Inc")</f>
        <v>IVERIC bio Inc</v>
      </c>
      <c r="C811" t="s">
        <v>1802</v>
      </c>
      <c r="D811">
        <v>39.950000000000003</v>
      </c>
      <c r="E811">
        <v>0</v>
      </c>
      <c r="F811" t="s">
        <v>1797</v>
      </c>
      <c r="G811" t="s">
        <v>1797</v>
      </c>
      <c r="H811">
        <v>0</v>
      </c>
      <c r="I811">
        <v>0</v>
      </c>
      <c r="J811">
        <v>0</v>
      </c>
      <c r="K811" t="s">
        <v>1797</v>
      </c>
    </row>
    <row r="812" spans="1:14" x14ac:dyDescent="0.25">
      <c r="A812" s="1" t="s">
        <v>824</v>
      </c>
      <c r="B812" t="str">
        <f>HYPERLINK("https://www.suredividend.com/sure-analysis-research-database/","Inspirato Incorporated")</f>
        <v>Inspirato Incorporated</v>
      </c>
      <c r="C812" t="s">
        <v>1797</v>
      </c>
      <c r="D812">
        <v>3.86</v>
      </c>
      <c r="E812">
        <v>0</v>
      </c>
      <c r="F812" t="s">
        <v>1797</v>
      </c>
      <c r="G812" t="s">
        <v>1797</v>
      </c>
      <c r="H812">
        <v>0</v>
      </c>
      <c r="I812">
        <v>13.482246999999999</v>
      </c>
      <c r="J812" t="s">
        <v>1797</v>
      </c>
      <c r="K812">
        <v>0</v>
      </c>
      <c r="L812">
        <v>1.1217310603538</v>
      </c>
      <c r="M812">
        <v>39.200000000000003</v>
      </c>
      <c r="N812">
        <v>3.15</v>
      </c>
    </row>
    <row r="813" spans="1:14" x14ac:dyDescent="0.25">
      <c r="A813" s="1" t="s">
        <v>825</v>
      </c>
      <c r="B813" t="str">
        <f>HYPERLINK("https://www.suredividend.com/sure-analysis-research-database/","Intra-Cellular Therapies Inc")</f>
        <v>Intra-Cellular Therapies Inc</v>
      </c>
      <c r="C813" t="s">
        <v>1802</v>
      </c>
      <c r="D813">
        <v>66.36</v>
      </c>
      <c r="E813">
        <v>0</v>
      </c>
      <c r="F813" t="s">
        <v>1797</v>
      </c>
      <c r="G813" t="s">
        <v>1797</v>
      </c>
      <c r="H813">
        <v>0</v>
      </c>
      <c r="I813">
        <v>6386.3620410000003</v>
      </c>
      <c r="J813">
        <v>0</v>
      </c>
      <c r="K813" t="s">
        <v>1797</v>
      </c>
      <c r="L813">
        <v>0.87667722782945512</v>
      </c>
      <c r="M813">
        <v>74.17</v>
      </c>
      <c r="N813">
        <v>42.01</v>
      </c>
    </row>
    <row r="814" spans="1:14" x14ac:dyDescent="0.25">
      <c r="A814" s="1" t="s">
        <v>826</v>
      </c>
      <c r="B814" t="str">
        <f>HYPERLINK("https://www.suredividend.com/sure-analysis-research-database/","Integer Holdings Corp")</f>
        <v>Integer Holdings Corp</v>
      </c>
      <c r="C814" t="s">
        <v>1802</v>
      </c>
      <c r="D814">
        <v>103.35</v>
      </c>
      <c r="E814">
        <v>0</v>
      </c>
      <c r="F814" t="s">
        <v>1797</v>
      </c>
      <c r="G814" t="s">
        <v>1797</v>
      </c>
      <c r="H814">
        <v>0</v>
      </c>
      <c r="I814">
        <v>3444.3089669999999</v>
      </c>
      <c r="J814">
        <v>41.7947939261012</v>
      </c>
      <c r="K814">
        <v>0</v>
      </c>
      <c r="L814">
        <v>0.69677014430727202</v>
      </c>
      <c r="M814">
        <v>103.72</v>
      </c>
      <c r="N814">
        <v>63</v>
      </c>
    </row>
    <row r="815" spans="1:14" x14ac:dyDescent="0.25">
      <c r="A815" s="1" t="s">
        <v>827</v>
      </c>
      <c r="B815" t="str">
        <f>HYPERLINK("https://www.suredividend.com/sure-analysis-research-database/","Investors Title Co.")</f>
        <v>Investors Title Co.</v>
      </c>
      <c r="C815" t="s">
        <v>1800</v>
      </c>
      <c r="D815">
        <v>165.28</v>
      </c>
      <c r="E815">
        <v>3.5228652740159003E-2</v>
      </c>
      <c r="F815">
        <v>7.695652173913043</v>
      </c>
      <c r="G815">
        <v>0.55496802487424457</v>
      </c>
      <c r="H815">
        <v>5.8225917248935444</v>
      </c>
      <c r="I815">
        <v>312.482169</v>
      </c>
      <c r="J815">
        <v>0</v>
      </c>
      <c r="K815" t="s">
        <v>1797</v>
      </c>
      <c r="M815">
        <v>166.88</v>
      </c>
      <c r="N815">
        <v>126.92</v>
      </c>
    </row>
    <row r="816" spans="1:14" x14ac:dyDescent="0.25">
      <c r="A816" s="1" t="s">
        <v>828</v>
      </c>
      <c r="B816" t="str">
        <f>HYPERLINK("https://www.suredividend.com/sure-analysis-research-database/","ITeos Therapeutics Inc")</f>
        <v>ITeos Therapeutics Inc</v>
      </c>
      <c r="C816" t="s">
        <v>1797</v>
      </c>
      <c r="D816">
        <v>11.33</v>
      </c>
      <c r="E816">
        <v>0</v>
      </c>
      <c r="F816" t="s">
        <v>1797</v>
      </c>
      <c r="G816" t="s">
        <v>1797</v>
      </c>
      <c r="H816">
        <v>0</v>
      </c>
      <c r="I816">
        <v>405.44357400000001</v>
      </c>
      <c r="J816" t="s">
        <v>1797</v>
      </c>
      <c r="K816">
        <v>0</v>
      </c>
      <c r="L816">
        <v>0.81521743774159505</v>
      </c>
      <c r="M816">
        <v>23</v>
      </c>
      <c r="N816">
        <v>8.1999999999999993</v>
      </c>
    </row>
    <row r="817" spans="1:14" x14ac:dyDescent="0.25">
      <c r="A817" s="1" t="s">
        <v>829</v>
      </c>
      <c r="B817" t="str">
        <f>HYPERLINK("https://www.suredividend.com/sure-analysis-research-database/","Itron Inc.")</f>
        <v>Itron Inc.</v>
      </c>
      <c r="C817" t="s">
        <v>1803</v>
      </c>
      <c r="D817">
        <v>72.569999999999993</v>
      </c>
      <c r="E817">
        <v>0</v>
      </c>
      <c r="F817" t="s">
        <v>1797</v>
      </c>
      <c r="G817" t="s">
        <v>1797</v>
      </c>
      <c r="H817">
        <v>0</v>
      </c>
      <c r="I817">
        <v>3301.4103190000001</v>
      </c>
      <c r="J817">
        <v>44.166615190838669</v>
      </c>
      <c r="K817">
        <v>0</v>
      </c>
      <c r="L817">
        <v>1.216128281554574</v>
      </c>
      <c r="M817">
        <v>79.989999999999995</v>
      </c>
      <c r="N817">
        <v>50.35</v>
      </c>
    </row>
    <row r="818" spans="1:14" x14ac:dyDescent="0.25">
      <c r="A818" s="1" t="s">
        <v>830</v>
      </c>
      <c r="B818" t="str">
        <f>HYPERLINK("https://www.suredividend.com/sure-analysis-research-database/","Invesco Mortgage Capital Inc")</f>
        <v>Invesco Mortgage Capital Inc</v>
      </c>
      <c r="C818" t="s">
        <v>1799</v>
      </c>
      <c r="D818">
        <v>9.17</v>
      </c>
      <c r="E818">
        <v>0.163983791193964</v>
      </c>
      <c r="F818">
        <v>-0.38461538461538458</v>
      </c>
      <c r="G818">
        <v>-2.328131613882611E-2</v>
      </c>
      <c r="H818">
        <v>1.503731365248651</v>
      </c>
      <c r="I818">
        <v>444.38394</v>
      </c>
      <c r="J818" t="s">
        <v>1797</v>
      </c>
      <c r="K818" t="s">
        <v>1797</v>
      </c>
      <c r="L818">
        <v>1.654692420483131</v>
      </c>
      <c r="M818">
        <v>13.28</v>
      </c>
      <c r="N818">
        <v>6.08</v>
      </c>
    </row>
    <row r="819" spans="1:14" x14ac:dyDescent="0.25">
      <c r="A819" s="1" t="s">
        <v>831</v>
      </c>
      <c r="B819" t="str">
        <f>HYPERLINK("https://www.suredividend.com/sure-analysis-research-database/","InvenTrust Properties Corp")</f>
        <v>InvenTrust Properties Corp</v>
      </c>
      <c r="C819" t="s">
        <v>1797</v>
      </c>
      <c r="D819">
        <v>25.41</v>
      </c>
      <c r="E819">
        <v>3.3481440370974003E-2</v>
      </c>
      <c r="F819" t="s">
        <v>1797</v>
      </c>
      <c r="G819" t="s">
        <v>1797</v>
      </c>
      <c r="H819">
        <v>0.85076339982644911</v>
      </c>
      <c r="I819">
        <v>1715.9712219999999</v>
      </c>
      <c r="J819">
        <v>0</v>
      </c>
      <c r="K819" t="s">
        <v>1797</v>
      </c>
      <c r="L819">
        <v>0.97022248504043807</v>
      </c>
      <c r="M819">
        <v>27.02</v>
      </c>
      <c r="N819">
        <v>20.18</v>
      </c>
    </row>
    <row r="820" spans="1:14" x14ac:dyDescent="0.25">
      <c r="A820" s="1" t="s">
        <v>832</v>
      </c>
      <c r="B820" t="str">
        <f>HYPERLINK("https://www.suredividend.com/sure-analysis-research-database/","Invivyd Inc")</f>
        <v>Invivyd Inc</v>
      </c>
      <c r="C820" t="s">
        <v>1797</v>
      </c>
      <c r="D820">
        <v>4.24</v>
      </c>
      <c r="E820">
        <v>0</v>
      </c>
      <c r="F820" t="s">
        <v>1797</v>
      </c>
      <c r="G820" t="s">
        <v>1797</v>
      </c>
      <c r="H820">
        <v>0</v>
      </c>
      <c r="I820">
        <v>466.88742999999999</v>
      </c>
      <c r="J820">
        <v>0</v>
      </c>
      <c r="K820" t="s">
        <v>1797</v>
      </c>
      <c r="L820">
        <v>0.72982821127792508</v>
      </c>
      <c r="M820">
        <v>4.71</v>
      </c>
      <c r="N820">
        <v>0.98020000000000007</v>
      </c>
    </row>
    <row r="821" spans="1:14" x14ac:dyDescent="0.25">
      <c r="A821" s="1" t="s">
        <v>833</v>
      </c>
      <c r="B821" t="str">
        <f>HYPERLINK("https://www.suredividend.com/sure-analysis-JACK/","Jack In The Box, Inc.")</f>
        <v>Jack In The Box, Inc.</v>
      </c>
      <c r="C821" t="s">
        <v>1801</v>
      </c>
      <c r="D821">
        <v>74.91</v>
      </c>
      <c r="E821">
        <v>2.3494860499265791E-2</v>
      </c>
      <c r="F821" t="s">
        <v>1797</v>
      </c>
      <c r="G821" t="s">
        <v>1797</v>
      </c>
      <c r="H821">
        <v>1.731917532654877</v>
      </c>
      <c r="I821">
        <v>1478.4824149999999</v>
      </c>
      <c r="J821">
        <v>11.30113597090792</v>
      </c>
      <c r="K821">
        <v>0.2749075448658535</v>
      </c>
      <c r="L821">
        <v>0.97607223992191505</v>
      </c>
      <c r="M821">
        <v>97.41</v>
      </c>
      <c r="N821">
        <v>59.76</v>
      </c>
    </row>
    <row r="822" spans="1:14" x14ac:dyDescent="0.25">
      <c r="A822" s="1" t="s">
        <v>834</v>
      </c>
      <c r="B822" t="str">
        <f>HYPERLINK("https://www.suredividend.com/sure-analysis-research-database/","Janux Therapeutics Inc")</f>
        <v>Janux Therapeutics Inc</v>
      </c>
      <c r="C822" t="s">
        <v>1797</v>
      </c>
      <c r="D822">
        <v>10.15</v>
      </c>
      <c r="E822">
        <v>0</v>
      </c>
      <c r="F822" t="s">
        <v>1797</v>
      </c>
      <c r="G822" t="s">
        <v>1797</v>
      </c>
      <c r="H822">
        <v>0</v>
      </c>
      <c r="I822">
        <v>468.60956499999998</v>
      </c>
      <c r="J822" t="s">
        <v>1797</v>
      </c>
      <c r="K822">
        <v>0</v>
      </c>
      <c r="L822">
        <v>2.1851762419801068</v>
      </c>
      <c r="M822">
        <v>23.64</v>
      </c>
      <c r="N822">
        <v>5.65</v>
      </c>
    </row>
    <row r="823" spans="1:14" x14ac:dyDescent="0.25">
      <c r="A823" s="1" t="s">
        <v>835</v>
      </c>
      <c r="B823" t="str">
        <f>HYPERLINK("https://www.suredividend.com/sure-analysis-research-database/","Janus International Group Inc")</f>
        <v>Janus International Group Inc</v>
      </c>
      <c r="C823" t="s">
        <v>1797</v>
      </c>
      <c r="D823">
        <v>13.85</v>
      </c>
      <c r="E823">
        <v>0</v>
      </c>
      <c r="F823" t="s">
        <v>1797</v>
      </c>
      <c r="G823" t="s">
        <v>1797</v>
      </c>
      <c r="H823">
        <v>0</v>
      </c>
      <c r="I823">
        <v>2033.5735890000001</v>
      </c>
      <c r="J823">
        <v>15.326672715967501</v>
      </c>
      <c r="K823">
        <v>0</v>
      </c>
      <c r="L823">
        <v>1.141993133414885</v>
      </c>
      <c r="M823">
        <v>14.3</v>
      </c>
      <c r="N823">
        <v>8.66</v>
      </c>
    </row>
    <row r="824" spans="1:14" x14ac:dyDescent="0.25">
      <c r="A824" s="1" t="s">
        <v>836</v>
      </c>
      <c r="B824" t="str">
        <f>HYPERLINK("https://www.suredividend.com/sure-analysis-research-database/","Sanfilippo (John B.) &amp; Son, Inc")</f>
        <v>Sanfilippo (John B.) &amp; Son, Inc</v>
      </c>
      <c r="C824" t="s">
        <v>1804</v>
      </c>
      <c r="D824">
        <v>105.43</v>
      </c>
      <c r="E824">
        <v>7.5879731757650002E-3</v>
      </c>
      <c r="F824" t="s">
        <v>1797</v>
      </c>
      <c r="G824" t="s">
        <v>1797</v>
      </c>
      <c r="H824">
        <v>0.80000001192092907</v>
      </c>
      <c r="I824">
        <v>945.70709999999997</v>
      </c>
      <c r="J824">
        <v>14.571758089368259</v>
      </c>
      <c r="K824">
        <v>0.1436265730558221</v>
      </c>
      <c r="L824">
        <v>0.31709076605214298</v>
      </c>
      <c r="M824">
        <v>124.82</v>
      </c>
      <c r="N824">
        <v>73.09</v>
      </c>
    </row>
    <row r="825" spans="1:14" x14ac:dyDescent="0.25">
      <c r="A825" s="1" t="s">
        <v>837</v>
      </c>
      <c r="B825" t="str">
        <f>HYPERLINK("https://www.suredividend.com/sure-analysis-research-database/","John Bean Technologies Corp")</f>
        <v>John Bean Technologies Corp</v>
      </c>
      <c r="C825" t="s">
        <v>1798</v>
      </c>
      <c r="D825">
        <v>93.86</v>
      </c>
      <c r="E825">
        <v>4.2557339917900002E-3</v>
      </c>
      <c r="F825">
        <v>0</v>
      </c>
      <c r="G825">
        <v>0</v>
      </c>
      <c r="H825">
        <v>0.39944319246948201</v>
      </c>
      <c r="I825">
        <v>2988.3847000000001</v>
      </c>
      <c r="J825">
        <v>5.3202504888018511</v>
      </c>
      <c r="K825">
        <v>2.2554669252935179E-2</v>
      </c>
      <c r="L825">
        <v>1.3373522019059401</v>
      </c>
      <c r="M825">
        <v>125.65</v>
      </c>
      <c r="N825">
        <v>90.21</v>
      </c>
    </row>
    <row r="826" spans="1:14" x14ac:dyDescent="0.25">
      <c r="A826" s="1" t="s">
        <v>838</v>
      </c>
      <c r="B826" t="str">
        <f>HYPERLINK("https://www.suredividend.com/sure-analysis-research-database/","JELD-WEN Holding Inc.")</f>
        <v>JELD-WEN Holding Inc.</v>
      </c>
      <c r="C826" t="s">
        <v>1798</v>
      </c>
      <c r="D826">
        <v>18.2</v>
      </c>
      <c r="E826">
        <v>0</v>
      </c>
      <c r="F826" t="s">
        <v>1797</v>
      </c>
      <c r="G826" t="s">
        <v>1797</v>
      </c>
      <c r="H826">
        <v>0</v>
      </c>
      <c r="I826">
        <v>1550.914565</v>
      </c>
      <c r="J826">
        <v>11.855241629402011</v>
      </c>
      <c r="K826">
        <v>0</v>
      </c>
      <c r="L826">
        <v>1.8773160879153381</v>
      </c>
      <c r="M826">
        <v>19.690000000000001</v>
      </c>
      <c r="N826">
        <v>10.59</v>
      </c>
    </row>
    <row r="827" spans="1:14" x14ac:dyDescent="0.25">
      <c r="A827" s="1" t="s">
        <v>839</v>
      </c>
      <c r="B827" t="str">
        <f>HYPERLINK("https://www.suredividend.com/sure-analysis-JJSF/","J&amp;J Snack Foods Corp.")</f>
        <v>J&amp;J Snack Foods Corp.</v>
      </c>
      <c r="C827" t="s">
        <v>1804</v>
      </c>
      <c r="D827">
        <v>161.72999999999999</v>
      </c>
      <c r="E827">
        <v>1.8178445557410501E-2</v>
      </c>
      <c r="F827">
        <v>4.9999999999999822E-2</v>
      </c>
      <c r="G827">
        <v>8.0098758658889491E-2</v>
      </c>
      <c r="H827">
        <v>2.8336026270739998</v>
      </c>
      <c r="I827">
        <v>3132.253213</v>
      </c>
      <c r="J827">
        <v>39.696008069728528</v>
      </c>
      <c r="K827">
        <v>0.69451044781225479</v>
      </c>
      <c r="L827">
        <v>0.36649487475408798</v>
      </c>
      <c r="M827">
        <v>174.86</v>
      </c>
      <c r="N827">
        <v>129.16999999999999</v>
      </c>
    </row>
    <row r="828" spans="1:14" x14ac:dyDescent="0.25">
      <c r="A828" s="1" t="s">
        <v>840</v>
      </c>
      <c r="B828" t="str">
        <f>HYPERLINK("https://www.suredividend.com/sure-analysis-research-database/","John Marshall Bancorp Inc")</f>
        <v>John Marshall Bancorp Inc</v>
      </c>
      <c r="C828" t="s">
        <v>1800</v>
      </c>
      <c r="D828">
        <v>21.18</v>
      </c>
      <c r="E828">
        <v>1.0387157639655E-2</v>
      </c>
      <c r="F828" t="s">
        <v>1797</v>
      </c>
      <c r="G828" t="s">
        <v>1797</v>
      </c>
      <c r="H828">
        <v>0.21999999880790699</v>
      </c>
      <c r="I828">
        <v>299.19045899999998</v>
      </c>
      <c r="J828">
        <v>0</v>
      </c>
      <c r="K828" t="s">
        <v>1797</v>
      </c>
      <c r="L828">
        <v>1.2942633939024779</v>
      </c>
      <c r="M828">
        <v>27.59</v>
      </c>
      <c r="N828">
        <v>14.38</v>
      </c>
    </row>
    <row r="829" spans="1:14" x14ac:dyDescent="0.25">
      <c r="A829" s="1" t="s">
        <v>841</v>
      </c>
      <c r="B829" t="str">
        <f>HYPERLINK("https://www.suredividend.com/sure-analysis-research-database/","JOANN Inc")</f>
        <v>JOANN Inc</v>
      </c>
      <c r="C829" t="s">
        <v>1797</v>
      </c>
      <c r="D829">
        <v>0.46989999999999998</v>
      </c>
      <c r="E829">
        <v>0</v>
      </c>
      <c r="F829" t="s">
        <v>1797</v>
      </c>
      <c r="G829" t="s">
        <v>1797</v>
      </c>
      <c r="H829">
        <v>0</v>
      </c>
      <c r="I829">
        <v>19.694285000000001</v>
      </c>
      <c r="J829" t="s">
        <v>1797</v>
      </c>
      <c r="K829">
        <v>0</v>
      </c>
      <c r="L829">
        <v>1.075347837804205</v>
      </c>
      <c r="M829">
        <v>4.84</v>
      </c>
      <c r="N829">
        <v>0.39140000000000003</v>
      </c>
    </row>
    <row r="830" spans="1:14" x14ac:dyDescent="0.25">
      <c r="A830" s="1" t="s">
        <v>842</v>
      </c>
      <c r="B830" t="str">
        <f>HYPERLINK("https://www.suredividend.com/sure-analysis-research-database/","Joby Aviation Inc")</f>
        <v>Joby Aviation Inc</v>
      </c>
      <c r="C830" t="s">
        <v>1797</v>
      </c>
      <c r="D830">
        <v>5.89</v>
      </c>
      <c r="E830">
        <v>0</v>
      </c>
      <c r="F830" t="s">
        <v>1797</v>
      </c>
      <c r="G830" t="s">
        <v>1797</v>
      </c>
      <c r="H830">
        <v>0</v>
      </c>
      <c r="I830">
        <v>4101.3215309999996</v>
      </c>
      <c r="J830">
        <v>0</v>
      </c>
      <c r="K830" t="s">
        <v>1797</v>
      </c>
      <c r="L830">
        <v>2.5583952964720869</v>
      </c>
      <c r="M830">
        <v>11.98</v>
      </c>
      <c r="N830">
        <v>3.68</v>
      </c>
    </row>
    <row r="831" spans="1:14" x14ac:dyDescent="0.25">
      <c r="A831" s="1" t="s">
        <v>843</v>
      </c>
      <c r="B831" t="str">
        <f>HYPERLINK("https://www.suredividend.com/sure-analysis-research-database/","St. Joe Co.")</f>
        <v>St. Joe Co.</v>
      </c>
      <c r="C831" t="s">
        <v>1799</v>
      </c>
      <c r="D831">
        <v>56.37</v>
      </c>
      <c r="E831">
        <v>7.7808767884240014E-3</v>
      </c>
      <c r="F831" t="s">
        <v>1797</v>
      </c>
      <c r="G831" t="s">
        <v>1797</v>
      </c>
      <c r="H831">
        <v>0.43860802456348602</v>
      </c>
      <c r="I831">
        <v>3290.4318950000002</v>
      </c>
      <c r="J831">
        <v>35.512728884571793</v>
      </c>
      <c r="K831">
        <v>0.27585410349904782</v>
      </c>
      <c r="L831">
        <v>1.054447061988858</v>
      </c>
      <c r="M831">
        <v>65.7</v>
      </c>
      <c r="N831">
        <v>38.44</v>
      </c>
    </row>
    <row r="832" spans="1:14" x14ac:dyDescent="0.25">
      <c r="A832" s="1" t="s">
        <v>844</v>
      </c>
      <c r="B832" t="str">
        <f>HYPERLINK("https://www.suredividend.com/sure-analysis-research-database/","Johnson Outdoors Inc")</f>
        <v>Johnson Outdoors Inc</v>
      </c>
      <c r="C832" t="s">
        <v>1801</v>
      </c>
      <c r="D832">
        <v>48.7</v>
      </c>
      <c r="E832">
        <v>2.5796294806950001E-2</v>
      </c>
      <c r="F832">
        <v>6.4516129032258229E-2</v>
      </c>
      <c r="G832">
        <v>0.18707232699504719</v>
      </c>
      <c r="H832">
        <v>1.2562795570984751</v>
      </c>
      <c r="I832">
        <v>442.01288799999998</v>
      </c>
      <c r="J832">
        <v>22.770084895940659</v>
      </c>
      <c r="K832">
        <v>0.66119976689393423</v>
      </c>
      <c r="L832">
        <v>1.075206860526849</v>
      </c>
      <c r="M832">
        <v>68.930000000000007</v>
      </c>
      <c r="N832">
        <v>43.75</v>
      </c>
    </row>
    <row r="833" spans="1:14" x14ac:dyDescent="0.25">
      <c r="A833" s="1" t="s">
        <v>845</v>
      </c>
      <c r="B833" t="str">
        <f>HYPERLINK("https://www.suredividend.com/sure-analysis-research-database/","James River Group Holdings Ltd")</f>
        <v>James River Group Holdings Ltd</v>
      </c>
      <c r="C833" t="s">
        <v>1800</v>
      </c>
      <c r="D833">
        <v>8.3800000000000008</v>
      </c>
      <c r="E833">
        <v>2.3551299705977E-2</v>
      </c>
      <c r="F833">
        <v>0</v>
      </c>
      <c r="G833">
        <v>-0.30117288122842079</v>
      </c>
      <c r="H833">
        <v>0.19735989153608799</v>
      </c>
      <c r="I833">
        <v>315.41958</v>
      </c>
      <c r="J833">
        <v>6.0311977482886538</v>
      </c>
      <c r="K833">
        <v>0.1430144141565855</v>
      </c>
      <c r="L833">
        <v>1.0426751898126421</v>
      </c>
      <c r="M833">
        <v>24.29</v>
      </c>
      <c r="N833">
        <v>8.06</v>
      </c>
    </row>
    <row r="834" spans="1:14" x14ac:dyDescent="0.25">
      <c r="A834" s="1" t="s">
        <v>846</v>
      </c>
      <c r="B834" t="str">
        <f>HYPERLINK("https://www.suredividend.com/sure-analysis-JXN/","Jackson Financial Inc")</f>
        <v>Jackson Financial Inc</v>
      </c>
      <c r="C834" t="s">
        <v>1797</v>
      </c>
      <c r="D834">
        <v>49.91</v>
      </c>
      <c r="E834">
        <v>4.9689440993788823E-2</v>
      </c>
      <c r="F834" t="s">
        <v>1797</v>
      </c>
      <c r="G834" t="s">
        <v>1797</v>
      </c>
      <c r="H834">
        <v>2.4236102725032249</v>
      </c>
      <c r="I834">
        <v>3967.8482439999998</v>
      </c>
      <c r="J834">
        <v>2.2557409005969289</v>
      </c>
      <c r="K834">
        <v>0.11640779406835849</v>
      </c>
      <c r="L834">
        <v>1.6420766306110739</v>
      </c>
      <c r="M834">
        <v>53</v>
      </c>
      <c r="N834">
        <v>25.39</v>
      </c>
    </row>
    <row r="835" spans="1:14" x14ac:dyDescent="0.25">
      <c r="A835" s="1" t="s">
        <v>847</v>
      </c>
      <c r="B835" t="str">
        <f>HYPERLINK("https://www.suredividend.com/sure-analysis-research-database/","Joint Corp")</f>
        <v>Joint Corp</v>
      </c>
      <c r="C835" t="s">
        <v>1802</v>
      </c>
      <c r="D835">
        <v>9.0500000000000007</v>
      </c>
      <c r="E835">
        <v>0</v>
      </c>
      <c r="F835" t="s">
        <v>1797</v>
      </c>
      <c r="G835" t="s">
        <v>1797</v>
      </c>
      <c r="H835">
        <v>0</v>
      </c>
      <c r="I835">
        <v>133.526297</v>
      </c>
      <c r="J835">
        <v>103.8267572619706</v>
      </c>
      <c r="K835">
        <v>0</v>
      </c>
      <c r="L835">
        <v>1.1961633570550541</v>
      </c>
      <c r="M835">
        <v>20</v>
      </c>
      <c r="N835">
        <v>7.31</v>
      </c>
    </row>
    <row r="836" spans="1:14" x14ac:dyDescent="0.25">
      <c r="A836" s="1" t="s">
        <v>848</v>
      </c>
      <c r="B836" t="str">
        <f>HYPERLINK("https://www.suredividend.com/sure-analysis-research-database/","Kadant, Inc.")</f>
        <v>Kadant, Inc.</v>
      </c>
      <c r="C836" t="s">
        <v>1798</v>
      </c>
      <c r="D836">
        <v>262.70999999999998</v>
      </c>
      <c r="E836">
        <v>4.4076957179530014E-3</v>
      </c>
      <c r="F836">
        <v>0.1153846153846152</v>
      </c>
      <c r="G836">
        <v>4.7451763732829999E-2</v>
      </c>
      <c r="H836">
        <v>1.1579457420636929</v>
      </c>
      <c r="I836">
        <v>3075.5711900000001</v>
      </c>
      <c r="J836">
        <v>26.80189617749582</v>
      </c>
      <c r="K836">
        <v>0.1182784210483854</v>
      </c>
      <c r="L836">
        <v>0.96508775208636211</v>
      </c>
      <c r="M836">
        <v>287.94</v>
      </c>
      <c r="N836">
        <v>182.51</v>
      </c>
    </row>
    <row r="837" spans="1:14" x14ac:dyDescent="0.25">
      <c r="A837" s="1" t="s">
        <v>849</v>
      </c>
      <c r="B837" t="str">
        <f>HYPERLINK("https://www.suredividend.com/sure-analysis-KALU/","Kaiser Aluminum Corp")</f>
        <v>Kaiser Aluminum Corp</v>
      </c>
      <c r="C837" t="s">
        <v>1808</v>
      </c>
      <c r="D837">
        <v>63.85</v>
      </c>
      <c r="E837">
        <v>4.8238057948316357E-2</v>
      </c>
      <c r="F837">
        <v>0</v>
      </c>
      <c r="G837">
        <v>5.1157745950071609E-2</v>
      </c>
      <c r="H837">
        <v>2.9922895787871981</v>
      </c>
      <c r="I837">
        <v>1022.524165</v>
      </c>
      <c r="J837">
        <v>77.463951886363645</v>
      </c>
      <c r="K837">
        <v>3.6265780860346601</v>
      </c>
      <c r="L837">
        <v>1.984596872547876</v>
      </c>
      <c r="M837">
        <v>89.19</v>
      </c>
      <c r="N837">
        <v>53.67</v>
      </c>
    </row>
    <row r="838" spans="1:14" x14ac:dyDescent="0.25">
      <c r="A838" s="1" t="s">
        <v>850</v>
      </c>
      <c r="B838" t="str">
        <f>HYPERLINK("https://www.suredividend.com/sure-analysis-research-database/","KalVista Pharmaceuticals Inc")</f>
        <v>KalVista Pharmaceuticals Inc</v>
      </c>
      <c r="C838" t="s">
        <v>1802</v>
      </c>
      <c r="D838">
        <v>12.96</v>
      </c>
      <c r="E838">
        <v>0</v>
      </c>
      <c r="F838" t="s">
        <v>1797</v>
      </c>
      <c r="G838" t="s">
        <v>1797</v>
      </c>
      <c r="H838">
        <v>0</v>
      </c>
      <c r="I838">
        <v>447.88086900000002</v>
      </c>
      <c r="J838" t="s">
        <v>1797</v>
      </c>
      <c r="K838">
        <v>0</v>
      </c>
      <c r="L838">
        <v>1.300594499888976</v>
      </c>
      <c r="M838">
        <v>13.37</v>
      </c>
      <c r="N838">
        <v>6.26</v>
      </c>
    </row>
    <row r="839" spans="1:14" x14ac:dyDescent="0.25">
      <c r="A839" s="1" t="s">
        <v>851</v>
      </c>
      <c r="B839" t="str">
        <f>HYPERLINK("https://www.suredividend.com/sure-analysis-research-database/","Kaman Corp.")</f>
        <v>Kaman Corp.</v>
      </c>
      <c r="C839" t="s">
        <v>1798</v>
      </c>
      <c r="D839">
        <v>23.1</v>
      </c>
      <c r="E839">
        <v>3.4172658255237E-2</v>
      </c>
      <c r="F839">
        <v>0</v>
      </c>
      <c r="G839">
        <v>0</v>
      </c>
      <c r="H839">
        <v>0.78938840569599111</v>
      </c>
      <c r="I839">
        <v>652.72258599999998</v>
      </c>
      <c r="J839" t="s">
        <v>1797</v>
      </c>
      <c r="K839" t="s">
        <v>1797</v>
      </c>
      <c r="L839">
        <v>1.272475230353834</v>
      </c>
      <c r="M839">
        <v>25.56</v>
      </c>
      <c r="N839">
        <v>17.91</v>
      </c>
    </row>
    <row r="840" spans="1:14" x14ac:dyDescent="0.25">
      <c r="A840" s="1" t="s">
        <v>852</v>
      </c>
      <c r="B840" t="str">
        <f>HYPERLINK("https://www.suredividend.com/sure-analysis-research-database/","Openlane Inc.")</f>
        <v>Openlane Inc.</v>
      </c>
      <c r="C840" t="s">
        <v>1801</v>
      </c>
      <c r="D840">
        <v>14.06</v>
      </c>
      <c r="E840">
        <v>0</v>
      </c>
      <c r="F840" t="s">
        <v>1797</v>
      </c>
      <c r="G840" t="s">
        <v>1797</v>
      </c>
      <c r="H840">
        <v>0</v>
      </c>
      <c r="I840">
        <v>1518.739519</v>
      </c>
      <c r="J840">
        <v>26.140094999655769</v>
      </c>
      <c r="K840">
        <v>0</v>
      </c>
      <c r="L840">
        <v>1.130473919930965</v>
      </c>
      <c r="M840">
        <v>16.489999999999998</v>
      </c>
      <c r="N840">
        <v>12.19</v>
      </c>
    </row>
    <row r="841" spans="1:14" x14ac:dyDescent="0.25">
      <c r="A841" s="1" t="s">
        <v>853</v>
      </c>
      <c r="B841" t="str">
        <f>HYPERLINK("https://www.suredividend.com/sure-analysis-research-database/","KB Home")</f>
        <v>KB Home</v>
      </c>
      <c r="C841" t="s">
        <v>1801</v>
      </c>
      <c r="D841">
        <v>60.63</v>
      </c>
      <c r="E841">
        <v>1.1487098787101E-2</v>
      </c>
      <c r="F841">
        <v>0.33333333333333348</v>
      </c>
      <c r="G841">
        <v>-4.3647500209962997E-2</v>
      </c>
      <c r="H841">
        <v>0.69646279946193601</v>
      </c>
      <c r="I841">
        <v>4809.091144</v>
      </c>
      <c r="J841">
        <v>7.3781359459683378</v>
      </c>
      <c r="K841">
        <v>9.0922036483281468E-2</v>
      </c>
      <c r="L841">
        <v>1.3879674130257189</v>
      </c>
      <c r="M841">
        <v>64</v>
      </c>
      <c r="N841">
        <v>33.549999999999997</v>
      </c>
    </row>
    <row r="842" spans="1:14" x14ac:dyDescent="0.25">
      <c r="A842" s="1" t="s">
        <v>854</v>
      </c>
      <c r="B842" t="str">
        <f>HYPERLINK("https://www.suredividend.com/sure-analysis-research-database/","Chinook Therapeutics Inc")</f>
        <v>Chinook Therapeutics Inc</v>
      </c>
      <c r="C842" t="s">
        <v>1797</v>
      </c>
      <c r="D842">
        <v>40.39</v>
      </c>
      <c r="E842">
        <v>0</v>
      </c>
      <c r="F842" t="s">
        <v>1797</v>
      </c>
      <c r="G842" t="s">
        <v>1797</v>
      </c>
      <c r="H842">
        <v>0</v>
      </c>
      <c r="I842">
        <v>0</v>
      </c>
      <c r="J842">
        <v>0</v>
      </c>
      <c r="K842" t="s">
        <v>1797</v>
      </c>
    </row>
    <row r="843" spans="1:14" x14ac:dyDescent="0.25">
      <c r="A843" s="1" t="s">
        <v>855</v>
      </c>
      <c r="B843" t="str">
        <f>HYPERLINK("https://www.suredividend.com/sure-analysis-research-database/","Kimball Electronics Inc")</f>
        <v>Kimball Electronics Inc</v>
      </c>
      <c r="C843" t="s">
        <v>1798</v>
      </c>
      <c r="D843">
        <v>24.63</v>
      </c>
      <c r="E843">
        <v>0</v>
      </c>
      <c r="F843" t="s">
        <v>1797</v>
      </c>
      <c r="G843" t="s">
        <v>1797</v>
      </c>
      <c r="H843">
        <v>0</v>
      </c>
      <c r="I843">
        <v>611.93599500000005</v>
      </c>
      <c r="J843">
        <v>10.721423982759831</v>
      </c>
      <c r="K843">
        <v>0</v>
      </c>
      <c r="L843">
        <v>1.283859425569311</v>
      </c>
      <c r="M843">
        <v>31.43</v>
      </c>
      <c r="N843">
        <v>19.52</v>
      </c>
    </row>
    <row r="844" spans="1:14" x14ac:dyDescent="0.25">
      <c r="A844" s="1" t="s">
        <v>856</v>
      </c>
      <c r="B844" t="str">
        <f>HYPERLINK("https://www.suredividend.com/sure-analysis-research-database/","Kelly Services, Inc.")</f>
        <v>Kelly Services, Inc.</v>
      </c>
      <c r="C844" t="s">
        <v>1798</v>
      </c>
      <c r="D844">
        <v>20.29</v>
      </c>
      <c r="E844">
        <v>1.4615871150551E-2</v>
      </c>
      <c r="F844" t="s">
        <v>1797</v>
      </c>
      <c r="G844" t="s">
        <v>1797</v>
      </c>
      <c r="H844">
        <v>0.29655602564469802</v>
      </c>
      <c r="I844">
        <v>714.77563699999996</v>
      </c>
      <c r="J844">
        <v>30.287103241525429</v>
      </c>
      <c r="K844">
        <v>0.46271809275190828</v>
      </c>
      <c r="L844">
        <v>0.87610175201419005</v>
      </c>
      <c r="M844">
        <v>22.43</v>
      </c>
      <c r="N844">
        <v>14.87</v>
      </c>
    </row>
    <row r="845" spans="1:14" x14ac:dyDescent="0.25">
      <c r="A845" s="1" t="s">
        <v>857</v>
      </c>
      <c r="B845" t="str">
        <f>HYPERLINK("https://www.suredividend.com/sure-analysis-research-database/","Kforce Inc.")</f>
        <v>Kforce Inc.</v>
      </c>
      <c r="C845" t="s">
        <v>1798</v>
      </c>
      <c r="D845">
        <v>64.84</v>
      </c>
      <c r="E845">
        <v>2.1831976793077999E-2</v>
      </c>
      <c r="F845">
        <v>0.19999999999999971</v>
      </c>
      <c r="G845">
        <v>0.1486983549970351</v>
      </c>
      <c r="H845">
        <v>1.4155853752632011</v>
      </c>
      <c r="I845">
        <v>1281.17356</v>
      </c>
      <c r="J845">
        <v>24.435421029543591</v>
      </c>
      <c r="K845">
        <v>0.53217495310646656</v>
      </c>
      <c r="L845">
        <v>0.78157114389829507</v>
      </c>
      <c r="M845">
        <v>70.42</v>
      </c>
      <c r="N845">
        <v>49.13</v>
      </c>
    </row>
    <row r="846" spans="1:14" x14ac:dyDescent="0.25">
      <c r="A846" s="1" t="s">
        <v>858</v>
      </c>
      <c r="B846" t="str">
        <f>HYPERLINK("https://www.suredividend.com/sure-analysis-research-database/","Korn Ferry")</f>
        <v>Korn Ferry</v>
      </c>
      <c r="C846" t="s">
        <v>1798</v>
      </c>
      <c r="D846">
        <v>56.13</v>
      </c>
      <c r="E846">
        <v>1.4883377009055E-2</v>
      </c>
      <c r="F846">
        <v>1.2</v>
      </c>
      <c r="G846">
        <v>0.26970487769000417</v>
      </c>
      <c r="H846">
        <v>0.83540395151830105</v>
      </c>
      <c r="I846">
        <v>2949.1334019999999</v>
      </c>
      <c r="J846">
        <v>29.174210357217049</v>
      </c>
      <c r="K846">
        <v>0.4262265058766842</v>
      </c>
      <c r="L846">
        <v>1.0533574060332509</v>
      </c>
      <c r="M846">
        <v>60.22</v>
      </c>
      <c r="N846">
        <v>44.11</v>
      </c>
    </row>
    <row r="847" spans="1:14" x14ac:dyDescent="0.25">
      <c r="A847" s="1" t="s">
        <v>859</v>
      </c>
      <c r="B847" t="str">
        <f>HYPERLINK("https://www.suredividend.com/sure-analysis-research-database/","OrthoPediatrics corp")</f>
        <v>OrthoPediatrics corp</v>
      </c>
      <c r="C847" t="s">
        <v>1802</v>
      </c>
      <c r="D847">
        <v>28.66</v>
      </c>
      <c r="E847">
        <v>0</v>
      </c>
      <c r="F847" t="s">
        <v>1797</v>
      </c>
      <c r="G847" t="s">
        <v>1797</v>
      </c>
      <c r="H847">
        <v>0</v>
      </c>
      <c r="I847">
        <v>669.30798500000003</v>
      </c>
      <c r="J847" t="s">
        <v>1797</v>
      </c>
      <c r="K847">
        <v>0</v>
      </c>
      <c r="L847">
        <v>1.5532769794880019</v>
      </c>
      <c r="M847">
        <v>53.5</v>
      </c>
      <c r="N847">
        <v>23.1</v>
      </c>
    </row>
    <row r="848" spans="1:14" x14ac:dyDescent="0.25">
      <c r="A848" s="1" t="s">
        <v>860</v>
      </c>
      <c r="B848" t="str">
        <f>HYPERLINK("https://www.suredividend.com/sure-analysis-KLIC/","Kulicke &amp; Soffa Industries, Inc.")</f>
        <v>Kulicke &amp; Soffa Industries, Inc.</v>
      </c>
      <c r="C848" t="s">
        <v>1803</v>
      </c>
      <c r="D848">
        <v>50.54</v>
      </c>
      <c r="E848">
        <v>1.5829046299960431E-2</v>
      </c>
      <c r="F848">
        <v>5.2631578947368363E-2</v>
      </c>
      <c r="G848">
        <v>0.10756634324829011</v>
      </c>
      <c r="H848">
        <v>0.76310287421393108</v>
      </c>
      <c r="I848">
        <v>2856.9404840000002</v>
      </c>
      <c r="J848">
        <v>49.991959196472322</v>
      </c>
      <c r="K848">
        <v>0.76848224996367687</v>
      </c>
      <c r="L848">
        <v>1.3884740499077191</v>
      </c>
      <c r="M848">
        <v>59.53</v>
      </c>
      <c r="N848">
        <v>39.909999999999997</v>
      </c>
    </row>
    <row r="849" spans="1:14" x14ac:dyDescent="0.25">
      <c r="A849" s="1" t="s">
        <v>861</v>
      </c>
      <c r="B849" t="str">
        <f>HYPERLINK("https://www.suredividend.com/sure-analysis-research-database/","Kaleyra Inc")</f>
        <v>Kaleyra Inc</v>
      </c>
      <c r="C849" t="s">
        <v>1806</v>
      </c>
      <c r="D849">
        <v>7.24</v>
      </c>
      <c r="E849">
        <v>0</v>
      </c>
      <c r="F849" t="s">
        <v>1797</v>
      </c>
      <c r="G849" t="s">
        <v>1797</v>
      </c>
      <c r="H849">
        <v>0</v>
      </c>
      <c r="I849">
        <v>96.479660999999993</v>
      </c>
      <c r="J849">
        <v>0</v>
      </c>
      <c r="K849" t="s">
        <v>1797</v>
      </c>
      <c r="M849">
        <v>7.25</v>
      </c>
      <c r="N849">
        <v>1.57</v>
      </c>
    </row>
    <row r="850" spans="1:14" x14ac:dyDescent="0.25">
      <c r="A850" s="1" t="s">
        <v>862</v>
      </c>
      <c r="B850" t="str">
        <f>HYPERLINK("https://www.suredividend.com/sure-analysis-research-database/","Kennametal Inc.")</f>
        <v>Kennametal Inc.</v>
      </c>
      <c r="C850" t="s">
        <v>1798</v>
      </c>
      <c r="D850">
        <v>24.35</v>
      </c>
      <c r="E850">
        <v>3.2470334105076999E-2</v>
      </c>
      <c r="F850">
        <v>0</v>
      </c>
      <c r="G850">
        <v>0</v>
      </c>
      <c r="H850">
        <v>0.79065263545864106</v>
      </c>
      <c r="I850">
        <v>1938.340477</v>
      </c>
      <c r="J850">
        <v>16.109877632563169</v>
      </c>
      <c r="K850">
        <v>0.53422475368827105</v>
      </c>
      <c r="L850">
        <v>1.331240095979459</v>
      </c>
      <c r="M850">
        <v>30.12</v>
      </c>
      <c r="N850">
        <v>21.89</v>
      </c>
    </row>
    <row r="851" spans="1:14" x14ac:dyDescent="0.25">
      <c r="A851" s="1" t="s">
        <v>863</v>
      </c>
      <c r="B851" t="str">
        <f>HYPERLINK("https://www.suredividend.com/sure-analysis-research-database/","Knowles Corp")</f>
        <v>Knowles Corp</v>
      </c>
      <c r="C851" t="s">
        <v>1803</v>
      </c>
      <c r="D851">
        <v>16.89</v>
      </c>
      <c r="E851">
        <v>0</v>
      </c>
      <c r="F851" t="s">
        <v>1797</v>
      </c>
      <c r="G851" t="s">
        <v>1797</v>
      </c>
      <c r="H851">
        <v>0</v>
      </c>
      <c r="I851">
        <v>1525.1669999999999</v>
      </c>
      <c r="J851" t="s">
        <v>1797</v>
      </c>
      <c r="K851">
        <v>0</v>
      </c>
      <c r="L851">
        <v>1.156416345861373</v>
      </c>
      <c r="M851">
        <v>20.25</v>
      </c>
      <c r="N851">
        <v>12.78</v>
      </c>
    </row>
    <row r="852" spans="1:14" x14ac:dyDescent="0.25">
      <c r="A852" s="1" t="s">
        <v>864</v>
      </c>
      <c r="B852" t="str">
        <f>HYPERLINK("https://www.suredividend.com/sure-analysis-research-database/","Kiniksa Pharmaceuticals Ltd")</f>
        <v>Kiniksa Pharmaceuticals Ltd</v>
      </c>
      <c r="C852" t="s">
        <v>1802</v>
      </c>
      <c r="D852">
        <v>18.87</v>
      </c>
      <c r="E852">
        <v>0</v>
      </c>
      <c r="F852" t="s">
        <v>1797</v>
      </c>
      <c r="G852" t="s">
        <v>1797</v>
      </c>
      <c r="H852">
        <v>0</v>
      </c>
      <c r="I852">
        <v>668.18122800000003</v>
      </c>
      <c r="J852" t="s">
        <v>1797</v>
      </c>
      <c r="K852">
        <v>0</v>
      </c>
      <c r="L852">
        <v>0.80648986661186406</v>
      </c>
      <c r="M852">
        <v>20.65</v>
      </c>
      <c r="N852">
        <v>10.29</v>
      </c>
    </row>
    <row r="853" spans="1:14" x14ac:dyDescent="0.25">
      <c r="A853" s="1" t="s">
        <v>865</v>
      </c>
      <c r="B853" t="str">
        <f>HYPERLINK("https://www.suredividend.com/sure-analysis-research-database/","Kinsale Capital Group Inc")</f>
        <v>Kinsale Capital Group Inc</v>
      </c>
      <c r="C853" t="s">
        <v>1800</v>
      </c>
      <c r="D853">
        <v>382.76</v>
      </c>
      <c r="E853">
        <v>1.462209054597E-3</v>
      </c>
      <c r="F853">
        <v>7.6923076923077094E-2</v>
      </c>
      <c r="G853">
        <v>0.1184269147201447</v>
      </c>
      <c r="H853">
        <v>0.5596751377379291</v>
      </c>
      <c r="I853">
        <v>8869.876612</v>
      </c>
      <c r="J853">
        <v>32.615236387196411</v>
      </c>
      <c r="K853">
        <v>4.791739192961722E-2</v>
      </c>
      <c r="L853">
        <v>0.84288353497228607</v>
      </c>
      <c r="M853">
        <v>457.56</v>
      </c>
      <c r="N853">
        <v>250.48</v>
      </c>
    </row>
    <row r="854" spans="1:14" x14ac:dyDescent="0.25">
      <c r="A854" s="1" t="s">
        <v>866</v>
      </c>
      <c r="B854" t="str">
        <f>HYPERLINK("https://www.suredividend.com/sure-analysis-research-database/","Kinnate Biopharma Inc")</f>
        <v>Kinnate Biopharma Inc</v>
      </c>
      <c r="C854" t="s">
        <v>1797</v>
      </c>
      <c r="D854">
        <v>2.4700000000000002</v>
      </c>
      <c r="E854">
        <v>0</v>
      </c>
      <c r="F854" t="s">
        <v>1797</v>
      </c>
      <c r="G854" t="s">
        <v>1797</v>
      </c>
      <c r="H854">
        <v>0</v>
      </c>
      <c r="I854">
        <v>116.368364</v>
      </c>
      <c r="J854">
        <v>0</v>
      </c>
      <c r="K854" t="s">
        <v>1797</v>
      </c>
      <c r="L854">
        <v>2.4050495353634411</v>
      </c>
      <c r="M854">
        <v>8.17</v>
      </c>
      <c r="N854">
        <v>1.04</v>
      </c>
    </row>
    <row r="855" spans="1:14" x14ac:dyDescent="0.25">
      <c r="A855" s="1" t="s">
        <v>867</v>
      </c>
      <c r="B855" t="str">
        <f>HYPERLINK("https://www.suredividend.com/sure-analysis-research-database/","Kinetik Holdings Inc")</f>
        <v>Kinetik Holdings Inc</v>
      </c>
      <c r="C855" t="s">
        <v>1797</v>
      </c>
      <c r="D855">
        <v>33.1</v>
      </c>
      <c r="E855">
        <v>8.7670935554297003E-2</v>
      </c>
      <c r="F855" t="s">
        <v>1797</v>
      </c>
      <c r="G855" t="s">
        <v>1797</v>
      </c>
      <c r="H855">
        <v>2.9019079668472498</v>
      </c>
      <c r="I855">
        <v>1889.8954080000001</v>
      </c>
      <c r="J855">
        <v>46.828272159175377</v>
      </c>
      <c r="K855">
        <v>3.5689435086056451</v>
      </c>
      <c r="L855">
        <v>0.95162102855008612</v>
      </c>
      <c r="M855">
        <v>37.17</v>
      </c>
      <c r="N855">
        <v>25.2</v>
      </c>
    </row>
    <row r="856" spans="1:14" x14ac:dyDescent="0.25">
      <c r="A856" s="1" t="s">
        <v>868</v>
      </c>
      <c r="B856" t="str">
        <f>HYPERLINK("https://www.suredividend.com/sure-analysis-research-database/","Kodiak Sciences Inc")</f>
        <v>Kodiak Sciences Inc</v>
      </c>
      <c r="C856" t="s">
        <v>1802</v>
      </c>
      <c r="D856">
        <v>3.3</v>
      </c>
      <c r="E856">
        <v>0</v>
      </c>
      <c r="F856" t="s">
        <v>1797</v>
      </c>
      <c r="G856" t="s">
        <v>1797</v>
      </c>
      <c r="H856">
        <v>0</v>
      </c>
      <c r="I856">
        <v>173.15855999999999</v>
      </c>
      <c r="J856">
        <v>0</v>
      </c>
      <c r="K856" t="s">
        <v>1797</v>
      </c>
      <c r="L856">
        <v>2.1220182327604888</v>
      </c>
      <c r="M856">
        <v>9.8000000000000007</v>
      </c>
      <c r="N856">
        <v>1.37</v>
      </c>
    </row>
    <row r="857" spans="1:14" x14ac:dyDescent="0.25">
      <c r="A857" s="1" t="s">
        <v>869</v>
      </c>
      <c r="B857" t="str">
        <f>HYPERLINK("https://www.suredividend.com/sure-analysis-research-database/","Eastman Kodak Co.")</f>
        <v>Eastman Kodak Co.</v>
      </c>
      <c r="C857" t="s">
        <v>1798</v>
      </c>
      <c r="D857">
        <v>3.5</v>
      </c>
      <c r="E857">
        <v>0</v>
      </c>
      <c r="F857" t="s">
        <v>1797</v>
      </c>
      <c r="G857" t="s">
        <v>1797</v>
      </c>
      <c r="H857">
        <v>0</v>
      </c>
      <c r="I857">
        <v>278.43538100000001</v>
      </c>
      <c r="J857">
        <v>0</v>
      </c>
      <c r="K857" t="s">
        <v>1797</v>
      </c>
      <c r="L857">
        <v>1.629977241713279</v>
      </c>
      <c r="M857">
        <v>6.34</v>
      </c>
      <c r="N857">
        <v>3.17</v>
      </c>
    </row>
    <row r="858" spans="1:14" x14ac:dyDescent="0.25">
      <c r="A858" s="1" t="s">
        <v>870</v>
      </c>
      <c r="B858" t="str">
        <f>HYPERLINK("https://www.suredividend.com/sure-analysis-research-database/","Koppers Holdings Inc")</f>
        <v>Koppers Holdings Inc</v>
      </c>
      <c r="C858" t="s">
        <v>1808</v>
      </c>
      <c r="D858">
        <v>49.61</v>
      </c>
      <c r="E858">
        <v>4.8264442282500014E-3</v>
      </c>
      <c r="F858" t="s">
        <v>1797</v>
      </c>
      <c r="G858" t="s">
        <v>1797</v>
      </c>
      <c r="H858">
        <v>0.239439898163508</v>
      </c>
      <c r="I858">
        <v>1033.0323040000001</v>
      </c>
      <c r="J858">
        <v>11.46539738357381</v>
      </c>
      <c r="K858">
        <v>5.6874085074467458E-2</v>
      </c>
      <c r="L858">
        <v>1.238645465991044</v>
      </c>
      <c r="M858">
        <v>52.22</v>
      </c>
      <c r="N858">
        <v>28.36</v>
      </c>
    </row>
    <row r="859" spans="1:14" x14ac:dyDescent="0.25">
      <c r="A859" s="1" t="s">
        <v>871</v>
      </c>
      <c r="B859" t="str">
        <f>HYPERLINK("https://www.suredividend.com/sure-analysis-research-database/","Kore Group Holdings Inc")</f>
        <v>Kore Group Holdings Inc</v>
      </c>
      <c r="C859" t="s">
        <v>1797</v>
      </c>
      <c r="D859">
        <v>0.96020000000000005</v>
      </c>
      <c r="E859">
        <v>0</v>
      </c>
      <c r="F859" t="s">
        <v>1797</v>
      </c>
      <c r="G859" t="s">
        <v>1797</v>
      </c>
      <c r="H859">
        <v>0</v>
      </c>
      <c r="I859">
        <v>83.259501</v>
      </c>
      <c r="J859">
        <v>0</v>
      </c>
      <c r="K859" t="s">
        <v>1797</v>
      </c>
      <c r="L859">
        <v>0.93937850036509507</v>
      </c>
      <c r="M859">
        <v>2.56</v>
      </c>
      <c r="N859">
        <v>0.12</v>
      </c>
    </row>
    <row r="860" spans="1:14" x14ac:dyDescent="0.25">
      <c r="A860" s="1" t="s">
        <v>872</v>
      </c>
      <c r="B860" t="str">
        <f>HYPERLINK("https://www.suredividend.com/sure-analysis-research-database/","Kosmos Energy Ltd")</f>
        <v>Kosmos Energy Ltd</v>
      </c>
      <c r="C860" t="s">
        <v>1807</v>
      </c>
      <c r="D860">
        <v>6.5</v>
      </c>
      <c r="E860">
        <v>0</v>
      </c>
      <c r="F860" t="s">
        <v>1797</v>
      </c>
      <c r="G860" t="s">
        <v>1797</v>
      </c>
      <c r="H860">
        <v>0</v>
      </c>
      <c r="I860">
        <v>2990.8431220000002</v>
      </c>
      <c r="J860">
        <v>38.560178454933407</v>
      </c>
      <c r="K860">
        <v>0</v>
      </c>
      <c r="L860">
        <v>1.026257138344201</v>
      </c>
      <c r="M860">
        <v>8.5500000000000007</v>
      </c>
      <c r="N860">
        <v>5.28</v>
      </c>
    </row>
    <row r="861" spans="1:14" x14ac:dyDescent="0.25">
      <c r="A861" s="1" t="s">
        <v>873</v>
      </c>
      <c r="B861" t="str">
        <f>HYPERLINK("https://www.suredividend.com/sure-analysis-research-database/","Karyopharm Therapeutics Inc")</f>
        <v>Karyopharm Therapeutics Inc</v>
      </c>
      <c r="C861" t="s">
        <v>1802</v>
      </c>
      <c r="D861">
        <v>0.74409999999999998</v>
      </c>
      <c r="E861">
        <v>0</v>
      </c>
      <c r="F861" t="s">
        <v>1797</v>
      </c>
      <c r="G861" t="s">
        <v>1797</v>
      </c>
      <c r="H861">
        <v>0</v>
      </c>
      <c r="I861">
        <v>85.224743000000004</v>
      </c>
      <c r="J861" t="s">
        <v>1797</v>
      </c>
      <c r="K861">
        <v>0</v>
      </c>
      <c r="L861">
        <v>1.596523932198374</v>
      </c>
      <c r="M861">
        <v>4.87</v>
      </c>
      <c r="N861">
        <v>0.61740000000000006</v>
      </c>
    </row>
    <row r="862" spans="1:14" x14ac:dyDescent="0.25">
      <c r="A862" s="1" t="s">
        <v>874</v>
      </c>
      <c r="B862" t="str">
        <f>HYPERLINK("https://www.suredividend.com/sure-analysis-KREF/","KKR Real Estate Finance Trust Inc")</f>
        <v>KKR Real Estate Finance Trust Inc</v>
      </c>
      <c r="C862" t="s">
        <v>1799</v>
      </c>
      <c r="D862">
        <v>12.86</v>
      </c>
      <c r="E862">
        <v>0.13374805598755829</v>
      </c>
      <c r="F862">
        <v>0</v>
      </c>
      <c r="G862">
        <v>0</v>
      </c>
      <c r="H862">
        <v>1.636725059385217</v>
      </c>
      <c r="I862">
        <v>891.37624000000005</v>
      </c>
      <c r="J862" t="s">
        <v>1797</v>
      </c>
      <c r="K862" t="s">
        <v>1797</v>
      </c>
      <c r="L862">
        <v>1.5098668969065621</v>
      </c>
      <c r="M862">
        <v>14.27</v>
      </c>
      <c r="N862">
        <v>8.77</v>
      </c>
    </row>
    <row r="863" spans="1:14" x14ac:dyDescent="0.25">
      <c r="A863" s="1" t="s">
        <v>875</v>
      </c>
      <c r="B863" t="str">
        <f>HYPERLINK("https://www.suredividend.com/sure-analysis-KRG/","Kite Realty Group Trust")</f>
        <v>Kite Realty Group Trust</v>
      </c>
      <c r="C863" t="s">
        <v>1799</v>
      </c>
      <c r="D863">
        <v>22.18</v>
      </c>
      <c r="E863">
        <v>4.5085662759242563E-2</v>
      </c>
      <c r="F863">
        <v>4.1666666666666741E-2</v>
      </c>
      <c r="G863">
        <v>-4.6678789421978228E-2</v>
      </c>
      <c r="H863">
        <v>0.9539907688686331</v>
      </c>
      <c r="I863">
        <v>4866.0113119999996</v>
      </c>
      <c r="J863">
        <v>126.74214862344699</v>
      </c>
      <c r="K863">
        <v>5.4576130942141479</v>
      </c>
      <c r="L863">
        <v>1.147669289124597</v>
      </c>
      <c r="M863">
        <v>23.71</v>
      </c>
      <c r="N863">
        <v>17.940000000000001</v>
      </c>
    </row>
    <row r="864" spans="1:14" x14ac:dyDescent="0.25">
      <c r="A864" s="1" t="s">
        <v>876</v>
      </c>
      <c r="B864" t="str">
        <f>HYPERLINK("https://www.suredividend.com/sure-analysis-research-database/","Kearny Financial Corp.")</f>
        <v>Kearny Financial Corp.</v>
      </c>
      <c r="C864" t="s">
        <v>1800</v>
      </c>
      <c r="D864">
        <v>8.1199999999999992</v>
      </c>
      <c r="E864">
        <v>5.2291775625389003E-2</v>
      </c>
      <c r="F864">
        <v>0</v>
      </c>
      <c r="G864">
        <v>0.12888132073019751</v>
      </c>
      <c r="H864">
        <v>0.42460921807816399</v>
      </c>
      <c r="I864">
        <v>524.05706199999997</v>
      </c>
      <c r="J864">
        <v>15.36013428805909</v>
      </c>
      <c r="K864">
        <v>0.7981376279664737</v>
      </c>
      <c r="L864">
        <v>1.2381675669468031</v>
      </c>
      <c r="M864">
        <v>9.67</v>
      </c>
      <c r="N864">
        <v>6.26</v>
      </c>
    </row>
    <row r="865" spans="1:14" x14ac:dyDescent="0.25">
      <c r="A865" s="1" t="s">
        <v>877</v>
      </c>
      <c r="B865" t="str">
        <f>HYPERLINK("https://www.suredividend.com/sure-analysis-KRO/","Kronos Worldwide, Inc.")</f>
        <v>Kronos Worldwide, Inc.</v>
      </c>
      <c r="C865" t="s">
        <v>1808</v>
      </c>
      <c r="D865">
        <v>9.24</v>
      </c>
      <c r="E865">
        <v>8.2251082251082255E-2</v>
      </c>
      <c r="F865">
        <v>0</v>
      </c>
      <c r="G865">
        <v>1.087212085035083E-2</v>
      </c>
      <c r="H865">
        <v>0.73531615661864602</v>
      </c>
      <c r="I865">
        <v>1062.8496279999999</v>
      </c>
      <c r="J865" t="s">
        <v>1797</v>
      </c>
      <c r="K865" t="s">
        <v>1797</v>
      </c>
      <c r="L865">
        <v>1.4233580804256349</v>
      </c>
      <c r="M865">
        <v>11.05</v>
      </c>
      <c r="N865">
        <v>6.03</v>
      </c>
    </row>
    <row r="866" spans="1:14" x14ac:dyDescent="0.25">
      <c r="A866" s="1" t="s">
        <v>878</v>
      </c>
      <c r="B866" t="str">
        <f>HYPERLINK("https://www.suredividend.com/sure-analysis-research-database/","Kronos Bio Inc")</f>
        <v>Kronos Bio Inc</v>
      </c>
      <c r="C866" t="s">
        <v>1797</v>
      </c>
      <c r="D866">
        <v>1.18</v>
      </c>
      <c r="E866">
        <v>0</v>
      </c>
      <c r="F866" t="s">
        <v>1797</v>
      </c>
      <c r="G866" t="s">
        <v>1797</v>
      </c>
      <c r="H866">
        <v>0</v>
      </c>
      <c r="I866">
        <v>68.813494000000006</v>
      </c>
      <c r="J866">
        <v>0</v>
      </c>
      <c r="K866" t="s">
        <v>1797</v>
      </c>
      <c r="L866">
        <v>1.7697868811046189</v>
      </c>
      <c r="M866">
        <v>2.82</v>
      </c>
      <c r="N866">
        <v>0.73099999999999998</v>
      </c>
    </row>
    <row r="867" spans="1:14" x14ac:dyDescent="0.25">
      <c r="A867" s="1" t="s">
        <v>879</v>
      </c>
      <c r="B867" t="str">
        <f>HYPERLINK("https://www.suredividend.com/sure-analysis-research-database/","Keros Therapeutics Inc")</f>
        <v>Keros Therapeutics Inc</v>
      </c>
      <c r="C867" t="s">
        <v>1802</v>
      </c>
      <c r="D867">
        <v>52.16</v>
      </c>
      <c r="E867">
        <v>0</v>
      </c>
      <c r="F867" t="s">
        <v>1797</v>
      </c>
      <c r="G867" t="s">
        <v>1797</v>
      </c>
      <c r="H867">
        <v>0</v>
      </c>
      <c r="I867">
        <v>1562.6811560000001</v>
      </c>
      <c r="J867">
        <v>0</v>
      </c>
      <c r="K867" t="s">
        <v>1797</v>
      </c>
      <c r="L867">
        <v>1.0546730462940559</v>
      </c>
      <c r="M867">
        <v>59.96</v>
      </c>
      <c r="N867">
        <v>27.02</v>
      </c>
    </row>
    <row r="868" spans="1:14" x14ac:dyDescent="0.25">
      <c r="A868" s="1" t="s">
        <v>880</v>
      </c>
      <c r="B868" t="str">
        <f>HYPERLINK("https://www.suredividend.com/sure-analysis-research-database/","Karat Packaging Inc")</f>
        <v>Karat Packaging Inc</v>
      </c>
      <c r="C868" t="s">
        <v>1797</v>
      </c>
      <c r="D868">
        <v>23.6</v>
      </c>
      <c r="E868">
        <v>1.2631912780333E-2</v>
      </c>
      <c r="F868" t="s">
        <v>1797</v>
      </c>
      <c r="G868" t="s">
        <v>1797</v>
      </c>
      <c r="H868">
        <v>0.29811314161587399</v>
      </c>
      <c r="I868">
        <v>471.16014699999999</v>
      </c>
      <c r="J868">
        <v>14.228857149759911</v>
      </c>
      <c r="K868">
        <v>0.17958622988908071</v>
      </c>
      <c r="L868">
        <v>0.6557414426587751</v>
      </c>
      <c r="M868">
        <v>26.19</v>
      </c>
      <c r="N868">
        <v>11.64</v>
      </c>
    </row>
    <row r="869" spans="1:14" x14ac:dyDescent="0.25">
      <c r="A869" s="1" t="s">
        <v>881</v>
      </c>
      <c r="B869" t="str">
        <f>HYPERLINK("https://www.suredividend.com/sure-analysis-research-database/","Karuna Therapeutics Inc")</f>
        <v>Karuna Therapeutics Inc</v>
      </c>
      <c r="C869" t="s">
        <v>1802</v>
      </c>
      <c r="D869">
        <v>316.75</v>
      </c>
      <c r="E869">
        <v>0</v>
      </c>
      <c r="F869" t="s">
        <v>1797</v>
      </c>
      <c r="G869" t="s">
        <v>1797</v>
      </c>
      <c r="H869">
        <v>0</v>
      </c>
      <c r="I869">
        <v>11950.06431</v>
      </c>
      <c r="J869" t="s">
        <v>1797</v>
      </c>
      <c r="K869">
        <v>0</v>
      </c>
      <c r="L869">
        <v>0.76213649900783309</v>
      </c>
      <c r="M869">
        <v>319.42</v>
      </c>
      <c r="N869">
        <v>158.38</v>
      </c>
    </row>
    <row r="870" spans="1:14" x14ac:dyDescent="0.25">
      <c r="A870" s="1" t="s">
        <v>882</v>
      </c>
      <c r="B870" t="str">
        <f>HYPERLINK("https://www.suredividend.com/sure-analysis-research-database/","Kura Sushi USA Inc")</f>
        <v>Kura Sushi USA Inc</v>
      </c>
      <c r="C870" t="s">
        <v>1801</v>
      </c>
      <c r="D870">
        <v>88.55</v>
      </c>
      <c r="E870">
        <v>0</v>
      </c>
      <c r="F870" t="s">
        <v>1797</v>
      </c>
      <c r="G870" t="s">
        <v>1797</v>
      </c>
      <c r="H870">
        <v>0</v>
      </c>
      <c r="I870">
        <v>899.942859</v>
      </c>
      <c r="J870">
        <v>583.24229371354511</v>
      </c>
      <c r="K870">
        <v>0</v>
      </c>
      <c r="L870">
        <v>1.4233079034403191</v>
      </c>
      <c r="M870">
        <v>110</v>
      </c>
      <c r="N870">
        <v>51.02</v>
      </c>
    </row>
    <row r="871" spans="1:14" x14ac:dyDescent="0.25">
      <c r="A871" s="1" t="s">
        <v>883</v>
      </c>
      <c r="B871" t="str">
        <f>HYPERLINK("https://www.suredividend.com/sure-analysis-research-database/","Krystal Biotech Inc")</f>
        <v>Krystal Biotech Inc</v>
      </c>
      <c r="C871" t="s">
        <v>1802</v>
      </c>
      <c r="D871">
        <v>128.36000000000001</v>
      </c>
      <c r="E871">
        <v>0</v>
      </c>
      <c r="F871" t="s">
        <v>1797</v>
      </c>
      <c r="G871" t="s">
        <v>1797</v>
      </c>
      <c r="H871">
        <v>0</v>
      </c>
      <c r="I871">
        <v>3620.564519</v>
      </c>
      <c r="J871">
        <v>0</v>
      </c>
      <c r="K871" t="s">
        <v>1797</v>
      </c>
      <c r="L871">
        <v>0.8037408173029631</v>
      </c>
      <c r="M871">
        <v>132.68</v>
      </c>
      <c r="N871">
        <v>70.510000000000005</v>
      </c>
    </row>
    <row r="872" spans="1:14" x14ac:dyDescent="0.25">
      <c r="A872" s="1" t="s">
        <v>884</v>
      </c>
      <c r="B872" t="str">
        <f>HYPERLINK("https://www.suredividend.com/sure-analysis-KTB/","Kontoor Brands Inc")</f>
        <v>Kontoor Brands Inc</v>
      </c>
      <c r="C872" t="s">
        <v>1801</v>
      </c>
      <c r="D872">
        <v>57.53</v>
      </c>
      <c r="E872">
        <v>3.4764470710933422E-2</v>
      </c>
      <c r="F872" t="s">
        <v>1797</v>
      </c>
      <c r="G872" t="s">
        <v>1797</v>
      </c>
      <c r="H872">
        <v>1.9109426594300709</v>
      </c>
      <c r="I872">
        <v>3232.0441449999998</v>
      </c>
      <c r="J872">
        <v>15.1151586534972</v>
      </c>
      <c r="K872">
        <v>0.50822943069948701</v>
      </c>
      <c r="L872">
        <v>1.0381778549266969</v>
      </c>
      <c r="M872">
        <v>63.96</v>
      </c>
      <c r="N872">
        <v>36.35</v>
      </c>
    </row>
    <row r="873" spans="1:14" x14ac:dyDescent="0.25">
      <c r="A873" s="1" t="s">
        <v>885</v>
      </c>
      <c r="B873" t="str">
        <f>HYPERLINK("https://www.suredividend.com/sure-analysis-research-database/","Kratos Defense &amp; Security Solutions Inc")</f>
        <v>Kratos Defense &amp; Security Solutions Inc</v>
      </c>
      <c r="C873" t="s">
        <v>1798</v>
      </c>
      <c r="D873">
        <v>18.96</v>
      </c>
      <c r="E873">
        <v>0</v>
      </c>
      <c r="F873" t="s">
        <v>1797</v>
      </c>
      <c r="G873" t="s">
        <v>1797</v>
      </c>
      <c r="H873">
        <v>0</v>
      </c>
      <c r="I873">
        <v>2444.676273</v>
      </c>
      <c r="J873" t="s">
        <v>1797</v>
      </c>
      <c r="K873">
        <v>0</v>
      </c>
      <c r="L873">
        <v>0.89447395261714702</v>
      </c>
      <c r="M873">
        <v>21.42</v>
      </c>
      <c r="N873">
        <v>10.35</v>
      </c>
    </row>
    <row r="874" spans="1:14" x14ac:dyDescent="0.25">
      <c r="A874" s="1" t="s">
        <v>886</v>
      </c>
      <c r="B874" t="str">
        <f>HYPERLINK("https://www.suredividend.com/sure-analysis-research-database/","Kura Oncology Inc")</f>
        <v>Kura Oncology Inc</v>
      </c>
      <c r="C874" t="s">
        <v>1802</v>
      </c>
      <c r="D874">
        <v>15.37</v>
      </c>
      <c r="E874">
        <v>0</v>
      </c>
      <c r="F874" t="s">
        <v>1797</v>
      </c>
      <c r="G874" t="s">
        <v>1797</v>
      </c>
      <c r="H874">
        <v>0</v>
      </c>
      <c r="I874">
        <v>1141.5623459999999</v>
      </c>
      <c r="J874">
        <v>0</v>
      </c>
      <c r="K874" t="s">
        <v>1797</v>
      </c>
      <c r="L874">
        <v>0.85620907137546309</v>
      </c>
      <c r="M874">
        <v>15.96</v>
      </c>
      <c r="N874">
        <v>7.41</v>
      </c>
    </row>
    <row r="875" spans="1:14" x14ac:dyDescent="0.25">
      <c r="A875" s="1" t="s">
        <v>887</v>
      </c>
      <c r="B875" t="str">
        <f>HYPERLINK("https://www.suredividend.com/sure-analysis-research-database/","Kennedy-Wilson Holdings Inc")</f>
        <v>Kennedy-Wilson Holdings Inc</v>
      </c>
      <c r="C875" t="s">
        <v>1799</v>
      </c>
      <c r="D875">
        <v>11.82</v>
      </c>
      <c r="E875">
        <v>7.9121581841252009E-2</v>
      </c>
      <c r="F875">
        <v>0</v>
      </c>
      <c r="G875">
        <v>2.7066087089351761E-2</v>
      </c>
      <c r="H875">
        <v>0.93521709736360104</v>
      </c>
      <c r="I875">
        <v>1647.5996929999999</v>
      </c>
      <c r="J875" t="s">
        <v>1797</v>
      </c>
      <c r="K875" t="s">
        <v>1797</v>
      </c>
      <c r="L875">
        <v>1.2890963984750661</v>
      </c>
      <c r="M875">
        <v>17.7</v>
      </c>
      <c r="N875">
        <v>10.48</v>
      </c>
    </row>
    <row r="876" spans="1:14" x14ac:dyDescent="0.25">
      <c r="A876" s="1" t="s">
        <v>888</v>
      </c>
      <c r="B876" t="str">
        <f>HYPERLINK("https://www.suredividend.com/sure-analysis-KWR/","Quaker Houghton")</f>
        <v>Quaker Houghton</v>
      </c>
      <c r="C876" t="s">
        <v>1808</v>
      </c>
      <c r="D876">
        <v>200.48</v>
      </c>
      <c r="E876">
        <v>9.0782122905027941E-3</v>
      </c>
      <c r="F876">
        <v>4.5977011494252817E-2</v>
      </c>
      <c r="G876">
        <v>4.2226075304704118E-2</v>
      </c>
      <c r="H876">
        <v>1.321314989689196</v>
      </c>
      <c r="I876">
        <v>3605.6159600000001</v>
      </c>
      <c r="J876">
        <v>218.88034721544341</v>
      </c>
      <c r="K876">
        <v>1.4360558522869209</v>
      </c>
      <c r="L876">
        <v>1.454353346615443</v>
      </c>
      <c r="M876">
        <v>221.94</v>
      </c>
      <c r="N876">
        <v>138.66999999999999</v>
      </c>
    </row>
    <row r="877" spans="1:14" x14ac:dyDescent="0.25">
      <c r="A877" s="1" t="s">
        <v>889</v>
      </c>
      <c r="B877" t="str">
        <f>HYPERLINK("https://www.suredividend.com/sure-analysis-research-database/","Kymera Therapeutics Inc")</f>
        <v>Kymera Therapeutics Inc</v>
      </c>
      <c r="C877" t="s">
        <v>1797</v>
      </c>
      <c r="D877">
        <v>28.12</v>
      </c>
      <c r="E877">
        <v>0</v>
      </c>
      <c r="F877" t="s">
        <v>1797</v>
      </c>
      <c r="G877" t="s">
        <v>1797</v>
      </c>
      <c r="H877">
        <v>0</v>
      </c>
      <c r="I877">
        <v>1560.3049289999999</v>
      </c>
      <c r="J877" t="s">
        <v>1797</v>
      </c>
      <c r="K877">
        <v>0</v>
      </c>
      <c r="L877">
        <v>1.726910839008468</v>
      </c>
      <c r="M877">
        <v>39.85</v>
      </c>
      <c r="N877">
        <v>9.6</v>
      </c>
    </row>
    <row r="878" spans="1:14" x14ac:dyDescent="0.25">
      <c r="A878" s="1" t="s">
        <v>890</v>
      </c>
      <c r="B878" t="str">
        <f>HYPERLINK("https://www.suredividend.com/sure-analysis-research-database/","Kezar Life Sciences Inc")</f>
        <v>Kezar Life Sciences Inc</v>
      </c>
      <c r="C878" t="s">
        <v>1802</v>
      </c>
      <c r="D878">
        <v>0.92800000000000005</v>
      </c>
      <c r="E878">
        <v>0</v>
      </c>
      <c r="F878" t="s">
        <v>1797</v>
      </c>
      <c r="G878" t="s">
        <v>1797</v>
      </c>
      <c r="H878">
        <v>0</v>
      </c>
      <c r="I878">
        <v>67.459069999999997</v>
      </c>
      <c r="J878">
        <v>0</v>
      </c>
      <c r="K878" t="s">
        <v>1797</v>
      </c>
      <c r="L878">
        <v>1.5409550468754409</v>
      </c>
      <c r="M878">
        <v>7.44</v>
      </c>
      <c r="N878">
        <v>0.67459999999999998</v>
      </c>
    </row>
    <row r="879" spans="1:14" x14ac:dyDescent="0.25">
      <c r="A879" s="1" t="s">
        <v>891</v>
      </c>
      <c r="B879" t="str">
        <f>HYPERLINK("https://www.suredividend.com/sure-analysis-LADR/","Ladder Capital Corp")</f>
        <v>Ladder Capital Corp</v>
      </c>
      <c r="C879" t="s">
        <v>1799</v>
      </c>
      <c r="D879">
        <v>11.28</v>
      </c>
      <c r="E879">
        <v>8.1560283687943269E-2</v>
      </c>
      <c r="F879">
        <v>0</v>
      </c>
      <c r="G879">
        <v>-7.5195820517296119E-2</v>
      </c>
      <c r="H879">
        <v>0.8918610021666461</v>
      </c>
      <c r="I879">
        <v>1431.563852</v>
      </c>
      <c r="J879">
        <v>10.121064533808431</v>
      </c>
      <c r="K879">
        <v>0.7892575240412798</v>
      </c>
      <c r="L879">
        <v>1.3190394714733471</v>
      </c>
      <c r="M879">
        <v>11.77</v>
      </c>
      <c r="N879">
        <v>8.02</v>
      </c>
    </row>
    <row r="880" spans="1:14" x14ac:dyDescent="0.25">
      <c r="A880" s="1" t="s">
        <v>892</v>
      </c>
      <c r="B880" t="str">
        <f>HYPERLINK("https://www.suredividend.com/sure-analysis-LANC/","Lancaster Colony Corp.")</f>
        <v>Lancaster Colony Corp.</v>
      </c>
      <c r="C880" t="s">
        <v>1804</v>
      </c>
      <c r="D880">
        <v>171.7</v>
      </c>
      <c r="E880">
        <v>2.0966802562609209E-2</v>
      </c>
      <c r="F880">
        <v>5.8823529411764719E-2</v>
      </c>
      <c r="G880">
        <v>6.7249181879538877E-2</v>
      </c>
      <c r="H880">
        <v>3.397908362790286</v>
      </c>
      <c r="I880">
        <v>4724.6688999999997</v>
      </c>
      <c r="J880">
        <v>40.254484962085712</v>
      </c>
      <c r="K880">
        <v>0.79576308262067597</v>
      </c>
      <c r="L880">
        <v>0.34117235283243003</v>
      </c>
      <c r="M880">
        <v>214.17</v>
      </c>
      <c r="N880">
        <v>155.65</v>
      </c>
    </row>
    <row r="881" spans="1:14" x14ac:dyDescent="0.25">
      <c r="A881" s="1" t="s">
        <v>893</v>
      </c>
      <c r="B881" t="str">
        <f>HYPERLINK("https://www.suredividend.com/sure-analysis-LAND/","Gladstone Land Corp")</f>
        <v>Gladstone Land Corp</v>
      </c>
      <c r="C881" t="s">
        <v>1799</v>
      </c>
      <c r="D881">
        <v>14.13</v>
      </c>
      <c r="E881">
        <v>3.9631988676574657E-2</v>
      </c>
      <c r="F881">
        <v>4.3290043290042926E-3</v>
      </c>
      <c r="G881">
        <v>4.3669784176814108E-3</v>
      </c>
      <c r="H881">
        <v>0.53796042526014509</v>
      </c>
      <c r="I881">
        <v>506.39718499999998</v>
      </c>
      <c r="J881">
        <v>0</v>
      </c>
      <c r="K881" t="s">
        <v>1797</v>
      </c>
      <c r="L881">
        <v>1.067043633227005</v>
      </c>
      <c r="M881">
        <v>19.489999999999998</v>
      </c>
      <c r="N881">
        <v>13.18</v>
      </c>
    </row>
    <row r="882" spans="1:14" x14ac:dyDescent="0.25">
      <c r="A882" s="1" t="s">
        <v>894</v>
      </c>
      <c r="B882" t="str">
        <f>HYPERLINK("https://www.suredividend.com/sure-analysis-research-database/","nLIGHT Inc")</f>
        <v>nLIGHT Inc</v>
      </c>
      <c r="C882" t="s">
        <v>1803</v>
      </c>
      <c r="D882">
        <v>13.23</v>
      </c>
      <c r="E882">
        <v>0</v>
      </c>
      <c r="F882" t="s">
        <v>1797</v>
      </c>
      <c r="G882" t="s">
        <v>1797</v>
      </c>
      <c r="H882">
        <v>0</v>
      </c>
      <c r="I882">
        <v>617.657196</v>
      </c>
      <c r="J882" t="s">
        <v>1797</v>
      </c>
      <c r="K882">
        <v>0</v>
      </c>
      <c r="L882">
        <v>1.761091517345319</v>
      </c>
      <c r="M882">
        <v>15.91</v>
      </c>
      <c r="N882">
        <v>8.1300000000000008</v>
      </c>
    </row>
    <row r="883" spans="1:14" x14ac:dyDescent="0.25">
      <c r="A883" s="1" t="s">
        <v>895</v>
      </c>
      <c r="B883" t="str">
        <f>HYPERLINK("https://www.suredividend.com/sure-analysis-research-database/","Laureate Education Inc")</f>
        <v>Laureate Education Inc</v>
      </c>
      <c r="C883" t="s">
        <v>1804</v>
      </c>
      <c r="D883">
        <v>13.05</v>
      </c>
      <c r="E883">
        <v>0</v>
      </c>
      <c r="F883" t="s">
        <v>1797</v>
      </c>
      <c r="G883" t="s">
        <v>1797</v>
      </c>
      <c r="H883">
        <v>0</v>
      </c>
      <c r="I883">
        <v>2053.6441260000001</v>
      </c>
      <c r="J883">
        <v>19.56373248390047</v>
      </c>
      <c r="K883">
        <v>0</v>
      </c>
      <c r="L883">
        <v>0.73803228945037602</v>
      </c>
      <c r="M883">
        <v>14.17</v>
      </c>
      <c r="N883">
        <v>8.93</v>
      </c>
    </row>
    <row r="884" spans="1:14" x14ac:dyDescent="0.25">
      <c r="A884" s="1" t="s">
        <v>896</v>
      </c>
      <c r="B884" t="str">
        <f>HYPERLINK("https://www.suredividend.com/sure-analysis-research-database/","CS Disco Inc")</f>
        <v>CS Disco Inc</v>
      </c>
      <c r="C884" t="s">
        <v>1797</v>
      </c>
      <c r="D884">
        <v>7.91</v>
      </c>
      <c r="E884">
        <v>0</v>
      </c>
      <c r="F884" t="s">
        <v>1797</v>
      </c>
      <c r="G884" t="s">
        <v>1797</v>
      </c>
      <c r="H884">
        <v>0</v>
      </c>
      <c r="I884">
        <v>479.56308999999999</v>
      </c>
      <c r="J884" t="s">
        <v>1797</v>
      </c>
      <c r="K884">
        <v>0</v>
      </c>
      <c r="L884">
        <v>2.209127837579492</v>
      </c>
      <c r="M884">
        <v>10.77</v>
      </c>
      <c r="N884">
        <v>5.07</v>
      </c>
    </row>
    <row r="885" spans="1:14" x14ac:dyDescent="0.25">
      <c r="A885" s="1" t="s">
        <v>897</v>
      </c>
      <c r="B885" t="str">
        <f>HYPERLINK("https://www.suredividend.com/sure-analysis-research-database/","Luminar Technologies Inc")</f>
        <v>Luminar Technologies Inc</v>
      </c>
      <c r="C885" t="s">
        <v>1797</v>
      </c>
      <c r="D885">
        <v>2.5049999999999999</v>
      </c>
      <c r="E885">
        <v>0</v>
      </c>
      <c r="F885" t="s">
        <v>1797</v>
      </c>
      <c r="G885" t="s">
        <v>1797</v>
      </c>
      <c r="H885">
        <v>0</v>
      </c>
      <c r="I885">
        <v>763.69033200000001</v>
      </c>
      <c r="J885" t="s">
        <v>1797</v>
      </c>
      <c r="K885">
        <v>0</v>
      </c>
      <c r="L885">
        <v>2.6466490819530319</v>
      </c>
      <c r="M885">
        <v>10.55</v>
      </c>
      <c r="N885">
        <v>2.2999999999999998</v>
      </c>
    </row>
    <row r="886" spans="1:14" x14ac:dyDescent="0.25">
      <c r="A886" s="1" t="s">
        <v>898</v>
      </c>
      <c r="B886" t="str">
        <f>HYPERLINK("https://www.suredividend.com/sure-analysis-LBAI/","Lakeland Bancorp, Inc.")</f>
        <v>Lakeland Bancorp, Inc.</v>
      </c>
      <c r="C886" t="s">
        <v>1800</v>
      </c>
      <c r="D886">
        <v>13.9</v>
      </c>
      <c r="E886">
        <v>4.1726618705035967E-2</v>
      </c>
      <c r="F886" t="s">
        <v>1797</v>
      </c>
      <c r="G886" t="s">
        <v>1797</v>
      </c>
      <c r="H886">
        <v>0.56102280165249108</v>
      </c>
      <c r="I886">
        <v>903.92082300000004</v>
      </c>
      <c r="J886">
        <v>9.2984489826358896</v>
      </c>
      <c r="K886">
        <v>0.37652537023657118</v>
      </c>
      <c r="L886">
        <v>1.5296080565999191</v>
      </c>
      <c r="M886">
        <v>18.72</v>
      </c>
      <c r="N886">
        <v>10.4</v>
      </c>
    </row>
    <row r="887" spans="1:14" x14ac:dyDescent="0.25">
      <c r="A887" s="1" t="s">
        <v>899</v>
      </c>
      <c r="B887" t="str">
        <f>HYPERLINK("https://www.suredividend.com/sure-analysis-research-database/","Luther Burbank Corp")</f>
        <v>Luther Burbank Corp</v>
      </c>
      <c r="C887" t="s">
        <v>1800</v>
      </c>
      <c r="D887">
        <v>10.08</v>
      </c>
      <c r="E887">
        <v>0</v>
      </c>
      <c r="F887" t="s">
        <v>1797</v>
      </c>
      <c r="G887" t="s">
        <v>1797</v>
      </c>
      <c r="H887">
        <v>0</v>
      </c>
      <c r="I887">
        <v>514.25083600000005</v>
      </c>
      <c r="J887">
        <v>14.30262371964956</v>
      </c>
      <c r="K887">
        <v>0</v>
      </c>
      <c r="L887">
        <v>1.5837702976137471</v>
      </c>
      <c r="M887">
        <v>12.27</v>
      </c>
      <c r="N887">
        <v>7.73</v>
      </c>
    </row>
    <row r="888" spans="1:14" x14ac:dyDescent="0.25">
      <c r="A888" s="1" t="s">
        <v>900</v>
      </c>
      <c r="B888" t="str">
        <f>HYPERLINK("https://www.suredividend.com/sure-analysis-research-database/","Liberty Energy Inc")</f>
        <v>Liberty Energy Inc</v>
      </c>
      <c r="C888" t="s">
        <v>1807</v>
      </c>
      <c r="D888">
        <v>17.440000000000001</v>
      </c>
      <c r="E888">
        <v>1.2567072587198001E-2</v>
      </c>
      <c r="F888" t="s">
        <v>1797</v>
      </c>
      <c r="G888" t="s">
        <v>1797</v>
      </c>
      <c r="H888">
        <v>0.21916974592073499</v>
      </c>
      <c r="I888">
        <v>2940.529223</v>
      </c>
      <c r="J888">
        <v>4.7673717911229359</v>
      </c>
      <c r="K888">
        <v>6.4272652762678892E-2</v>
      </c>
      <c r="L888">
        <v>0.98326228504014312</v>
      </c>
      <c r="M888">
        <v>21.17</v>
      </c>
      <c r="N888">
        <v>11.11</v>
      </c>
    </row>
    <row r="889" spans="1:14" x14ac:dyDescent="0.25">
      <c r="A889" s="1" t="s">
        <v>901</v>
      </c>
      <c r="B889" t="str">
        <f>HYPERLINK("https://www.suredividend.com/sure-analysis-research-database/","LendingClub Corp")</f>
        <v>LendingClub Corp</v>
      </c>
      <c r="C889" t="s">
        <v>1800</v>
      </c>
      <c r="D889">
        <v>8.2899999999999991</v>
      </c>
      <c r="E889">
        <v>0</v>
      </c>
      <c r="F889" t="s">
        <v>1797</v>
      </c>
      <c r="G889" t="s">
        <v>1797</v>
      </c>
      <c r="H889">
        <v>0</v>
      </c>
      <c r="I889">
        <v>908.98829499999999</v>
      </c>
      <c r="J889">
        <v>17.355385107589498</v>
      </c>
      <c r="K889">
        <v>0</v>
      </c>
      <c r="L889">
        <v>2.1910610906876422</v>
      </c>
      <c r="M889">
        <v>10.92</v>
      </c>
      <c r="N889">
        <v>4.7300000000000004</v>
      </c>
    </row>
    <row r="890" spans="1:14" x14ac:dyDescent="0.25">
      <c r="A890" s="1" t="s">
        <v>902</v>
      </c>
      <c r="B890" t="str">
        <f>HYPERLINK("https://www.suredividend.com/sure-analysis-research-database/","LCI Industries")</f>
        <v>LCI Industries</v>
      </c>
      <c r="C890" t="s">
        <v>1801</v>
      </c>
      <c r="D890">
        <v>119.06</v>
      </c>
      <c r="E890">
        <v>3.4794840102177003E-2</v>
      </c>
      <c r="F890">
        <v>0</v>
      </c>
      <c r="G890">
        <v>0.1184269147201447</v>
      </c>
      <c r="H890">
        <v>4.1426736625652216</v>
      </c>
      <c r="I890">
        <v>3015.1443760000002</v>
      </c>
      <c r="J890">
        <v>60.982229552009393</v>
      </c>
      <c r="K890">
        <v>2.1353987951367119</v>
      </c>
      <c r="L890">
        <v>1.3570672006639839</v>
      </c>
      <c r="M890">
        <v>134.63999999999999</v>
      </c>
      <c r="N890">
        <v>93.89</v>
      </c>
    </row>
    <row r="891" spans="1:14" x14ac:dyDescent="0.25">
      <c r="A891" s="1" t="s">
        <v>903</v>
      </c>
      <c r="B891" t="str">
        <f>HYPERLINK("https://www.suredividend.com/sure-analysis-research-database/","Lifetime Brands, Inc.")</f>
        <v>Lifetime Brands, Inc.</v>
      </c>
      <c r="C891" t="s">
        <v>1801</v>
      </c>
      <c r="D891">
        <v>8.1300000000000008</v>
      </c>
      <c r="E891">
        <v>2.0458758324618E-2</v>
      </c>
      <c r="F891">
        <v>0</v>
      </c>
      <c r="G891">
        <v>0</v>
      </c>
      <c r="H891">
        <v>0.16632970517915099</v>
      </c>
      <c r="I891">
        <v>177.349739</v>
      </c>
      <c r="J891" t="s">
        <v>1797</v>
      </c>
      <c r="K891" t="s">
        <v>1797</v>
      </c>
      <c r="L891">
        <v>0.38615574000729302</v>
      </c>
      <c r="M891">
        <v>8.2899999999999991</v>
      </c>
      <c r="N891">
        <v>4.18</v>
      </c>
    </row>
    <row r="892" spans="1:14" x14ac:dyDescent="0.25">
      <c r="A892" s="1" t="s">
        <v>904</v>
      </c>
      <c r="B892" t="str">
        <f>HYPERLINK("https://www.suredividend.com/sure-analysis-research-database/","Lands` End, Inc.")</f>
        <v>Lands` End, Inc.</v>
      </c>
      <c r="C892" t="s">
        <v>1801</v>
      </c>
      <c r="D892">
        <v>8.68</v>
      </c>
      <c r="E892">
        <v>0</v>
      </c>
      <c r="F892" t="s">
        <v>1797</v>
      </c>
      <c r="G892" t="s">
        <v>1797</v>
      </c>
      <c r="H892">
        <v>0</v>
      </c>
      <c r="I892">
        <v>272.94878899999998</v>
      </c>
      <c r="J892" t="s">
        <v>1797</v>
      </c>
      <c r="K892">
        <v>0</v>
      </c>
      <c r="L892">
        <v>1.6836917647199461</v>
      </c>
      <c r="M892">
        <v>10.81</v>
      </c>
      <c r="N892">
        <v>5.98</v>
      </c>
    </row>
    <row r="893" spans="1:14" x14ac:dyDescent="0.25">
      <c r="A893" s="1" t="s">
        <v>905</v>
      </c>
      <c r="B893" t="str">
        <f>HYPERLINK("https://www.suredividend.com/sure-analysis-research-database/","Legacy Housing Corp")</f>
        <v>Legacy Housing Corp</v>
      </c>
      <c r="C893" t="s">
        <v>1801</v>
      </c>
      <c r="D893">
        <v>23.85</v>
      </c>
      <c r="E893">
        <v>0</v>
      </c>
      <c r="F893" t="s">
        <v>1797</v>
      </c>
      <c r="G893" t="s">
        <v>1797</v>
      </c>
      <c r="H893">
        <v>0</v>
      </c>
      <c r="I893">
        <v>581.74435800000003</v>
      </c>
      <c r="J893">
        <v>8.6738188798103444</v>
      </c>
      <c r="K893">
        <v>0</v>
      </c>
      <c r="L893">
        <v>1.3669641364054781</v>
      </c>
      <c r="M893">
        <v>25.73</v>
      </c>
      <c r="N893">
        <v>17.670000000000002</v>
      </c>
    </row>
    <row r="894" spans="1:14" x14ac:dyDescent="0.25">
      <c r="A894" s="1" t="s">
        <v>906</v>
      </c>
      <c r="B894" t="str">
        <f>HYPERLINK("https://www.suredividend.com/sure-analysis-research-database/","Centrus Energy Corp")</f>
        <v>Centrus Energy Corp</v>
      </c>
      <c r="C894" t="s">
        <v>1807</v>
      </c>
      <c r="D894">
        <v>54.52</v>
      </c>
      <c r="E894">
        <v>0</v>
      </c>
      <c r="F894" t="s">
        <v>1797</v>
      </c>
      <c r="G894" t="s">
        <v>1797</v>
      </c>
      <c r="H894">
        <v>0</v>
      </c>
      <c r="I894">
        <v>807.29154300000005</v>
      </c>
      <c r="J894">
        <v>16.853685649269309</v>
      </c>
      <c r="K894">
        <v>0</v>
      </c>
      <c r="L894">
        <v>1.265538505572146</v>
      </c>
      <c r="M894">
        <v>61.35</v>
      </c>
      <c r="N894">
        <v>24.88</v>
      </c>
    </row>
    <row r="895" spans="1:14" x14ac:dyDescent="0.25">
      <c r="A895" s="1" t="s">
        <v>907</v>
      </c>
      <c r="B895" t="str">
        <f>HYPERLINK("https://www.suredividend.com/sure-analysis-research-database/","Lifecore Biomedical Inc")</f>
        <v>Lifecore Biomedical Inc</v>
      </c>
      <c r="C895" t="s">
        <v>1797</v>
      </c>
      <c r="D895">
        <v>6.87</v>
      </c>
      <c r="E895">
        <v>0</v>
      </c>
      <c r="F895" t="s">
        <v>1797</v>
      </c>
      <c r="G895" t="s">
        <v>1797</v>
      </c>
      <c r="H895">
        <v>0</v>
      </c>
      <c r="I895">
        <v>208.313301</v>
      </c>
      <c r="J895" t="s">
        <v>1797</v>
      </c>
      <c r="K895">
        <v>0</v>
      </c>
      <c r="M895">
        <v>11.46</v>
      </c>
      <c r="N895">
        <v>1.8</v>
      </c>
    </row>
    <row r="896" spans="1:14" x14ac:dyDescent="0.25">
      <c r="A896" s="1" t="s">
        <v>908</v>
      </c>
      <c r="B896" t="str">
        <f>HYPERLINK("https://www.suredividend.com/sure-analysis-research-database/","LifeStance Health Group Inc")</f>
        <v>LifeStance Health Group Inc</v>
      </c>
      <c r="C896" t="s">
        <v>1797</v>
      </c>
      <c r="D896">
        <v>6.85</v>
      </c>
      <c r="E896">
        <v>0</v>
      </c>
      <c r="F896" t="s">
        <v>1797</v>
      </c>
      <c r="G896" t="s">
        <v>1797</v>
      </c>
      <c r="H896">
        <v>0</v>
      </c>
      <c r="I896">
        <v>2593.45795</v>
      </c>
      <c r="J896" t="s">
        <v>1797</v>
      </c>
      <c r="K896">
        <v>0</v>
      </c>
      <c r="L896">
        <v>1.2779219242622979</v>
      </c>
      <c r="M896">
        <v>9.59</v>
      </c>
      <c r="N896">
        <v>4.63</v>
      </c>
    </row>
    <row r="897" spans="1:14" x14ac:dyDescent="0.25">
      <c r="A897" s="1" t="s">
        <v>909</v>
      </c>
      <c r="B897" t="str">
        <f>HYPERLINK("https://www.suredividend.com/sure-analysis-research-database/","LGI Homes Inc")</f>
        <v>LGI Homes Inc</v>
      </c>
      <c r="C897" t="s">
        <v>1801</v>
      </c>
      <c r="D897">
        <v>124.17</v>
      </c>
      <c r="E897">
        <v>0</v>
      </c>
      <c r="F897" t="s">
        <v>1797</v>
      </c>
      <c r="G897" t="s">
        <v>1797</v>
      </c>
      <c r="H897">
        <v>0</v>
      </c>
      <c r="I897">
        <v>2925.9254900000001</v>
      </c>
      <c r="J897">
        <v>16.14276999310356</v>
      </c>
      <c r="K897">
        <v>0</v>
      </c>
      <c r="L897">
        <v>1.9131733346324691</v>
      </c>
      <c r="M897">
        <v>141.91</v>
      </c>
      <c r="N897">
        <v>84.16</v>
      </c>
    </row>
    <row r="898" spans="1:14" x14ac:dyDescent="0.25">
      <c r="A898" s="1" t="s">
        <v>910</v>
      </c>
      <c r="B898" t="str">
        <f>HYPERLINK("https://www.suredividend.com/sure-analysis-research-database/","Ligand Pharmaceuticals, Inc.")</f>
        <v>Ligand Pharmaceuticals, Inc.</v>
      </c>
      <c r="C898" t="s">
        <v>1802</v>
      </c>
      <c r="D898">
        <v>72.599999999999994</v>
      </c>
      <c r="E898">
        <v>0</v>
      </c>
      <c r="F898" t="s">
        <v>1797</v>
      </c>
      <c r="G898" t="s">
        <v>1797</v>
      </c>
      <c r="H898">
        <v>0</v>
      </c>
      <c r="I898">
        <v>1259.9916579999999</v>
      </c>
      <c r="J898">
        <v>76.451165475395911</v>
      </c>
      <c r="K898">
        <v>0</v>
      </c>
      <c r="L898">
        <v>0.92766831306921205</v>
      </c>
      <c r="M898">
        <v>85.7</v>
      </c>
      <c r="N898">
        <v>49.24</v>
      </c>
    </row>
    <row r="899" spans="1:14" x14ac:dyDescent="0.25">
      <c r="A899" s="1" t="s">
        <v>911</v>
      </c>
      <c r="B899" t="str">
        <f>HYPERLINK("https://www.suredividend.com/sure-analysis-research-database/","Li-Cycle Holdings Corp")</f>
        <v>Li-Cycle Holdings Corp</v>
      </c>
      <c r="C899" t="s">
        <v>1797</v>
      </c>
      <c r="D899">
        <v>0.53860000000000008</v>
      </c>
      <c r="E899">
        <v>0</v>
      </c>
      <c r="F899" t="s">
        <v>1797</v>
      </c>
      <c r="G899" t="s">
        <v>1797</v>
      </c>
      <c r="H899">
        <v>0</v>
      </c>
      <c r="I899">
        <v>95.928708</v>
      </c>
      <c r="J899">
        <v>0</v>
      </c>
      <c r="K899" t="s">
        <v>1797</v>
      </c>
      <c r="L899">
        <v>1.6869793002564839</v>
      </c>
      <c r="M899">
        <v>6.58</v>
      </c>
      <c r="N899">
        <v>0.50030000000000008</v>
      </c>
    </row>
    <row r="900" spans="1:14" x14ac:dyDescent="0.25">
      <c r="A900" s="1" t="s">
        <v>912</v>
      </c>
      <c r="B900" t="str">
        <f>HYPERLINK("https://www.suredividend.com/sure-analysis-research-database/","AEye Inc")</f>
        <v>AEye Inc</v>
      </c>
      <c r="C900" t="s">
        <v>1797</v>
      </c>
      <c r="D900">
        <v>1.97</v>
      </c>
      <c r="E900">
        <v>0</v>
      </c>
      <c r="F900" t="s">
        <v>1797</v>
      </c>
      <c r="G900" t="s">
        <v>1797</v>
      </c>
      <c r="H900">
        <v>0</v>
      </c>
      <c r="I900">
        <v>370.64197999999999</v>
      </c>
      <c r="J900" t="s">
        <v>1797</v>
      </c>
      <c r="K900">
        <v>0</v>
      </c>
      <c r="L900">
        <v>1.6158715487514681</v>
      </c>
      <c r="M900">
        <v>28.5</v>
      </c>
      <c r="N900">
        <v>1.51</v>
      </c>
    </row>
    <row r="901" spans="1:14" x14ac:dyDescent="0.25">
      <c r="A901" s="1" t="s">
        <v>913</v>
      </c>
      <c r="B901" t="str">
        <f>HYPERLINK("https://www.suredividend.com/sure-analysis-research-database/","Liberty Latin America Ltd")</f>
        <v>Liberty Latin America Ltd</v>
      </c>
      <c r="C901" t="s">
        <v>1806</v>
      </c>
      <c r="D901">
        <v>7.13</v>
      </c>
      <c r="E901">
        <v>0</v>
      </c>
      <c r="F901" t="s">
        <v>1797</v>
      </c>
      <c r="G901" t="s">
        <v>1797</v>
      </c>
      <c r="H901">
        <v>0</v>
      </c>
      <c r="I901">
        <v>1453.527</v>
      </c>
      <c r="J901">
        <v>0</v>
      </c>
      <c r="K901" t="s">
        <v>1797</v>
      </c>
      <c r="L901">
        <v>1.2972608468918989</v>
      </c>
      <c r="M901">
        <v>10.01</v>
      </c>
      <c r="N901">
        <v>6.36</v>
      </c>
    </row>
    <row r="902" spans="1:14" x14ac:dyDescent="0.25">
      <c r="A902" s="1" t="s">
        <v>914</v>
      </c>
      <c r="B902" t="str">
        <f>HYPERLINK("https://www.suredividend.com/sure-analysis-research-database/","Liberty Latin America Ltd")</f>
        <v>Liberty Latin America Ltd</v>
      </c>
      <c r="C902" t="s">
        <v>1806</v>
      </c>
      <c r="D902">
        <v>7.19</v>
      </c>
      <c r="E902">
        <v>0</v>
      </c>
      <c r="F902" t="s">
        <v>1797</v>
      </c>
      <c r="G902" t="s">
        <v>1797</v>
      </c>
      <c r="H902">
        <v>0</v>
      </c>
      <c r="I902">
        <v>1453.527</v>
      </c>
      <c r="J902">
        <v>0</v>
      </c>
      <c r="K902" t="s">
        <v>1797</v>
      </c>
      <c r="L902">
        <v>1.3060595899786971</v>
      </c>
      <c r="M902">
        <v>9.98</v>
      </c>
      <c r="N902">
        <v>6.41</v>
      </c>
    </row>
    <row r="903" spans="1:14" x14ac:dyDescent="0.25">
      <c r="A903" s="1" t="s">
        <v>915</v>
      </c>
      <c r="B903" t="str">
        <f>HYPERLINK("https://www.suredividend.com/sure-analysis-research-database/","Lindblad Expeditions Holdings Inc")</f>
        <v>Lindblad Expeditions Holdings Inc</v>
      </c>
      <c r="C903" t="s">
        <v>1801</v>
      </c>
      <c r="D903">
        <v>9.35</v>
      </c>
      <c r="E903">
        <v>0</v>
      </c>
      <c r="F903" t="s">
        <v>1797</v>
      </c>
      <c r="G903" t="s">
        <v>1797</v>
      </c>
      <c r="H903">
        <v>0</v>
      </c>
      <c r="I903">
        <v>499.17779999999999</v>
      </c>
      <c r="J903" t="s">
        <v>1797</v>
      </c>
      <c r="K903">
        <v>0</v>
      </c>
      <c r="L903">
        <v>2.1435702316738872</v>
      </c>
      <c r="M903">
        <v>12.46</v>
      </c>
      <c r="N903">
        <v>5.47</v>
      </c>
    </row>
    <row r="904" spans="1:14" x14ac:dyDescent="0.25">
      <c r="A904" s="1" t="s">
        <v>916</v>
      </c>
      <c r="B904" t="str">
        <f>HYPERLINK("https://www.suredividend.com/sure-analysis-research-database/","LivaNova PLC")</f>
        <v>LivaNova PLC</v>
      </c>
      <c r="C904" t="s">
        <v>1802</v>
      </c>
      <c r="D904">
        <v>51.19</v>
      </c>
      <c r="E904">
        <v>0</v>
      </c>
      <c r="F904" t="s">
        <v>1797</v>
      </c>
      <c r="G904" t="s">
        <v>1797</v>
      </c>
      <c r="H904">
        <v>0</v>
      </c>
      <c r="I904">
        <v>2757.6475829999999</v>
      </c>
      <c r="J904">
        <v>961.52286713389117</v>
      </c>
      <c r="K904">
        <v>0</v>
      </c>
      <c r="L904">
        <v>0.88881387655586808</v>
      </c>
      <c r="M904">
        <v>59.86</v>
      </c>
      <c r="N904">
        <v>40.26</v>
      </c>
    </row>
    <row r="905" spans="1:14" x14ac:dyDescent="0.25">
      <c r="A905" s="1" t="s">
        <v>917</v>
      </c>
      <c r="B905" t="str">
        <f>HYPERLINK("https://www.suredividend.com/sure-analysis-research-database/","Lakeland Financial Corp.")</f>
        <v>Lakeland Financial Corp.</v>
      </c>
      <c r="C905" t="s">
        <v>1800</v>
      </c>
      <c r="D905">
        <v>62.75</v>
      </c>
      <c r="E905">
        <v>2.8556715941891998E-2</v>
      </c>
      <c r="F905">
        <v>0.14999999999999991</v>
      </c>
      <c r="G905">
        <v>8.9249364912943774E-2</v>
      </c>
      <c r="H905">
        <v>1.7919339253537649</v>
      </c>
      <c r="I905">
        <v>1595.8406809999999</v>
      </c>
      <c r="J905">
        <v>17.708345513659872</v>
      </c>
      <c r="K905">
        <v>0.51198112152964714</v>
      </c>
      <c r="L905">
        <v>1.101305347829703</v>
      </c>
      <c r="M905">
        <v>72.709999999999994</v>
      </c>
      <c r="N905">
        <v>41.54</v>
      </c>
    </row>
    <row r="906" spans="1:14" x14ac:dyDescent="0.25">
      <c r="A906" s="1" t="s">
        <v>918</v>
      </c>
      <c r="B906" t="str">
        <f>HYPERLINK("https://www.suredividend.com/sure-analysis-research-database/","LL Flooring Holdings Inc")</f>
        <v>LL Flooring Holdings Inc</v>
      </c>
      <c r="C906" t="s">
        <v>1801</v>
      </c>
      <c r="D906">
        <v>3.17</v>
      </c>
      <c r="E906">
        <v>0</v>
      </c>
      <c r="F906" t="s">
        <v>1797</v>
      </c>
      <c r="G906" t="s">
        <v>1797</v>
      </c>
      <c r="H906">
        <v>0</v>
      </c>
      <c r="I906">
        <v>97.834924000000001</v>
      </c>
      <c r="J906" t="s">
        <v>1797</v>
      </c>
      <c r="K906">
        <v>0</v>
      </c>
      <c r="L906">
        <v>1.1782381045201971</v>
      </c>
      <c r="M906">
        <v>6.84</v>
      </c>
      <c r="N906">
        <v>2.6</v>
      </c>
    </row>
    <row r="907" spans="1:14" x14ac:dyDescent="0.25">
      <c r="A907" s="1" t="s">
        <v>919</v>
      </c>
      <c r="B907" t="str">
        <f>HYPERLINK("https://www.suredividend.com/sure-analysis-research-database/","Terran Orbital Corp")</f>
        <v>Terran Orbital Corp</v>
      </c>
      <c r="C907" t="s">
        <v>1797</v>
      </c>
      <c r="D907">
        <v>0.91020000000000001</v>
      </c>
      <c r="E907">
        <v>0</v>
      </c>
      <c r="F907" t="s">
        <v>1797</v>
      </c>
      <c r="G907" t="s">
        <v>1797</v>
      </c>
      <c r="H907">
        <v>0</v>
      </c>
      <c r="I907">
        <v>176.99873099999999</v>
      </c>
      <c r="J907" t="s">
        <v>1797</v>
      </c>
      <c r="K907">
        <v>0</v>
      </c>
      <c r="L907">
        <v>1.7663633891719071</v>
      </c>
      <c r="M907">
        <v>3.45</v>
      </c>
      <c r="N907">
        <v>0.62</v>
      </c>
    </row>
    <row r="908" spans="1:14" x14ac:dyDescent="0.25">
      <c r="A908" s="1" t="s">
        <v>920</v>
      </c>
      <c r="B908" t="str">
        <f>HYPERLINK("https://www.suredividend.com/sure-analysis-LMAT/","Lemaitre Vascular Inc")</f>
        <v>Lemaitre Vascular Inc</v>
      </c>
      <c r="C908" t="s">
        <v>1802</v>
      </c>
      <c r="D908">
        <v>55.69</v>
      </c>
      <c r="E908">
        <v>1.005566528999821E-2</v>
      </c>
      <c r="F908">
        <v>0.12000000000000011</v>
      </c>
      <c r="G908">
        <v>0.10494795379650319</v>
      </c>
      <c r="H908">
        <v>0.55645763775681401</v>
      </c>
      <c r="I908">
        <v>1239.839557</v>
      </c>
      <c r="J908">
        <v>45.470332531998388</v>
      </c>
      <c r="K908">
        <v>0.45611281783345409</v>
      </c>
      <c r="L908">
        <v>0.68208326776807104</v>
      </c>
      <c r="M908">
        <v>68.13</v>
      </c>
      <c r="N908">
        <v>43.87</v>
      </c>
    </row>
    <row r="909" spans="1:14" x14ac:dyDescent="0.25">
      <c r="A909" s="1" t="s">
        <v>921</v>
      </c>
      <c r="B909" t="str">
        <f>HYPERLINK("https://www.suredividend.com/sure-analysis-research-database/","Lemonade Inc")</f>
        <v>Lemonade Inc</v>
      </c>
      <c r="C909" t="s">
        <v>1797</v>
      </c>
      <c r="D909">
        <v>16.62</v>
      </c>
      <c r="E909">
        <v>0</v>
      </c>
      <c r="F909" t="s">
        <v>1797</v>
      </c>
      <c r="G909" t="s">
        <v>1797</v>
      </c>
      <c r="H909">
        <v>0</v>
      </c>
      <c r="I909">
        <v>1162.129717</v>
      </c>
      <c r="J909" t="s">
        <v>1797</v>
      </c>
      <c r="K909">
        <v>0</v>
      </c>
      <c r="L909">
        <v>2.8669405393815959</v>
      </c>
      <c r="M909">
        <v>24.81</v>
      </c>
      <c r="N909">
        <v>10.27</v>
      </c>
    </row>
    <row r="910" spans="1:14" x14ac:dyDescent="0.25">
      <c r="A910" s="1" t="s">
        <v>922</v>
      </c>
      <c r="B910" t="str">
        <f>HYPERLINK("https://www.suredividend.com/sure-analysis-LNN/","Lindsay Corporation")</f>
        <v>Lindsay Corporation</v>
      </c>
      <c r="C910" t="s">
        <v>1798</v>
      </c>
      <c r="D910">
        <v>129.28</v>
      </c>
      <c r="E910">
        <v>1.082920792079208E-2</v>
      </c>
      <c r="F910" t="s">
        <v>1797</v>
      </c>
      <c r="G910" t="s">
        <v>1797</v>
      </c>
      <c r="H910">
        <v>1.374335060469227</v>
      </c>
      <c r="I910">
        <v>1426.0794060000001</v>
      </c>
      <c r="J910">
        <v>20.61374374582617</v>
      </c>
      <c r="K910">
        <v>0.21954234192799149</v>
      </c>
      <c r="L910">
        <v>1.041426677349236</v>
      </c>
      <c r="M910">
        <v>159.36000000000001</v>
      </c>
      <c r="N910">
        <v>106.17</v>
      </c>
    </row>
    <row r="911" spans="1:14" x14ac:dyDescent="0.25">
      <c r="A911" s="1" t="s">
        <v>923</v>
      </c>
      <c r="B911" t="str">
        <f>HYPERLINK("https://www.suredividend.com/sure-analysis-research-database/","Lantheus Holdings Inc")</f>
        <v>Lantheus Holdings Inc</v>
      </c>
      <c r="C911" t="s">
        <v>1802</v>
      </c>
      <c r="D911">
        <v>56.24</v>
      </c>
      <c r="E911">
        <v>0</v>
      </c>
      <c r="F911" t="s">
        <v>1797</v>
      </c>
      <c r="G911" t="s">
        <v>1797</v>
      </c>
      <c r="H911">
        <v>0</v>
      </c>
      <c r="I911">
        <v>3851.8299649999999</v>
      </c>
      <c r="J911">
        <v>37.002670272825092</v>
      </c>
      <c r="K911">
        <v>0</v>
      </c>
      <c r="L911">
        <v>0.69358147361418709</v>
      </c>
      <c r="M911">
        <v>100.85</v>
      </c>
      <c r="N911">
        <v>52.2</v>
      </c>
    </row>
    <row r="912" spans="1:14" x14ac:dyDescent="0.25">
      <c r="A912" s="1" t="s">
        <v>924</v>
      </c>
      <c r="B912" t="str">
        <f>HYPERLINK("https://www.suredividend.com/sure-analysis-research-database/","Light &amp; Wonder Inc")</f>
        <v>Light &amp; Wonder Inc</v>
      </c>
      <c r="C912" t="s">
        <v>1797</v>
      </c>
      <c r="D912">
        <v>79.98</v>
      </c>
      <c r="E912">
        <v>0</v>
      </c>
      <c r="F912" t="s">
        <v>1797</v>
      </c>
      <c r="G912" t="s">
        <v>1797</v>
      </c>
      <c r="H912">
        <v>0</v>
      </c>
      <c r="I912">
        <v>7201.9908919999998</v>
      </c>
      <c r="J912">
        <v>57.15865787333334</v>
      </c>
      <c r="K912">
        <v>0</v>
      </c>
      <c r="L912">
        <v>1.395910202290586</v>
      </c>
      <c r="M912">
        <v>89.02</v>
      </c>
      <c r="N912">
        <v>53.77</v>
      </c>
    </row>
    <row r="913" spans="1:14" x14ac:dyDescent="0.25">
      <c r="A913" s="1" t="s">
        <v>925</v>
      </c>
      <c r="B913" t="str">
        <f>HYPERLINK("https://www.suredividend.com/sure-analysis-research-database/","Live Oak Bancshares Inc")</f>
        <v>Live Oak Bancshares Inc</v>
      </c>
      <c r="C913" t="s">
        <v>1800</v>
      </c>
      <c r="D913">
        <v>41.1</v>
      </c>
      <c r="E913">
        <v>2.9153902486420001E-3</v>
      </c>
      <c r="F913">
        <v>0</v>
      </c>
      <c r="G913">
        <v>0</v>
      </c>
      <c r="H913">
        <v>0.11982253921922401</v>
      </c>
      <c r="I913">
        <v>1828.1972539999999</v>
      </c>
      <c r="J913">
        <v>30.712067691971711</v>
      </c>
      <c r="K913">
        <v>9.077465092365454E-2</v>
      </c>
      <c r="L913">
        <v>1.9086766912562301</v>
      </c>
      <c r="M913">
        <v>47.22</v>
      </c>
      <c r="N913">
        <v>17.25</v>
      </c>
    </row>
    <row r="914" spans="1:14" x14ac:dyDescent="0.25">
      <c r="A914" s="1" t="s">
        <v>926</v>
      </c>
      <c r="B914" t="str">
        <f>HYPERLINK("https://www.suredividend.com/sure-analysis-research-database/","Local Bounti Corp")</f>
        <v>Local Bounti Corp</v>
      </c>
      <c r="C914" t="s">
        <v>1797</v>
      </c>
      <c r="D914">
        <v>1.67</v>
      </c>
      <c r="E914">
        <v>0</v>
      </c>
      <c r="F914" t="s">
        <v>1797</v>
      </c>
      <c r="G914" t="s">
        <v>1797</v>
      </c>
      <c r="H914">
        <v>0</v>
      </c>
      <c r="I914">
        <v>13.813802000000001</v>
      </c>
      <c r="J914" t="s">
        <v>1797</v>
      </c>
      <c r="K914">
        <v>0</v>
      </c>
      <c r="M914">
        <v>16.25</v>
      </c>
      <c r="N914">
        <v>1.17</v>
      </c>
    </row>
    <row r="915" spans="1:14" x14ac:dyDescent="0.25">
      <c r="A915" s="1" t="s">
        <v>927</v>
      </c>
      <c r="B915" t="str">
        <f>HYPERLINK("https://www.suredividend.com/sure-analysis-research-database/","El Pollo Loco Holdings Inc")</f>
        <v>El Pollo Loco Holdings Inc</v>
      </c>
      <c r="C915" t="s">
        <v>1801</v>
      </c>
      <c r="D915">
        <v>8.5299999999999994</v>
      </c>
      <c r="E915">
        <v>0</v>
      </c>
      <c r="F915" t="s">
        <v>1797</v>
      </c>
      <c r="G915" t="s">
        <v>1797</v>
      </c>
      <c r="H915">
        <v>0</v>
      </c>
      <c r="I915">
        <v>281.09137600000003</v>
      </c>
      <c r="J915">
        <v>10.133435813836121</v>
      </c>
      <c r="K915">
        <v>0</v>
      </c>
      <c r="L915">
        <v>0.95706025056605004</v>
      </c>
      <c r="M915">
        <v>13</v>
      </c>
      <c r="N915">
        <v>8.11</v>
      </c>
    </row>
    <row r="916" spans="1:14" x14ac:dyDescent="0.25">
      <c r="A916" s="1" t="s">
        <v>928</v>
      </c>
      <c r="B916" t="str">
        <f>HYPERLINK("https://www.suredividend.com/sure-analysis-research-database/","Lovesac Company")</f>
        <v>Lovesac Company</v>
      </c>
      <c r="C916" t="s">
        <v>1801</v>
      </c>
      <c r="D916">
        <v>23.53</v>
      </c>
      <c r="E916">
        <v>0</v>
      </c>
      <c r="F916" t="s">
        <v>1797</v>
      </c>
      <c r="G916" t="s">
        <v>1797</v>
      </c>
      <c r="H916">
        <v>0</v>
      </c>
      <c r="I916">
        <v>364.45614599999999</v>
      </c>
      <c r="J916">
        <v>19.386996460981969</v>
      </c>
      <c r="K916">
        <v>0</v>
      </c>
      <c r="L916">
        <v>1.9397499031496059</v>
      </c>
      <c r="M916">
        <v>30.94</v>
      </c>
      <c r="N916">
        <v>14.18</v>
      </c>
    </row>
    <row r="917" spans="1:14" x14ac:dyDescent="0.25">
      <c r="A917" s="1" t="s">
        <v>929</v>
      </c>
      <c r="B917" t="str">
        <f>HYPERLINK("https://www.suredividend.com/sure-analysis-research-database/","Dorian LPG Ltd")</f>
        <v>Dorian LPG Ltd</v>
      </c>
      <c r="C917" t="s">
        <v>1807</v>
      </c>
      <c r="D917">
        <v>42.53</v>
      </c>
      <c r="E917">
        <v>0</v>
      </c>
      <c r="F917" t="s">
        <v>1797</v>
      </c>
      <c r="G917" t="s">
        <v>1797</v>
      </c>
      <c r="H917">
        <v>0</v>
      </c>
      <c r="I917">
        <v>1727.053647</v>
      </c>
      <c r="J917">
        <v>6.7590148231392373</v>
      </c>
      <c r="K917">
        <v>0</v>
      </c>
      <c r="L917">
        <v>1.0705425987543431</v>
      </c>
      <c r="M917">
        <v>49.54</v>
      </c>
      <c r="N917">
        <v>14.18</v>
      </c>
    </row>
    <row r="918" spans="1:14" x14ac:dyDescent="0.25">
      <c r="A918" s="1" t="s">
        <v>930</v>
      </c>
      <c r="B918" t="str">
        <f>HYPERLINK("https://www.suredividend.com/sure-analysis-research-database/","Open Lending Corp")</f>
        <v>Open Lending Corp</v>
      </c>
      <c r="C918" t="s">
        <v>1797</v>
      </c>
      <c r="D918">
        <v>7.52</v>
      </c>
      <c r="E918">
        <v>0</v>
      </c>
      <c r="F918" t="s">
        <v>1797</v>
      </c>
      <c r="G918" t="s">
        <v>1797</v>
      </c>
      <c r="H918">
        <v>0</v>
      </c>
      <c r="I918">
        <v>900.54810199999997</v>
      </c>
      <c r="J918">
        <v>39.631567233199839</v>
      </c>
      <c r="K918">
        <v>0</v>
      </c>
      <c r="L918">
        <v>1.9286601491837729</v>
      </c>
      <c r="M918">
        <v>11.99</v>
      </c>
      <c r="N918">
        <v>4.8899999999999997</v>
      </c>
    </row>
    <row r="919" spans="1:14" x14ac:dyDescent="0.25">
      <c r="A919" s="1" t="s">
        <v>931</v>
      </c>
      <c r="B919" t="str">
        <f>HYPERLINK("https://www.suredividend.com/sure-analysis-research-database/","Liveperson Inc")</f>
        <v>Liveperson Inc</v>
      </c>
      <c r="C919" t="s">
        <v>1803</v>
      </c>
      <c r="D919">
        <v>3.44</v>
      </c>
      <c r="E919">
        <v>0</v>
      </c>
      <c r="F919" t="s">
        <v>1797</v>
      </c>
      <c r="G919" t="s">
        <v>1797</v>
      </c>
      <c r="H919">
        <v>0</v>
      </c>
      <c r="I919">
        <v>278.09717499999999</v>
      </c>
      <c r="J919" t="s">
        <v>1797</v>
      </c>
      <c r="K919">
        <v>0</v>
      </c>
      <c r="L919">
        <v>2.5468429215031461</v>
      </c>
      <c r="M919">
        <v>18.170000000000002</v>
      </c>
      <c r="N919">
        <v>2.33</v>
      </c>
    </row>
    <row r="920" spans="1:14" x14ac:dyDescent="0.25">
      <c r="A920" s="1" t="s">
        <v>932</v>
      </c>
      <c r="B920" t="str">
        <f>HYPERLINK("https://www.suredividend.com/sure-analysis-research-database/","Liquidia Corp")</f>
        <v>Liquidia Corp</v>
      </c>
      <c r="C920" t="s">
        <v>1802</v>
      </c>
      <c r="D920">
        <v>12.44</v>
      </c>
      <c r="E920">
        <v>0</v>
      </c>
      <c r="F920" t="s">
        <v>1797</v>
      </c>
      <c r="G920" t="s">
        <v>1797</v>
      </c>
      <c r="H920">
        <v>0</v>
      </c>
      <c r="I920">
        <v>807.42435799999998</v>
      </c>
      <c r="J920" t="s">
        <v>1797</v>
      </c>
      <c r="K920">
        <v>0</v>
      </c>
      <c r="L920">
        <v>0.42276808925800502</v>
      </c>
      <c r="M920">
        <v>13.26</v>
      </c>
      <c r="N920">
        <v>5.71</v>
      </c>
    </row>
    <row r="921" spans="1:14" x14ac:dyDescent="0.25">
      <c r="A921" s="1" t="s">
        <v>933</v>
      </c>
      <c r="B921" t="str">
        <f>HYPERLINK("https://www.suredividend.com/sure-analysis-research-database/","Liquidity Services Inc")</f>
        <v>Liquidity Services Inc</v>
      </c>
      <c r="C921" t="s">
        <v>1801</v>
      </c>
      <c r="D921">
        <v>17.14</v>
      </c>
      <c r="E921">
        <v>0</v>
      </c>
      <c r="F921" t="s">
        <v>1797</v>
      </c>
      <c r="G921" t="s">
        <v>1797</v>
      </c>
      <c r="H921">
        <v>0</v>
      </c>
      <c r="I921">
        <v>527.16005099999995</v>
      </c>
      <c r="J921">
        <v>25.130383327453881</v>
      </c>
      <c r="K921">
        <v>0</v>
      </c>
      <c r="L921">
        <v>0.81364735979207803</v>
      </c>
      <c r="M921">
        <v>21.1</v>
      </c>
      <c r="N921">
        <v>11.97</v>
      </c>
    </row>
    <row r="922" spans="1:14" x14ac:dyDescent="0.25">
      <c r="A922" s="1" t="s">
        <v>934</v>
      </c>
      <c r="B922" t="str">
        <f>HYPERLINK("https://www.suredividend.com/sure-analysis-research-database/","Stride Inc")</f>
        <v>Stride Inc</v>
      </c>
      <c r="C922" t="s">
        <v>1804</v>
      </c>
      <c r="D922">
        <v>58.52</v>
      </c>
      <c r="E922">
        <v>0</v>
      </c>
      <c r="F922" t="s">
        <v>1797</v>
      </c>
      <c r="G922" t="s">
        <v>1797</v>
      </c>
      <c r="H922">
        <v>0</v>
      </c>
      <c r="I922">
        <v>2516.36</v>
      </c>
      <c r="J922">
        <v>16.29587415893328</v>
      </c>
      <c r="K922">
        <v>0</v>
      </c>
      <c r="L922">
        <v>0.24499903063863701</v>
      </c>
      <c r="M922">
        <v>62.56</v>
      </c>
      <c r="N922">
        <v>31.68</v>
      </c>
    </row>
    <row r="923" spans="1:14" x14ac:dyDescent="0.25">
      <c r="A923" s="1" t="s">
        <v>935</v>
      </c>
      <c r="B923" t="str">
        <f>HYPERLINK("https://www.suredividend.com/sure-analysis-research-database/","Landsea Homes Corporation")</f>
        <v>Landsea Homes Corporation</v>
      </c>
      <c r="C923" t="s">
        <v>1797</v>
      </c>
      <c r="D923">
        <v>12.75</v>
      </c>
      <c r="E923">
        <v>0</v>
      </c>
      <c r="F923" t="s">
        <v>1797</v>
      </c>
      <c r="G923" t="s">
        <v>1797</v>
      </c>
      <c r="H923">
        <v>0</v>
      </c>
      <c r="I923">
        <v>481.88868500000001</v>
      </c>
      <c r="J923">
        <v>0</v>
      </c>
      <c r="K923" t="s">
        <v>1797</v>
      </c>
      <c r="L923">
        <v>1.1037683114548369</v>
      </c>
      <c r="M923">
        <v>13.6</v>
      </c>
      <c r="N923">
        <v>5.74</v>
      </c>
    </row>
    <row r="924" spans="1:14" x14ac:dyDescent="0.25">
      <c r="A924" s="1" t="s">
        <v>936</v>
      </c>
      <c r="B924" t="str">
        <f>HYPERLINK("https://www.suredividend.com/sure-analysis-LTC/","LTC Properties, Inc.")</f>
        <v>LTC Properties, Inc.</v>
      </c>
      <c r="C924" t="s">
        <v>1799</v>
      </c>
      <c r="D924">
        <v>32.950000000000003</v>
      </c>
      <c r="E924">
        <v>6.9195751138087999E-2</v>
      </c>
      <c r="F924">
        <v>0</v>
      </c>
      <c r="G924">
        <v>0</v>
      </c>
      <c r="H924">
        <v>2.2089293382232338</v>
      </c>
      <c r="I924">
        <v>1364.5152840000001</v>
      </c>
      <c r="J924">
        <v>17.282846341447971</v>
      </c>
      <c r="K924">
        <v>1.1504840303246009</v>
      </c>
      <c r="L924">
        <v>0.63584689174716602</v>
      </c>
      <c r="M924">
        <v>36.57</v>
      </c>
      <c r="N924">
        <v>29.64</v>
      </c>
    </row>
    <row r="925" spans="1:14" x14ac:dyDescent="0.25">
      <c r="A925" s="1" t="s">
        <v>937</v>
      </c>
      <c r="B925" t="str">
        <f>HYPERLINK("https://www.suredividend.com/sure-analysis-research-database/","Latch Inc")</f>
        <v>Latch Inc</v>
      </c>
      <c r="C925" t="s">
        <v>1797</v>
      </c>
      <c r="D925">
        <v>0.68</v>
      </c>
      <c r="E925">
        <v>0</v>
      </c>
      <c r="F925" t="s">
        <v>1797</v>
      </c>
      <c r="G925" t="s">
        <v>1797</v>
      </c>
      <c r="H925">
        <v>0</v>
      </c>
      <c r="I925">
        <v>0</v>
      </c>
      <c r="J925">
        <v>0</v>
      </c>
      <c r="K925">
        <v>0</v>
      </c>
    </row>
    <row r="926" spans="1:14" x14ac:dyDescent="0.25">
      <c r="A926" s="1" t="s">
        <v>938</v>
      </c>
      <c r="B926" t="str">
        <f>HYPERLINK("https://www.suredividend.com/sure-analysis-research-database/","Life Time Group Holdings Inc")</f>
        <v>Life Time Group Holdings Inc</v>
      </c>
      <c r="C926" t="s">
        <v>1797</v>
      </c>
      <c r="D926">
        <v>14.42</v>
      </c>
      <c r="E926">
        <v>0</v>
      </c>
      <c r="F926" t="s">
        <v>1797</v>
      </c>
      <c r="G926" t="s">
        <v>1797</v>
      </c>
      <c r="H926">
        <v>0</v>
      </c>
      <c r="I926">
        <v>2832.2163519999999</v>
      </c>
      <c r="J926">
        <v>0</v>
      </c>
      <c r="K926" t="s">
        <v>1797</v>
      </c>
      <c r="L926">
        <v>1.6497506922067069</v>
      </c>
      <c r="M926">
        <v>22.41</v>
      </c>
      <c r="N926">
        <v>11.1</v>
      </c>
    </row>
    <row r="927" spans="1:14" x14ac:dyDescent="0.25">
      <c r="A927" s="1" t="s">
        <v>939</v>
      </c>
      <c r="B927" t="str">
        <f>HYPERLINK("https://www.suredividend.com/sure-analysis-research-database/","Livent Corp")</f>
        <v>Livent Corp</v>
      </c>
      <c r="C927" t="s">
        <v>1808</v>
      </c>
      <c r="D927">
        <v>16.510000000000002</v>
      </c>
      <c r="E927">
        <v>0</v>
      </c>
      <c r="F927" t="s">
        <v>1797</v>
      </c>
      <c r="G927" t="s">
        <v>1797</v>
      </c>
      <c r="H927">
        <v>0</v>
      </c>
      <c r="I927">
        <v>2967.333005</v>
      </c>
      <c r="J927">
        <v>7.9107784720607848</v>
      </c>
      <c r="K927">
        <v>0</v>
      </c>
      <c r="L927">
        <v>1.8898559006855229</v>
      </c>
      <c r="M927">
        <v>29.18</v>
      </c>
      <c r="N927">
        <v>12.76</v>
      </c>
    </row>
    <row r="928" spans="1:14" x14ac:dyDescent="0.25">
      <c r="A928" s="1" t="s">
        <v>940</v>
      </c>
      <c r="B928" t="str">
        <f>HYPERLINK("https://www.suredividend.com/sure-analysis-research-database/","Pulmonx Corp")</f>
        <v>Pulmonx Corp</v>
      </c>
      <c r="C928" t="s">
        <v>1797</v>
      </c>
      <c r="D928">
        <v>12.73</v>
      </c>
      <c r="E928">
        <v>0</v>
      </c>
      <c r="F928" t="s">
        <v>1797</v>
      </c>
      <c r="G928" t="s">
        <v>1797</v>
      </c>
      <c r="H928">
        <v>0</v>
      </c>
      <c r="I928">
        <v>487.66227800000001</v>
      </c>
      <c r="J928" t="s">
        <v>1797</v>
      </c>
      <c r="K928">
        <v>0</v>
      </c>
      <c r="L928">
        <v>1.5274624301483459</v>
      </c>
      <c r="M928">
        <v>14.28</v>
      </c>
      <c r="N928">
        <v>7.75</v>
      </c>
    </row>
    <row r="929" spans="1:14" x14ac:dyDescent="0.25">
      <c r="A929" s="1" t="s">
        <v>941</v>
      </c>
      <c r="B929" t="str">
        <f>HYPERLINK("https://www.suredividend.com/sure-analysis-research-database/","Lulus Fashion Lounge Holdings Inc")</f>
        <v>Lulus Fashion Lounge Holdings Inc</v>
      </c>
      <c r="C929" t="s">
        <v>1797</v>
      </c>
      <c r="D929">
        <v>2.09</v>
      </c>
      <c r="E929">
        <v>0</v>
      </c>
      <c r="F929" t="s">
        <v>1797</v>
      </c>
      <c r="G929" t="s">
        <v>1797</v>
      </c>
      <c r="H929">
        <v>0</v>
      </c>
      <c r="I929">
        <v>84.589721999999995</v>
      </c>
      <c r="J929" t="s">
        <v>1797</v>
      </c>
      <c r="K929">
        <v>0</v>
      </c>
      <c r="L929">
        <v>0.52005842369419808</v>
      </c>
      <c r="M929">
        <v>4.04</v>
      </c>
      <c r="N929">
        <v>1.44</v>
      </c>
    </row>
    <row r="930" spans="1:14" x14ac:dyDescent="0.25">
      <c r="A930" s="1" t="s">
        <v>942</v>
      </c>
      <c r="B930" t="str">
        <f>HYPERLINK("https://www.suredividend.com/sure-analysis-research-database/","LiveVox Holdings Inc")</f>
        <v>LiveVox Holdings Inc</v>
      </c>
      <c r="C930" t="s">
        <v>1797</v>
      </c>
      <c r="D930">
        <v>3.73</v>
      </c>
      <c r="E930">
        <v>0</v>
      </c>
      <c r="F930" t="s">
        <v>1797</v>
      </c>
      <c r="G930" t="s">
        <v>1797</v>
      </c>
      <c r="H930">
        <v>0</v>
      </c>
      <c r="I930">
        <v>0</v>
      </c>
      <c r="J930">
        <v>0</v>
      </c>
      <c r="K930">
        <v>0</v>
      </c>
    </row>
    <row r="931" spans="1:14" x14ac:dyDescent="0.25">
      <c r="A931" s="1" t="s">
        <v>943</v>
      </c>
      <c r="B931" t="str">
        <f>HYPERLINK("https://www.suredividend.com/sure-analysis-research-database/","Lightwave Logic Inc")</f>
        <v>Lightwave Logic Inc</v>
      </c>
      <c r="C931" t="s">
        <v>1808</v>
      </c>
      <c r="D931">
        <v>4.0999999999999996</v>
      </c>
      <c r="E931">
        <v>0</v>
      </c>
      <c r="F931" t="s">
        <v>1797</v>
      </c>
      <c r="G931" t="s">
        <v>1797</v>
      </c>
      <c r="H931">
        <v>0</v>
      </c>
      <c r="I931">
        <v>477.49272000000002</v>
      </c>
      <c r="J931">
        <v>0</v>
      </c>
      <c r="K931" t="s">
        <v>1797</v>
      </c>
      <c r="L931">
        <v>2.7206863508834251</v>
      </c>
      <c r="M931">
        <v>9.18</v>
      </c>
      <c r="N931">
        <v>3.79</v>
      </c>
    </row>
    <row r="932" spans="1:14" x14ac:dyDescent="0.25">
      <c r="A932" s="1" t="s">
        <v>944</v>
      </c>
      <c r="B932" t="str">
        <f>HYPERLINK("https://www.suredividend.com/sure-analysis-research-database/","Luxfer Holdings PLC")</f>
        <v>Luxfer Holdings PLC</v>
      </c>
      <c r="C932" t="s">
        <v>1798</v>
      </c>
      <c r="D932">
        <v>8.3699999999999992</v>
      </c>
      <c r="E932">
        <v>4.6103220897135998E-2</v>
      </c>
      <c r="F932">
        <v>0</v>
      </c>
      <c r="G932">
        <v>7.8749885178921453E-3</v>
      </c>
      <c r="H932">
        <v>0.38588395890903299</v>
      </c>
      <c r="I932">
        <v>224.90998500000001</v>
      </c>
      <c r="J932">
        <v>0</v>
      </c>
      <c r="K932" t="s">
        <v>1797</v>
      </c>
      <c r="L932">
        <v>1.083611153182144</v>
      </c>
      <c r="M932">
        <v>17.32</v>
      </c>
      <c r="N932">
        <v>7.91</v>
      </c>
    </row>
    <row r="933" spans="1:14" x14ac:dyDescent="0.25">
      <c r="A933" s="1" t="s">
        <v>945</v>
      </c>
      <c r="B933" t="str">
        <f>HYPERLINK("https://www.suredividend.com/sure-analysis-LXP/","LXP Industrial Trust")</f>
        <v>LXP Industrial Trust</v>
      </c>
      <c r="C933" t="s">
        <v>1799</v>
      </c>
      <c r="D933">
        <v>9.5399999999999991</v>
      </c>
      <c r="E933">
        <v>5.4507337526205457E-2</v>
      </c>
      <c r="F933">
        <v>4.0000000000000042E-2</v>
      </c>
      <c r="G933">
        <v>4.8682202157017462E-2</v>
      </c>
      <c r="H933">
        <v>0.49518554906779799</v>
      </c>
      <c r="I933">
        <v>2791.7338450000002</v>
      </c>
      <c r="J933">
        <v>58.461957269700328</v>
      </c>
      <c r="K933">
        <v>3.079512121068396</v>
      </c>
      <c r="L933">
        <v>1.0712339723884079</v>
      </c>
      <c r="M933">
        <v>11.31</v>
      </c>
      <c r="N933">
        <v>7.65</v>
      </c>
    </row>
    <row r="934" spans="1:14" x14ac:dyDescent="0.25">
      <c r="A934" s="1" t="s">
        <v>946</v>
      </c>
      <c r="B934" t="str">
        <f>HYPERLINK("https://www.suredividend.com/sure-analysis-research-database/","Lexicon Pharmaceuticals Inc")</f>
        <v>Lexicon Pharmaceuticals Inc</v>
      </c>
      <c r="C934" t="s">
        <v>1802</v>
      </c>
      <c r="D934">
        <v>1.37</v>
      </c>
      <c r="E934">
        <v>0</v>
      </c>
      <c r="F934" t="s">
        <v>1797</v>
      </c>
      <c r="G934" t="s">
        <v>1797</v>
      </c>
      <c r="H934">
        <v>0</v>
      </c>
      <c r="I934">
        <v>335.54683199999999</v>
      </c>
      <c r="J934" t="s">
        <v>1797</v>
      </c>
      <c r="K934">
        <v>0</v>
      </c>
      <c r="L934">
        <v>1.7476058249367781</v>
      </c>
      <c r="M934">
        <v>3.79</v>
      </c>
      <c r="N934">
        <v>0.92</v>
      </c>
    </row>
    <row r="935" spans="1:14" x14ac:dyDescent="0.25">
      <c r="A935" s="1" t="s">
        <v>947</v>
      </c>
      <c r="B935" t="str">
        <f>HYPERLINK("https://www.suredividend.com/sure-analysis-research-database/","LSB Industries, Inc.")</f>
        <v>LSB Industries, Inc.</v>
      </c>
      <c r="C935" t="s">
        <v>1808</v>
      </c>
      <c r="D935">
        <v>7.92</v>
      </c>
      <c r="E935">
        <v>0</v>
      </c>
      <c r="F935" t="s">
        <v>1797</v>
      </c>
      <c r="G935" t="s">
        <v>1797</v>
      </c>
      <c r="H935">
        <v>0</v>
      </c>
      <c r="I935">
        <v>588.807141</v>
      </c>
      <c r="J935">
        <v>5.9391480847286671</v>
      </c>
      <c r="K935">
        <v>0</v>
      </c>
      <c r="L935">
        <v>1.1518744640544389</v>
      </c>
      <c r="M935">
        <v>14.71</v>
      </c>
      <c r="N935">
        <v>7.72</v>
      </c>
    </row>
    <row r="936" spans="1:14" x14ac:dyDescent="0.25">
      <c r="A936" s="1" t="s">
        <v>948</v>
      </c>
      <c r="B936" t="str">
        <f>HYPERLINK("https://www.suredividend.com/sure-analysis-research-database/","Lyell Immunopharma Inc")</f>
        <v>Lyell Immunopharma Inc</v>
      </c>
      <c r="C936" t="s">
        <v>1797</v>
      </c>
      <c r="D936">
        <v>2.2200000000000002</v>
      </c>
      <c r="E936">
        <v>0</v>
      </c>
      <c r="F936" t="s">
        <v>1797</v>
      </c>
      <c r="G936" t="s">
        <v>1797</v>
      </c>
      <c r="H936">
        <v>0</v>
      </c>
      <c r="I936">
        <v>559.14910899999995</v>
      </c>
      <c r="J936" t="s">
        <v>1797</v>
      </c>
      <c r="K936">
        <v>0</v>
      </c>
      <c r="L936">
        <v>2.045630844951591</v>
      </c>
      <c r="M936">
        <v>3.97</v>
      </c>
      <c r="N936">
        <v>1.32</v>
      </c>
    </row>
    <row r="937" spans="1:14" x14ac:dyDescent="0.25">
      <c r="A937" s="1" t="s">
        <v>949</v>
      </c>
      <c r="B937" t="str">
        <f>HYPERLINK("https://www.suredividend.com/sure-analysis-research-database/","LegalZoom.com Inc.")</f>
        <v>LegalZoom.com Inc.</v>
      </c>
      <c r="C937" t="s">
        <v>1797</v>
      </c>
      <c r="D937">
        <v>10.78</v>
      </c>
      <c r="E937">
        <v>0</v>
      </c>
      <c r="F937" t="s">
        <v>1797</v>
      </c>
      <c r="G937" t="s">
        <v>1797</v>
      </c>
      <c r="H937">
        <v>0</v>
      </c>
      <c r="I937">
        <v>2025.929091</v>
      </c>
      <c r="J937">
        <v>172.65460127322311</v>
      </c>
      <c r="K937">
        <v>0</v>
      </c>
      <c r="L937">
        <v>1.678699476620044</v>
      </c>
      <c r="M937">
        <v>15.68</v>
      </c>
      <c r="N937">
        <v>6.89</v>
      </c>
    </row>
    <row r="938" spans="1:14" x14ac:dyDescent="0.25">
      <c r="A938" s="1" t="s">
        <v>950</v>
      </c>
      <c r="B938" t="str">
        <f>HYPERLINK("https://www.suredividend.com/sure-analysis-research-database/","La-Z-Boy Inc.")</f>
        <v>La-Z-Boy Inc.</v>
      </c>
      <c r="C938" t="s">
        <v>1801</v>
      </c>
      <c r="D938">
        <v>36.159999999999997</v>
      </c>
      <c r="E938">
        <v>2.0415067209003001E-2</v>
      </c>
      <c r="F938" t="s">
        <v>1797</v>
      </c>
      <c r="G938" t="s">
        <v>1797</v>
      </c>
      <c r="H938">
        <v>0.73820883027756101</v>
      </c>
      <c r="I938">
        <v>1546.9074430000001</v>
      </c>
      <c r="J938">
        <v>12.80796379443106</v>
      </c>
      <c r="K938">
        <v>0.26459097859410791</v>
      </c>
      <c r="L938">
        <v>1.1036490250620361</v>
      </c>
      <c r="M938">
        <v>38</v>
      </c>
      <c r="N938">
        <v>24.84</v>
      </c>
    </row>
    <row r="939" spans="1:14" x14ac:dyDescent="0.25">
      <c r="A939" s="1" t="s">
        <v>951</v>
      </c>
      <c r="B939" t="str">
        <f>HYPERLINK("https://www.suredividend.com/sure-analysis-MAC/","Macerich Co.")</f>
        <v>Macerich Co.</v>
      </c>
      <c r="C939" t="s">
        <v>1799</v>
      </c>
      <c r="D939">
        <v>15.69</v>
      </c>
      <c r="E939">
        <v>4.3339706819630341E-2</v>
      </c>
      <c r="F939">
        <v>0</v>
      </c>
      <c r="G939">
        <v>-0.25684820418238441</v>
      </c>
      <c r="H939">
        <v>0.66412132740563901</v>
      </c>
      <c r="I939">
        <v>3380.3818970000002</v>
      </c>
      <c r="J939" t="s">
        <v>1797</v>
      </c>
      <c r="K939" t="s">
        <v>1797</v>
      </c>
      <c r="L939">
        <v>1.8381866962169651</v>
      </c>
      <c r="M939">
        <v>16.54</v>
      </c>
      <c r="N939">
        <v>8.36</v>
      </c>
    </row>
    <row r="940" spans="1:14" x14ac:dyDescent="0.25">
      <c r="A940" s="1" t="s">
        <v>952</v>
      </c>
      <c r="B940" t="str">
        <f>HYPERLINK("https://www.suredividend.com/sure-analysis-research-database/","WM Technology Inc")</f>
        <v>WM Technology Inc</v>
      </c>
      <c r="C940" t="s">
        <v>1797</v>
      </c>
      <c r="D940">
        <v>0.89900000000000002</v>
      </c>
      <c r="E940">
        <v>0</v>
      </c>
      <c r="F940" t="s">
        <v>1797</v>
      </c>
      <c r="G940" t="s">
        <v>1797</v>
      </c>
      <c r="H940">
        <v>0</v>
      </c>
      <c r="I940">
        <v>84.399135999999999</v>
      </c>
      <c r="J940" t="s">
        <v>1797</v>
      </c>
      <c r="K940">
        <v>0</v>
      </c>
      <c r="L940">
        <v>2.4492606638734151</v>
      </c>
      <c r="M940">
        <v>1.88</v>
      </c>
      <c r="N940">
        <v>0.59599999999999997</v>
      </c>
    </row>
    <row r="941" spans="1:14" x14ac:dyDescent="0.25">
      <c r="A941" s="1" t="s">
        <v>953</v>
      </c>
      <c r="B941" t="str">
        <f>HYPERLINK("https://www.suredividend.com/sure-analysis-research-database/","Marathon Digital Holdings Inc")</f>
        <v>Marathon Digital Holdings Inc</v>
      </c>
      <c r="C941" t="s">
        <v>1800</v>
      </c>
      <c r="D941">
        <v>18.98</v>
      </c>
      <c r="E941">
        <v>0</v>
      </c>
      <c r="F941" t="s">
        <v>1797</v>
      </c>
      <c r="G941" t="s">
        <v>1797</v>
      </c>
      <c r="H941">
        <v>0</v>
      </c>
      <c r="I941">
        <v>4225.4236959999998</v>
      </c>
      <c r="J941">
        <v>0</v>
      </c>
      <c r="K941" t="s">
        <v>1797</v>
      </c>
      <c r="L941">
        <v>3.400313690572792</v>
      </c>
      <c r="M941">
        <v>31.3</v>
      </c>
      <c r="N941">
        <v>5.13</v>
      </c>
    </row>
    <row r="942" spans="1:14" x14ac:dyDescent="0.25">
      <c r="A942" s="1" t="s">
        <v>954</v>
      </c>
      <c r="B942" t="str">
        <f>HYPERLINK("https://www.suredividend.com/sure-analysis-research-database/","908 Devices Inc")</f>
        <v>908 Devices Inc</v>
      </c>
      <c r="C942" t="s">
        <v>1797</v>
      </c>
      <c r="D942">
        <v>7.76</v>
      </c>
      <c r="E942">
        <v>0</v>
      </c>
      <c r="F942" t="s">
        <v>1797</v>
      </c>
      <c r="G942" t="s">
        <v>1797</v>
      </c>
      <c r="H942">
        <v>0</v>
      </c>
      <c r="I942">
        <v>251.26191700000001</v>
      </c>
      <c r="J942" t="s">
        <v>1797</v>
      </c>
      <c r="K942">
        <v>0</v>
      </c>
      <c r="L942">
        <v>2.0176946843338799</v>
      </c>
      <c r="M942">
        <v>12.51</v>
      </c>
      <c r="N942">
        <v>4.8499999999999996</v>
      </c>
    </row>
    <row r="943" spans="1:14" x14ac:dyDescent="0.25">
      <c r="A943" s="1" t="s">
        <v>955</v>
      </c>
      <c r="B943" t="str">
        <f>HYPERLINK("https://www.suredividend.com/sure-analysis-research-database/","Mativ Holdings Inc")</f>
        <v>Mativ Holdings Inc</v>
      </c>
      <c r="C943" t="s">
        <v>1797</v>
      </c>
      <c r="D943">
        <v>13.09</v>
      </c>
      <c r="E943">
        <v>7.4778229229086002E-2</v>
      </c>
      <c r="F943" t="s">
        <v>1797</v>
      </c>
      <c r="G943" t="s">
        <v>1797</v>
      </c>
      <c r="H943">
        <v>0.97884702060873907</v>
      </c>
      <c r="I943">
        <v>709.48690099999999</v>
      </c>
      <c r="J943" t="s">
        <v>1797</v>
      </c>
      <c r="K943" t="s">
        <v>1797</v>
      </c>
      <c r="L943">
        <v>1.2953415903640879</v>
      </c>
      <c r="M943">
        <v>27.48</v>
      </c>
      <c r="N943">
        <v>11.6</v>
      </c>
    </row>
    <row r="944" spans="1:14" x14ac:dyDescent="0.25">
      <c r="A944" s="1" t="s">
        <v>956</v>
      </c>
      <c r="B944" t="str">
        <f>HYPERLINK("https://www.suredividend.com/sure-analysis-MATW/","Matthews International Corp.")</f>
        <v>Matthews International Corp.</v>
      </c>
      <c r="C944" t="s">
        <v>1798</v>
      </c>
      <c r="D944">
        <v>34.700000000000003</v>
      </c>
      <c r="E944">
        <v>2.7665706051873191E-2</v>
      </c>
      <c r="F944">
        <v>4.3478260869565188E-2</v>
      </c>
      <c r="G944">
        <v>3.7137289336648172E-2</v>
      </c>
      <c r="H944">
        <v>0.91318297619983502</v>
      </c>
      <c r="I944">
        <v>1054.3335099999999</v>
      </c>
      <c r="J944">
        <v>26.833969858237261</v>
      </c>
      <c r="K944">
        <v>0.72474839380939282</v>
      </c>
      <c r="L944">
        <v>1.0293336784506999</v>
      </c>
      <c r="M944">
        <v>47.7</v>
      </c>
      <c r="N944">
        <v>32.93</v>
      </c>
    </row>
    <row r="945" spans="1:14" x14ac:dyDescent="0.25">
      <c r="A945" s="1" t="s">
        <v>957</v>
      </c>
      <c r="B945" t="str">
        <f>HYPERLINK("https://www.suredividend.com/sure-analysis-research-database/","Matson Inc")</f>
        <v>Matson Inc</v>
      </c>
      <c r="C945" t="s">
        <v>1798</v>
      </c>
      <c r="D945">
        <v>113.23</v>
      </c>
      <c r="E945">
        <v>1.1066851240015999E-2</v>
      </c>
      <c r="F945">
        <v>3.2258064516128997E-2</v>
      </c>
      <c r="G945">
        <v>8.7892885777757002E-2</v>
      </c>
      <c r="H945">
        <v>1.2530995659070421</v>
      </c>
      <c r="I945">
        <v>3979.669899</v>
      </c>
      <c r="J945">
        <v>12.7267985270227</v>
      </c>
      <c r="K945">
        <v>0.14486700183896439</v>
      </c>
      <c r="L945">
        <v>1.251640149382429</v>
      </c>
      <c r="M945">
        <v>117.88</v>
      </c>
      <c r="N945">
        <v>55.85</v>
      </c>
    </row>
    <row r="946" spans="1:14" x14ac:dyDescent="0.25">
      <c r="A946" s="1" t="s">
        <v>958</v>
      </c>
      <c r="B946" t="str">
        <f>HYPERLINK("https://www.suredividend.com/sure-analysis-research-database/","MediaAlpha Inc")</f>
        <v>MediaAlpha Inc</v>
      </c>
      <c r="C946" t="s">
        <v>1797</v>
      </c>
      <c r="D946">
        <v>10.45</v>
      </c>
      <c r="E946">
        <v>0</v>
      </c>
      <c r="F946" t="s">
        <v>1797</v>
      </c>
      <c r="G946" t="s">
        <v>1797</v>
      </c>
      <c r="H946">
        <v>0</v>
      </c>
      <c r="I946">
        <v>490.84283299999998</v>
      </c>
      <c r="J946" t="s">
        <v>1797</v>
      </c>
      <c r="K946">
        <v>0</v>
      </c>
      <c r="L946">
        <v>1.5478195899954941</v>
      </c>
      <c r="M946">
        <v>17.010000000000002</v>
      </c>
      <c r="N946">
        <v>5.08</v>
      </c>
    </row>
    <row r="947" spans="1:14" x14ac:dyDescent="0.25">
      <c r="A947" s="1" t="s">
        <v>959</v>
      </c>
      <c r="B947" t="str">
        <f>HYPERLINK("https://www.suredividend.com/sure-analysis-research-database/","MBIA Inc.")</f>
        <v>MBIA Inc.</v>
      </c>
      <c r="C947" t="s">
        <v>1800</v>
      </c>
      <c r="D947">
        <v>5.44</v>
      </c>
      <c r="E947">
        <v>0</v>
      </c>
      <c r="F947" t="s">
        <v>1797</v>
      </c>
      <c r="G947" t="s">
        <v>1797</v>
      </c>
      <c r="H947">
        <v>0</v>
      </c>
      <c r="I947">
        <v>278.19886400000001</v>
      </c>
      <c r="J947" t="s">
        <v>1797</v>
      </c>
      <c r="K947">
        <v>0</v>
      </c>
      <c r="L947">
        <v>1.0808178242786159</v>
      </c>
      <c r="M947">
        <v>7.33</v>
      </c>
      <c r="N947">
        <v>2.65</v>
      </c>
    </row>
    <row r="948" spans="1:14" x14ac:dyDescent="0.25">
      <c r="A948" s="1" t="s">
        <v>960</v>
      </c>
      <c r="B948" t="str">
        <f>HYPERLINK("https://www.suredividend.com/sure-analysis-research-database/","Merchants Bancorp")</f>
        <v>Merchants Bancorp</v>
      </c>
      <c r="C948" t="s">
        <v>1800</v>
      </c>
      <c r="D948">
        <v>41.314999999999998</v>
      </c>
      <c r="E948">
        <v>7.6880393255620008E-3</v>
      </c>
      <c r="F948">
        <v>0.14285714285714279</v>
      </c>
      <c r="G948">
        <v>2.7066087089351761E-2</v>
      </c>
      <c r="H948">
        <v>0.31763134473560301</v>
      </c>
      <c r="I948">
        <v>1786.4693589999999</v>
      </c>
      <c r="J948">
        <v>7.9711461369730978</v>
      </c>
      <c r="K948">
        <v>6.1437397434352607E-2</v>
      </c>
      <c r="L948">
        <v>1.155515453285535</v>
      </c>
      <c r="M948">
        <v>43.89</v>
      </c>
      <c r="N948">
        <v>21.16</v>
      </c>
    </row>
    <row r="949" spans="1:14" x14ac:dyDescent="0.25">
      <c r="A949" s="1" t="s">
        <v>961</v>
      </c>
      <c r="B949" t="str">
        <f>HYPERLINK("https://www.suredividend.com/sure-analysis-research-database/","Malibu Boats Inc")</f>
        <v>Malibu Boats Inc</v>
      </c>
      <c r="C949" t="s">
        <v>1801</v>
      </c>
      <c r="D949">
        <v>51.17</v>
      </c>
      <c r="E949">
        <v>0</v>
      </c>
      <c r="F949" t="s">
        <v>1797</v>
      </c>
      <c r="G949" t="s">
        <v>1797</v>
      </c>
      <c r="H949">
        <v>0</v>
      </c>
      <c r="I949">
        <v>1043.7299949999999</v>
      </c>
      <c r="J949">
        <v>11.61132056770016</v>
      </c>
      <c r="K949">
        <v>0</v>
      </c>
      <c r="L949">
        <v>1.329910440483381</v>
      </c>
      <c r="M949">
        <v>65.45</v>
      </c>
      <c r="N949">
        <v>42.07</v>
      </c>
    </row>
    <row r="950" spans="1:14" x14ac:dyDescent="0.25">
      <c r="A950" s="1" t="s">
        <v>962</v>
      </c>
      <c r="B950" t="str">
        <f>HYPERLINK("https://www.suredividend.com/sure-analysis-research-database/","Mercantile Bank Corp.")</f>
        <v>Mercantile Bank Corp.</v>
      </c>
      <c r="C950" t="s">
        <v>1800</v>
      </c>
      <c r="D950">
        <v>37.85</v>
      </c>
      <c r="E950">
        <v>3.4343498800654002E-2</v>
      </c>
      <c r="F950" t="s">
        <v>1797</v>
      </c>
      <c r="G950" t="s">
        <v>1797</v>
      </c>
      <c r="H950">
        <v>1.299901429604791</v>
      </c>
      <c r="I950">
        <v>606.52948200000003</v>
      </c>
      <c r="J950">
        <v>7.2214487730682224</v>
      </c>
      <c r="K950">
        <v>0.247129549354523</v>
      </c>
      <c r="L950">
        <v>1.2787671387181461</v>
      </c>
      <c r="M950">
        <v>41.93</v>
      </c>
      <c r="N950">
        <v>22.39</v>
      </c>
    </row>
    <row r="951" spans="1:14" x14ac:dyDescent="0.25">
      <c r="A951" s="1" t="s">
        <v>963</v>
      </c>
      <c r="B951" t="str">
        <f>HYPERLINK("https://www.suredividend.com/sure-analysis-research-database/","Moelis &amp; Co")</f>
        <v>Moelis &amp; Co</v>
      </c>
      <c r="C951" t="s">
        <v>1800</v>
      </c>
      <c r="D951">
        <v>53.2</v>
      </c>
      <c r="E951">
        <v>4.4166023637467001E-2</v>
      </c>
      <c r="F951">
        <v>0</v>
      </c>
      <c r="G951">
        <v>-4.3647500209962997E-2</v>
      </c>
      <c r="H951">
        <v>2.3496324575132759</v>
      </c>
      <c r="I951">
        <v>3546.5641679999999</v>
      </c>
      <c r="J951">
        <v>3494.1518896551729</v>
      </c>
      <c r="K951">
        <v>162.04361775953629</v>
      </c>
      <c r="L951">
        <v>1.2308032249483329</v>
      </c>
      <c r="M951">
        <v>58.67</v>
      </c>
      <c r="N951">
        <v>32.97</v>
      </c>
    </row>
    <row r="952" spans="1:14" x14ac:dyDescent="0.25">
      <c r="A952" s="1" t="s">
        <v>964</v>
      </c>
      <c r="B952" t="str">
        <f>HYPERLINK("https://www.suredividend.com/sure-analysis-research-database/","Metropolitan Bank Holding Corp")</f>
        <v>Metropolitan Bank Holding Corp</v>
      </c>
      <c r="C952" t="s">
        <v>1800</v>
      </c>
      <c r="D952">
        <v>49.83</v>
      </c>
      <c r="E952">
        <v>0</v>
      </c>
      <c r="F952" t="s">
        <v>1797</v>
      </c>
      <c r="G952" t="s">
        <v>1797</v>
      </c>
      <c r="H952">
        <v>0</v>
      </c>
      <c r="I952">
        <v>551.25578599999994</v>
      </c>
      <c r="J952">
        <v>10.03012711189956</v>
      </c>
      <c r="K952">
        <v>0</v>
      </c>
      <c r="L952">
        <v>2.861473285160641</v>
      </c>
      <c r="M952">
        <v>61.02</v>
      </c>
      <c r="N952">
        <v>13.98</v>
      </c>
    </row>
    <row r="953" spans="1:14" x14ac:dyDescent="0.25">
      <c r="A953" s="1" t="s">
        <v>965</v>
      </c>
      <c r="B953" t="str">
        <f>HYPERLINK("https://www.suredividend.com/sure-analysis-research-database/","Macatawa Bank Corp.")</f>
        <v>Macatawa Bank Corp.</v>
      </c>
      <c r="C953" t="s">
        <v>1800</v>
      </c>
      <c r="D953">
        <v>10.74</v>
      </c>
      <c r="E953">
        <v>2.9989097631553E-2</v>
      </c>
      <c r="F953">
        <v>0.125</v>
      </c>
      <c r="G953">
        <v>5.1547496797280427E-2</v>
      </c>
      <c r="H953">
        <v>0.32208290856287902</v>
      </c>
      <c r="I953">
        <v>368.29057</v>
      </c>
      <c r="J953">
        <v>8.033035321395074</v>
      </c>
      <c r="K953">
        <v>0.24036037952453659</v>
      </c>
      <c r="L953">
        <v>0.70878480091722507</v>
      </c>
      <c r="M953">
        <v>11.91</v>
      </c>
      <c r="N953">
        <v>6.65</v>
      </c>
    </row>
    <row r="954" spans="1:14" x14ac:dyDescent="0.25">
      <c r="A954" s="1" t="s">
        <v>966</v>
      </c>
      <c r="B954" t="str">
        <f>HYPERLINK("https://www.suredividend.com/sure-analysis-research-database/","MetroCity Bankshares Inc")</f>
        <v>MetroCity Bankshares Inc</v>
      </c>
      <c r="C954" t="s">
        <v>1800</v>
      </c>
      <c r="D954">
        <v>23.36</v>
      </c>
      <c r="E954">
        <v>2.997930150085E-2</v>
      </c>
      <c r="F954">
        <v>0.2</v>
      </c>
      <c r="G954">
        <v>-2.0851637639023202E-2</v>
      </c>
      <c r="H954">
        <v>0.70031648305986605</v>
      </c>
      <c r="I954">
        <v>588.81414600000005</v>
      </c>
      <c r="J954">
        <v>11.67216718074773</v>
      </c>
      <c r="K954">
        <v>0.35369519346457878</v>
      </c>
      <c r="L954">
        <v>1.323095407264866</v>
      </c>
      <c r="M954">
        <v>26.23</v>
      </c>
      <c r="N954">
        <v>12.64</v>
      </c>
    </row>
    <row r="955" spans="1:14" x14ac:dyDescent="0.25">
      <c r="A955" s="1" t="s">
        <v>967</v>
      </c>
      <c r="B955" t="str">
        <f>HYPERLINK("https://www.suredividend.com/sure-analysis-research-database/","MasterCraft Boat Holdings Inc")</f>
        <v>MasterCraft Boat Holdings Inc</v>
      </c>
      <c r="C955" t="s">
        <v>1801</v>
      </c>
      <c r="D955">
        <v>21.14</v>
      </c>
      <c r="E955">
        <v>0</v>
      </c>
      <c r="F955" t="s">
        <v>1797</v>
      </c>
      <c r="G955" t="s">
        <v>1797</v>
      </c>
      <c r="H955">
        <v>0</v>
      </c>
      <c r="I955">
        <v>364.79482100000001</v>
      </c>
      <c r="J955">
        <v>5.1333279964539011</v>
      </c>
      <c r="K955">
        <v>0</v>
      </c>
      <c r="L955">
        <v>1.08557058059109</v>
      </c>
      <c r="M955">
        <v>35.29</v>
      </c>
      <c r="N955">
        <v>19.25</v>
      </c>
    </row>
    <row r="956" spans="1:14" x14ac:dyDescent="0.25">
      <c r="A956" s="1" t="s">
        <v>968</v>
      </c>
      <c r="B956" t="str">
        <f>HYPERLINK("https://www.suredividend.com/sure-analysis-research-database/","Seres Therapeutics Inc")</f>
        <v>Seres Therapeutics Inc</v>
      </c>
      <c r="C956" t="s">
        <v>1802</v>
      </c>
      <c r="D956">
        <v>1.2</v>
      </c>
      <c r="E956">
        <v>0</v>
      </c>
      <c r="F956" t="s">
        <v>1797</v>
      </c>
      <c r="G956" t="s">
        <v>1797</v>
      </c>
      <c r="H956">
        <v>0</v>
      </c>
      <c r="I956">
        <v>155.10863900000001</v>
      </c>
      <c r="J956" t="s">
        <v>1797</v>
      </c>
      <c r="K956">
        <v>0</v>
      </c>
      <c r="L956">
        <v>0.71433833553160409</v>
      </c>
      <c r="M956">
        <v>6.87</v>
      </c>
      <c r="N956">
        <v>0.91</v>
      </c>
    </row>
    <row r="957" spans="1:14" x14ac:dyDescent="0.25">
      <c r="A957" s="1" t="s">
        <v>969</v>
      </c>
      <c r="B957" t="str">
        <f>HYPERLINK("https://www.suredividend.com/sure-analysis-research-database/","Monarch Casino &amp; Resort, Inc.")</f>
        <v>Monarch Casino &amp; Resort, Inc.</v>
      </c>
      <c r="C957" t="s">
        <v>1801</v>
      </c>
      <c r="D957">
        <v>66.25</v>
      </c>
      <c r="E957">
        <v>1.3460049407145E-2</v>
      </c>
      <c r="F957" t="s">
        <v>1797</v>
      </c>
      <c r="G957" t="s">
        <v>1797</v>
      </c>
      <c r="H957">
        <v>0.89172827322340709</v>
      </c>
      <c r="I957">
        <v>1263.2233329999999</v>
      </c>
      <c r="J957">
        <v>14.573579904013661</v>
      </c>
      <c r="K957">
        <v>0.2017484781048432</v>
      </c>
      <c r="L957">
        <v>0.95088341019259204</v>
      </c>
      <c r="M957">
        <v>75.989999999999995</v>
      </c>
      <c r="N957">
        <v>55.72</v>
      </c>
    </row>
    <row r="958" spans="1:14" x14ac:dyDescent="0.25">
      <c r="A958" s="1" t="s">
        <v>970</v>
      </c>
      <c r="B958" t="str">
        <f>HYPERLINK("https://www.suredividend.com/sure-analysis-research-database/","Marcus Corp.")</f>
        <v>Marcus Corp.</v>
      </c>
      <c r="C958" t="s">
        <v>1806</v>
      </c>
      <c r="D958">
        <v>13.78</v>
      </c>
      <c r="E958">
        <v>1.7313085024189E-2</v>
      </c>
      <c r="F958" t="s">
        <v>1797</v>
      </c>
      <c r="G958" t="s">
        <v>1797</v>
      </c>
      <c r="H958">
        <v>0.23857431163332901</v>
      </c>
      <c r="I958">
        <v>339.22699999999998</v>
      </c>
      <c r="J958">
        <v>49.056688404916848</v>
      </c>
      <c r="K958">
        <v>1.0923732217643269</v>
      </c>
      <c r="L958">
        <v>0.43484040519822398</v>
      </c>
      <c r="M958">
        <v>17.82</v>
      </c>
      <c r="N958">
        <v>13.62</v>
      </c>
    </row>
    <row r="959" spans="1:14" x14ac:dyDescent="0.25">
      <c r="A959" s="1" t="s">
        <v>971</v>
      </c>
      <c r="B959" t="str">
        <f>HYPERLINK("https://www.suredividend.com/sure-analysis-MCY/","Mercury General Corp.")</f>
        <v>Mercury General Corp.</v>
      </c>
      <c r="C959" t="s">
        <v>1800</v>
      </c>
      <c r="D959">
        <v>38.950000000000003</v>
      </c>
      <c r="E959">
        <v>3.2605905006418481E-2</v>
      </c>
      <c r="F959">
        <v>0</v>
      </c>
      <c r="G959">
        <v>-0.12737831757699991</v>
      </c>
      <c r="H959">
        <v>1.2522152498484169</v>
      </c>
      <c r="I959">
        <v>2156.7053970000002</v>
      </c>
      <c r="J959" t="s">
        <v>1797</v>
      </c>
      <c r="K959" t="s">
        <v>1797</v>
      </c>
      <c r="L959">
        <v>0.88388352013152205</v>
      </c>
      <c r="M959">
        <v>40</v>
      </c>
      <c r="N959">
        <v>25.39</v>
      </c>
    </row>
    <row r="960" spans="1:14" x14ac:dyDescent="0.25">
      <c r="A960" s="1" t="s">
        <v>972</v>
      </c>
      <c r="B960" t="str">
        <f>HYPERLINK("https://www.suredividend.com/sure-analysis-research-database/","Pediatrix Medical Group Inc")</f>
        <v>Pediatrix Medical Group Inc</v>
      </c>
      <c r="C960" t="s">
        <v>1802</v>
      </c>
      <c r="D960">
        <v>9.6199999999999992</v>
      </c>
      <c r="E960">
        <v>0</v>
      </c>
      <c r="F960" t="s">
        <v>1797</v>
      </c>
      <c r="G960" t="s">
        <v>1797</v>
      </c>
      <c r="H960">
        <v>0</v>
      </c>
      <c r="I960">
        <v>808.31007199999999</v>
      </c>
      <c r="J960">
        <v>8.641515447411745</v>
      </c>
      <c r="K960">
        <v>0</v>
      </c>
      <c r="L960">
        <v>0.89226280276962411</v>
      </c>
      <c r="M960">
        <v>17.3</v>
      </c>
      <c r="N960">
        <v>8.18</v>
      </c>
    </row>
    <row r="961" spans="1:14" x14ac:dyDescent="0.25">
      <c r="A961" s="1" t="s">
        <v>973</v>
      </c>
      <c r="B961" t="str">
        <f>HYPERLINK("https://www.suredividend.com/sure-analysis-MDC/","M.D.C. Holdings, Inc.")</f>
        <v>M.D.C. Holdings, Inc.</v>
      </c>
      <c r="C961" t="s">
        <v>1801</v>
      </c>
      <c r="D961">
        <v>53.94</v>
      </c>
      <c r="E961">
        <v>4.0786058583611423E-2</v>
      </c>
      <c r="F961">
        <v>0.1000000000000001</v>
      </c>
      <c r="G961">
        <v>0.12888132073019751</v>
      </c>
      <c r="H961">
        <v>2.06351058890733</v>
      </c>
      <c r="I961">
        <v>4027.2401770000001</v>
      </c>
      <c r="J961">
        <v>11.208915879027749</v>
      </c>
      <c r="K961">
        <v>0.42811423006376143</v>
      </c>
      <c r="L961">
        <v>1.4398655077902931</v>
      </c>
      <c r="M961">
        <v>56.37</v>
      </c>
      <c r="N961">
        <v>33.54</v>
      </c>
    </row>
    <row r="962" spans="1:14" x14ac:dyDescent="0.25">
      <c r="A962" s="1" t="s">
        <v>974</v>
      </c>
      <c r="B962" t="str">
        <f>HYPERLINK("https://www.suredividend.com/sure-analysis-research-database/","Madrigal Pharmaceuticals Inc")</f>
        <v>Madrigal Pharmaceuticals Inc</v>
      </c>
      <c r="C962" t="s">
        <v>1802</v>
      </c>
      <c r="D962">
        <v>235.8</v>
      </c>
      <c r="E962">
        <v>0</v>
      </c>
      <c r="F962" t="s">
        <v>1797</v>
      </c>
      <c r="G962" t="s">
        <v>1797</v>
      </c>
      <c r="H962">
        <v>0</v>
      </c>
      <c r="I962">
        <v>4655.3159269999996</v>
      </c>
      <c r="J962">
        <v>0</v>
      </c>
      <c r="K962" t="s">
        <v>1797</v>
      </c>
      <c r="L962">
        <v>0.78834380308889007</v>
      </c>
      <c r="M962">
        <v>322.67</v>
      </c>
      <c r="N962">
        <v>119.76</v>
      </c>
    </row>
    <row r="963" spans="1:14" x14ac:dyDescent="0.25">
      <c r="A963" s="1" t="s">
        <v>975</v>
      </c>
      <c r="B963" t="str">
        <f>HYPERLINK("https://www.suredividend.com/sure-analysis-research-database/","Veradigm Inc")</f>
        <v>Veradigm Inc</v>
      </c>
      <c r="C963" t="s">
        <v>1802</v>
      </c>
      <c r="D963">
        <v>9.3000000000000007</v>
      </c>
      <c r="E963">
        <v>0</v>
      </c>
      <c r="F963" t="s">
        <v>1797</v>
      </c>
      <c r="G963" t="s">
        <v>1797</v>
      </c>
      <c r="H963">
        <v>0</v>
      </c>
      <c r="I963">
        <v>1016.115917</v>
      </c>
      <c r="J963">
        <v>16.758187102945541</v>
      </c>
      <c r="K963">
        <v>0</v>
      </c>
      <c r="L963">
        <v>0.79965724179045805</v>
      </c>
      <c r="M963">
        <v>19.36</v>
      </c>
      <c r="N963">
        <v>9.2100000000000009</v>
      </c>
    </row>
    <row r="964" spans="1:14" x14ac:dyDescent="0.25">
      <c r="A964" s="1" t="s">
        <v>976</v>
      </c>
      <c r="B964" t="str">
        <f>HYPERLINK("https://www.suredividend.com/sure-analysis-research-database/","Mimedx Group Inc")</f>
        <v>Mimedx Group Inc</v>
      </c>
      <c r="C964" t="s">
        <v>1802</v>
      </c>
      <c r="D964">
        <v>8.0399999999999991</v>
      </c>
      <c r="E964">
        <v>0</v>
      </c>
      <c r="F964" t="s">
        <v>1797</v>
      </c>
      <c r="G964" t="s">
        <v>1797</v>
      </c>
      <c r="H964">
        <v>0</v>
      </c>
      <c r="I964">
        <v>935.66772700000001</v>
      </c>
      <c r="J964" t="s">
        <v>1797</v>
      </c>
      <c r="K964">
        <v>0</v>
      </c>
      <c r="L964">
        <v>1.16097407629483</v>
      </c>
      <c r="M964">
        <v>9.27</v>
      </c>
      <c r="N964">
        <v>3.08</v>
      </c>
    </row>
    <row r="965" spans="1:14" x14ac:dyDescent="0.25">
      <c r="A965" s="1" t="s">
        <v>977</v>
      </c>
      <c r="B965" t="str">
        <f>HYPERLINK("https://www.suredividend.com/sure-analysis-research-database/","23andMe Holding Co")</f>
        <v>23andMe Holding Co</v>
      </c>
      <c r="C965" t="s">
        <v>1797</v>
      </c>
      <c r="D965">
        <v>0.70810000000000006</v>
      </c>
      <c r="E965">
        <v>0</v>
      </c>
      <c r="F965" t="s">
        <v>1797</v>
      </c>
      <c r="G965" t="s">
        <v>1797</v>
      </c>
      <c r="H965">
        <v>0</v>
      </c>
      <c r="I965">
        <v>220.653233</v>
      </c>
      <c r="J965" t="s">
        <v>1797</v>
      </c>
      <c r="K965">
        <v>0</v>
      </c>
      <c r="L965">
        <v>2.1896457713767399</v>
      </c>
      <c r="M965">
        <v>2.99</v>
      </c>
      <c r="N965">
        <v>0.61009999999999998</v>
      </c>
    </row>
    <row r="966" spans="1:14" x14ac:dyDescent="0.25">
      <c r="A966" s="1" t="s">
        <v>978</v>
      </c>
      <c r="B966" t="str">
        <f>HYPERLINK("https://www.suredividend.com/sure-analysis-MED/","Medifast Inc")</f>
        <v>Medifast Inc</v>
      </c>
      <c r="C966" t="s">
        <v>1801</v>
      </c>
      <c r="D966">
        <v>61.17</v>
      </c>
      <c r="E966">
        <v>0.10789602746444341</v>
      </c>
      <c r="F966" t="s">
        <v>1797</v>
      </c>
      <c r="G966" t="s">
        <v>1797</v>
      </c>
      <c r="H966">
        <v>4.8527318418125809</v>
      </c>
      <c r="I966">
        <v>666.30046400000003</v>
      </c>
      <c r="J966">
        <v>5.5572275128859534</v>
      </c>
      <c r="K966">
        <v>0.44236388712967922</v>
      </c>
      <c r="L966">
        <v>1.1113175717828749</v>
      </c>
      <c r="M966">
        <v>119.94</v>
      </c>
      <c r="N966">
        <v>61.07</v>
      </c>
    </row>
    <row r="967" spans="1:14" x14ac:dyDescent="0.25">
      <c r="A967" s="1" t="s">
        <v>979</v>
      </c>
      <c r="B967" t="str">
        <f>HYPERLINK("https://www.suredividend.com/sure-analysis-research-database/","Medpace Holdings Inc")</f>
        <v>Medpace Holdings Inc</v>
      </c>
      <c r="C967" t="s">
        <v>1802</v>
      </c>
      <c r="D967">
        <v>286.73</v>
      </c>
      <c r="E967">
        <v>0</v>
      </c>
      <c r="F967" t="s">
        <v>1797</v>
      </c>
      <c r="G967" t="s">
        <v>1797</v>
      </c>
      <c r="H967">
        <v>0</v>
      </c>
      <c r="I967">
        <v>8797.8616039999997</v>
      </c>
      <c r="J967">
        <v>32.226835377108991</v>
      </c>
      <c r="K967">
        <v>0</v>
      </c>
      <c r="L967">
        <v>1.274405100514604</v>
      </c>
      <c r="M967">
        <v>317.57</v>
      </c>
      <c r="N967">
        <v>167</v>
      </c>
    </row>
    <row r="968" spans="1:14" x14ac:dyDescent="0.25">
      <c r="A968" s="1" t="s">
        <v>980</v>
      </c>
      <c r="B968" t="str">
        <f>HYPERLINK("https://www.suredividend.com/sure-analysis-research-database/","Montrose Environmental Group Inc")</f>
        <v>Montrose Environmental Group Inc</v>
      </c>
      <c r="C968" t="s">
        <v>1797</v>
      </c>
      <c r="D968">
        <v>27.97</v>
      </c>
      <c r="E968">
        <v>0</v>
      </c>
      <c r="F968" t="s">
        <v>1797</v>
      </c>
      <c r="G968" t="s">
        <v>1797</v>
      </c>
      <c r="H968">
        <v>0</v>
      </c>
      <c r="I968">
        <v>844.36428999999998</v>
      </c>
      <c r="J968" t="s">
        <v>1797</v>
      </c>
      <c r="K968">
        <v>0</v>
      </c>
      <c r="L968">
        <v>1.7227120231487869</v>
      </c>
      <c r="M968">
        <v>55</v>
      </c>
      <c r="N968">
        <v>21.96</v>
      </c>
    </row>
    <row r="969" spans="1:14" x14ac:dyDescent="0.25">
      <c r="A969" s="1" t="s">
        <v>981</v>
      </c>
      <c r="B969" t="str">
        <f>HYPERLINK("https://www.suredividend.com/sure-analysis-research-database/","Methode Electronics, Inc.")</f>
        <v>Methode Electronics, Inc.</v>
      </c>
      <c r="C969" t="s">
        <v>1803</v>
      </c>
      <c r="D969">
        <v>20.49</v>
      </c>
      <c r="E969">
        <v>2.7088444835807E-2</v>
      </c>
      <c r="F969">
        <v>0</v>
      </c>
      <c r="G969">
        <v>4.9414522844583919E-2</v>
      </c>
      <c r="H969">
        <v>0.55504223468569402</v>
      </c>
      <c r="I969">
        <v>729.43223899999998</v>
      </c>
      <c r="J969" t="s">
        <v>1797</v>
      </c>
      <c r="K969" t="s">
        <v>1797</v>
      </c>
      <c r="L969">
        <v>1.103592469045249</v>
      </c>
      <c r="M969">
        <v>50.37</v>
      </c>
      <c r="N969">
        <v>20.309999999999999</v>
      </c>
    </row>
    <row r="970" spans="1:14" x14ac:dyDescent="0.25">
      <c r="A970" s="1" t="s">
        <v>982</v>
      </c>
      <c r="B970" t="str">
        <f>HYPERLINK("https://www.suredividend.com/sure-analysis-research-database/","Ramaco Resources Inc")</f>
        <v>Ramaco Resources Inc</v>
      </c>
      <c r="C970" t="s">
        <v>1808</v>
      </c>
      <c r="D970">
        <v>20.78</v>
      </c>
      <c r="E970">
        <v>1.1940260945570999E-2</v>
      </c>
      <c r="F970" t="s">
        <v>1797</v>
      </c>
      <c r="G970" t="s">
        <v>1797</v>
      </c>
      <c r="H970">
        <v>0.248118622448979</v>
      </c>
      <c r="I970">
        <v>1029.199415</v>
      </c>
      <c r="J970">
        <v>15.439303564452979</v>
      </c>
      <c r="K970">
        <v>0.20172245727559271</v>
      </c>
      <c r="L970">
        <v>0.20385053818725599</v>
      </c>
      <c r="M970">
        <v>22.7</v>
      </c>
      <c r="N970">
        <v>7.22</v>
      </c>
    </row>
    <row r="971" spans="1:14" x14ac:dyDescent="0.25">
      <c r="A971" s="1" t="s">
        <v>983</v>
      </c>
      <c r="B971" t="str">
        <f>HYPERLINK("https://www.suredividend.com/sure-analysis-research-database/","MFA Financial Inc")</f>
        <v>MFA Financial Inc</v>
      </c>
      <c r="C971" t="s">
        <v>1799</v>
      </c>
      <c r="D971">
        <v>11.56</v>
      </c>
      <c r="E971">
        <v>0.11546661972583</v>
      </c>
      <c r="F971" t="s">
        <v>1797</v>
      </c>
      <c r="G971" t="s">
        <v>1797</v>
      </c>
      <c r="H971">
        <v>1.3347941240305989</v>
      </c>
      <c r="I971">
        <v>1178.1466129999999</v>
      </c>
      <c r="J971" t="s">
        <v>1797</v>
      </c>
      <c r="K971" t="s">
        <v>1797</v>
      </c>
      <c r="L971">
        <v>1.450756474221758</v>
      </c>
      <c r="M971">
        <v>11.7</v>
      </c>
      <c r="N971">
        <v>7.56</v>
      </c>
    </row>
    <row r="972" spans="1:14" x14ac:dyDescent="0.25">
      <c r="A972" s="1" t="s">
        <v>984</v>
      </c>
      <c r="B972" t="str">
        <f>HYPERLINK("https://www.suredividend.com/sure-analysis-MGEE/","MGE Energy, Inc.")</f>
        <v>MGE Energy, Inc.</v>
      </c>
      <c r="C972" t="s">
        <v>1805</v>
      </c>
      <c r="D972">
        <v>71.16</v>
      </c>
      <c r="E972">
        <v>2.4030354131534572E-2</v>
      </c>
      <c r="F972">
        <v>4.9079754601226933E-2</v>
      </c>
      <c r="G972">
        <v>4.8413171284721557E-2</v>
      </c>
      <c r="H972">
        <v>1.6419579464497449</v>
      </c>
      <c r="I972">
        <v>2573.385409</v>
      </c>
      <c r="J972">
        <v>23.03589058650816</v>
      </c>
      <c r="K972">
        <v>0.53137797619732852</v>
      </c>
      <c r="L972">
        <v>0.528352277339876</v>
      </c>
      <c r="M972">
        <v>81.36</v>
      </c>
      <c r="N972">
        <v>64.349999999999994</v>
      </c>
    </row>
    <row r="973" spans="1:14" x14ac:dyDescent="0.25">
      <c r="A973" s="1" t="s">
        <v>985</v>
      </c>
      <c r="B973" t="str">
        <f>HYPERLINK("https://www.suredividend.com/sure-analysis-research-database/","Magnite Inc")</f>
        <v>Magnite Inc</v>
      </c>
      <c r="C973" t="s">
        <v>1797</v>
      </c>
      <c r="D973">
        <v>9.15</v>
      </c>
      <c r="E973">
        <v>0</v>
      </c>
      <c r="F973" t="s">
        <v>1797</v>
      </c>
      <c r="G973" t="s">
        <v>1797</v>
      </c>
      <c r="H973">
        <v>0</v>
      </c>
      <c r="I973">
        <v>1261.336943</v>
      </c>
      <c r="J973" t="s">
        <v>1797</v>
      </c>
      <c r="K973">
        <v>0</v>
      </c>
      <c r="L973">
        <v>2.1333931127887098</v>
      </c>
      <c r="M973">
        <v>15.73</v>
      </c>
      <c r="N973">
        <v>6.28</v>
      </c>
    </row>
    <row r="974" spans="1:14" x14ac:dyDescent="0.25">
      <c r="A974" s="1" t="s">
        <v>986</v>
      </c>
      <c r="B974" t="str">
        <f>HYPERLINK("https://www.suredividend.com/sure-analysis-research-database/","Macrogenics Inc")</f>
        <v>Macrogenics Inc</v>
      </c>
      <c r="C974" t="s">
        <v>1802</v>
      </c>
      <c r="D974">
        <v>10.7</v>
      </c>
      <c r="E974">
        <v>0</v>
      </c>
      <c r="F974" t="s">
        <v>1797</v>
      </c>
      <c r="G974" t="s">
        <v>1797</v>
      </c>
      <c r="H974">
        <v>0</v>
      </c>
      <c r="I974">
        <v>663.71508300000005</v>
      </c>
      <c r="J974">
        <v>13.32333151798619</v>
      </c>
      <c r="K974">
        <v>0</v>
      </c>
      <c r="L974">
        <v>1.2812474580309989</v>
      </c>
      <c r="M974">
        <v>10.99</v>
      </c>
      <c r="N974">
        <v>4.29</v>
      </c>
    </row>
    <row r="975" spans="1:14" x14ac:dyDescent="0.25">
      <c r="A975" s="1" t="s">
        <v>987</v>
      </c>
      <c r="B975" t="str">
        <f>HYPERLINK("https://www.suredividend.com/sure-analysis-research-database/","MGP Ingredients, Inc.")</f>
        <v>MGP Ingredients, Inc.</v>
      </c>
      <c r="C975" t="s">
        <v>1804</v>
      </c>
      <c r="D975">
        <v>91.35</v>
      </c>
      <c r="E975">
        <v>5.2403295872610004E-3</v>
      </c>
      <c r="F975">
        <v>0</v>
      </c>
      <c r="G975">
        <v>3.7137289336648172E-2</v>
      </c>
      <c r="H975">
        <v>0.47870410779632899</v>
      </c>
      <c r="I975">
        <v>2005.2112440000001</v>
      </c>
      <c r="J975">
        <v>20.429444272717081</v>
      </c>
      <c r="K975">
        <v>0.10805961801271539</v>
      </c>
      <c r="L975">
        <v>0.91290970327872312</v>
      </c>
      <c r="M975">
        <v>124.51</v>
      </c>
      <c r="N975">
        <v>82.6</v>
      </c>
    </row>
    <row r="976" spans="1:14" x14ac:dyDescent="0.25">
      <c r="A976" s="1" t="s">
        <v>988</v>
      </c>
      <c r="B976" t="str">
        <f>HYPERLINK("https://www.suredividend.com/sure-analysis-MGRC/","McGrath Rentcorp")</f>
        <v>McGrath Rentcorp</v>
      </c>
      <c r="C976" t="s">
        <v>1798</v>
      </c>
      <c r="D976">
        <v>109.9</v>
      </c>
      <c r="E976">
        <v>1.6924476797088261E-2</v>
      </c>
      <c r="F976">
        <v>2.19780219780219E-2</v>
      </c>
      <c r="G976">
        <v>6.4620457378655738E-2</v>
      </c>
      <c r="H976">
        <v>1.3820380212299519</v>
      </c>
      <c r="I976">
        <v>2691.3900060000001</v>
      </c>
      <c r="J976">
        <v>14.76789617056067</v>
      </c>
      <c r="K976">
        <v>0.1860078090484458</v>
      </c>
      <c r="L976">
        <v>0.79343413315736311</v>
      </c>
      <c r="M976">
        <v>122.83</v>
      </c>
      <c r="N976">
        <v>83.58</v>
      </c>
    </row>
    <row r="977" spans="1:14" x14ac:dyDescent="0.25">
      <c r="A977" s="1" t="s">
        <v>989</v>
      </c>
      <c r="B977" t="str">
        <f>HYPERLINK("https://www.suredividend.com/sure-analysis-research-database/","MeiraGTx Holdings plc")</f>
        <v>MeiraGTx Holdings plc</v>
      </c>
      <c r="C977" t="s">
        <v>1802</v>
      </c>
      <c r="D977">
        <v>6.36</v>
      </c>
      <c r="E977">
        <v>0</v>
      </c>
      <c r="F977" t="s">
        <v>1797</v>
      </c>
      <c r="G977" t="s">
        <v>1797</v>
      </c>
      <c r="H977">
        <v>0</v>
      </c>
      <c r="I977">
        <v>404.47788000000003</v>
      </c>
      <c r="J977" t="s">
        <v>1797</v>
      </c>
      <c r="K977">
        <v>0</v>
      </c>
      <c r="L977">
        <v>1.6614994881819001</v>
      </c>
      <c r="M977">
        <v>8.77</v>
      </c>
      <c r="N977">
        <v>3.49</v>
      </c>
    </row>
    <row r="978" spans="1:14" x14ac:dyDescent="0.25">
      <c r="A978" s="1" t="s">
        <v>990</v>
      </c>
      <c r="B978" t="str">
        <f>HYPERLINK("https://www.suredividend.com/sure-analysis-research-database/","Magnolia Oil &amp; Gas Corp")</f>
        <v>Magnolia Oil &amp; Gas Corp</v>
      </c>
      <c r="C978" t="s">
        <v>1807</v>
      </c>
      <c r="D978">
        <v>20.399999999999999</v>
      </c>
      <c r="E978">
        <v>2.2369849157118E-2</v>
      </c>
      <c r="F978" t="s">
        <v>1797</v>
      </c>
      <c r="G978" t="s">
        <v>1797</v>
      </c>
      <c r="H978">
        <v>0.45634492280522598</v>
      </c>
      <c r="I978">
        <v>3778.5579309999998</v>
      </c>
      <c r="J978">
        <v>7.3600003334690323</v>
      </c>
      <c r="K978">
        <v>0.16901663807600961</v>
      </c>
      <c r="L978">
        <v>1.032140698473017</v>
      </c>
      <c r="M978">
        <v>23.89</v>
      </c>
      <c r="N978">
        <v>18.420000000000002</v>
      </c>
    </row>
    <row r="979" spans="1:14" x14ac:dyDescent="0.25">
      <c r="A979" s="1" t="s">
        <v>991</v>
      </c>
      <c r="B979" t="str">
        <f>HYPERLINK("https://www.suredividend.com/sure-analysis-research-database/","MI Homes Inc.")</f>
        <v>MI Homes Inc.</v>
      </c>
      <c r="C979" t="s">
        <v>1801</v>
      </c>
      <c r="D979">
        <v>129.93</v>
      </c>
      <c r="E979">
        <v>0</v>
      </c>
      <c r="F979" t="s">
        <v>1797</v>
      </c>
      <c r="G979" t="s">
        <v>1797</v>
      </c>
      <c r="H979">
        <v>0</v>
      </c>
      <c r="I979">
        <v>3618.358463</v>
      </c>
      <c r="J979">
        <v>7.377208485314326</v>
      </c>
      <c r="K979">
        <v>0</v>
      </c>
      <c r="L979">
        <v>1.447994698054472</v>
      </c>
      <c r="M979">
        <v>140.72999999999999</v>
      </c>
      <c r="N979">
        <v>52.32</v>
      </c>
    </row>
    <row r="980" spans="1:14" x14ac:dyDescent="0.25">
      <c r="A980" s="1" t="s">
        <v>992</v>
      </c>
      <c r="B980" t="str">
        <f>HYPERLINK("https://www.suredividend.com/sure-analysis-research-database/","Mirion Technologies Inc.")</f>
        <v>Mirion Technologies Inc.</v>
      </c>
      <c r="C980" t="s">
        <v>1797</v>
      </c>
      <c r="D980">
        <v>9.7100000000000009</v>
      </c>
      <c r="E980">
        <v>0</v>
      </c>
      <c r="F980" t="s">
        <v>1797</v>
      </c>
      <c r="G980" t="s">
        <v>1797</v>
      </c>
      <c r="H980">
        <v>0</v>
      </c>
      <c r="I980">
        <v>2116.511082</v>
      </c>
      <c r="J980" t="s">
        <v>1797</v>
      </c>
      <c r="K980">
        <v>0</v>
      </c>
      <c r="L980">
        <v>1.054483521470551</v>
      </c>
      <c r="M980">
        <v>10.52</v>
      </c>
      <c r="N980">
        <v>6.7</v>
      </c>
    </row>
    <row r="981" spans="1:14" x14ac:dyDescent="0.25">
      <c r="A981" s="1" t="s">
        <v>993</v>
      </c>
      <c r="B981" t="str">
        <f>HYPERLINK("https://www.suredividend.com/sure-analysis-research-database/","Mirum Pharmaceuticals Inc")</f>
        <v>Mirum Pharmaceuticals Inc</v>
      </c>
      <c r="C981" t="s">
        <v>1802</v>
      </c>
      <c r="D981">
        <v>27.29</v>
      </c>
      <c r="E981">
        <v>0</v>
      </c>
      <c r="F981" t="s">
        <v>1797</v>
      </c>
      <c r="G981" t="s">
        <v>1797</v>
      </c>
      <c r="H981">
        <v>0</v>
      </c>
      <c r="I981">
        <v>1272.103537</v>
      </c>
      <c r="J981" t="s">
        <v>1797</v>
      </c>
      <c r="K981">
        <v>0</v>
      </c>
      <c r="L981">
        <v>0.51273127155925202</v>
      </c>
      <c r="M981">
        <v>35.56</v>
      </c>
      <c r="N981">
        <v>20.7</v>
      </c>
    </row>
    <row r="982" spans="1:14" x14ac:dyDescent="0.25">
      <c r="A982" s="1" t="s">
        <v>994</v>
      </c>
      <c r="B982" t="str">
        <f>HYPERLINK("https://www.suredividend.com/sure-analysis-research-database/","Mitek Systems Inc")</f>
        <v>Mitek Systems Inc</v>
      </c>
      <c r="C982" t="s">
        <v>1803</v>
      </c>
      <c r="D982">
        <v>12.08</v>
      </c>
      <c r="E982">
        <v>0</v>
      </c>
      <c r="F982" t="s">
        <v>1797</v>
      </c>
      <c r="G982" t="s">
        <v>1797</v>
      </c>
      <c r="H982">
        <v>0</v>
      </c>
      <c r="I982">
        <v>550.72206600000004</v>
      </c>
      <c r="J982">
        <v>72.895045135671737</v>
      </c>
      <c r="K982">
        <v>0</v>
      </c>
      <c r="L982">
        <v>0.98107238789825313</v>
      </c>
      <c r="M982">
        <v>13.98</v>
      </c>
      <c r="N982">
        <v>8.6</v>
      </c>
    </row>
    <row r="983" spans="1:14" x14ac:dyDescent="0.25">
      <c r="A983" s="1" t="s">
        <v>995</v>
      </c>
      <c r="B983" t="str">
        <f>HYPERLINK("https://www.suredividend.com/sure-analysis-research-database/","Markforged Holding Corporation")</f>
        <v>Markforged Holding Corporation</v>
      </c>
      <c r="C983" t="s">
        <v>1797</v>
      </c>
      <c r="D983">
        <v>0.72389999999999999</v>
      </c>
      <c r="E983">
        <v>0</v>
      </c>
      <c r="F983" t="s">
        <v>1797</v>
      </c>
      <c r="G983" t="s">
        <v>1797</v>
      </c>
      <c r="H983">
        <v>0</v>
      </c>
      <c r="I983">
        <v>143.63267400000001</v>
      </c>
      <c r="J983" t="s">
        <v>1797</v>
      </c>
      <c r="K983">
        <v>0</v>
      </c>
      <c r="L983">
        <v>2.4595656277059108</v>
      </c>
      <c r="M983">
        <v>2.2999999999999998</v>
      </c>
      <c r="N983">
        <v>0.62</v>
      </c>
    </row>
    <row r="984" spans="1:14" x14ac:dyDescent="0.25">
      <c r="A984" s="1" t="s">
        <v>996</v>
      </c>
      <c r="B984" t="str">
        <f>HYPERLINK("https://www.suredividend.com/sure-analysis-research-database/","Marketwise Inc")</f>
        <v>Marketwise Inc</v>
      </c>
      <c r="C984" t="s">
        <v>1797</v>
      </c>
      <c r="D984">
        <v>2.42</v>
      </c>
      <c r="E984">
        <v>1.1317662676069999E-2</v>
      </c>
      <c r="F984" t="s">
        <v>1797</v>
      </c>
      <c r="G984" t="s">
        <v>1797</v>
      </c>
      <c r="H984">
        <v>2.7388743676089001E-2</v>
      </c>
      <c r="I984">
        <v>94.736797999999993</v>
      </c>
      <c r="J984">
        <v>15.95164127630914</v>
      </c>
      <c r="K984">
        <v>0.14437924974216659</v>
      </c>
      <c r="L984">
        <v>1.1397468126361039</v>
      </c>
      <c r="M984">
        <v>3.59</v>
      </c>
      <c r="N984">
        <v>1.07</v>
      </c>
    </row>
    <row r="985" spans="1:14" x14ac:dyDescent="0.25">
      <c r="A985" s="1" t="s">
        <v>997</v>
      </c>
      <c r="B985" t="str">
        <f>HYPERLINK("https://www.suredividend.com/sure-analysis-research-database/","MoneyLion Inc")</f>
        <v>MoneyLion Inc</v>
      </c>
      <c r="C985" t="s">
        <v>1797</v>
      </c>
      <c r="D985">
        <v>57.8</v>
      </c>
      <c r="E985">
        <v>0</v>
      </c>
      <c r="F985" t="s">
        <v>1797</v>
      </c>
      <c r="G985" t="s">
        <v>1797</v>
      </c>
      <c r="H985">
        <v>0</v>
      </c>
      <c r="I985">
        <v>594.29393600000003</v>
      </c>
      <c r="J985" t="s">
        <v>1797</v>
      </c>
      <c r="K985">
        <v>0</v>
      </c>
      <c r="L985">
        <v>2.3498422193109452</v>
      </c>
      <c r="M985">
        <v>66.98</v>
      </c>
      <c r="N985">
        <v>7.5</v>
      </c>
    </row>
    <row r="986" spans="1:14" x14ac:dyDescent="0.25">
      <c r="A986" s="1" t="s">
        <v>998</v>
      </c>
      <c r="B986" t="str">
        <f>HYPERLINK("https://www.suredividend.com/sure-analysis-research-database/","Mesa Laboratories, Inc.")</f>
        <v>Mesa Laboratories, Inc.</v>
      </c>
      <c r="C986" t="s">
        <v>1803</v>
      </c>
      <c r="D986">
        <v>95.96</v>
      </c>
      <c r="E986">
        <v>6.6397440317090004E-3</v>
      </c>
      <c r="F986" t="s">
        <v>1797</v>
      </c>
      <c r="G986" t="s">
        <v>1797</v>
      </c>
      <c r="H986">
        <v>0.6371498372828821</v>
      </c>
      <c r="I986">
        <v>517.39002700000003</v>
      </c>
      <c r="J986" t="s">
        <v>1797</v>
      </c>
      <c r="K986" t="s">
        <v>1797</v>
      </c>
      <c r="L986">
        <v>1.26598254780741</v>
      </c>
      <c r="M986">
        <v>204.48</v>
      </c>
      <c r="N986">
        <v>82.56</v>
      </c>
    </row>
    <row r="987" spans="1:14" x14ac:dyDescent="0.25">
      <c r="A987" s="1" t="s">
        <v>999</v>
      </c>
      <c r="B987" t="str">
        <f>HYPERLINK("https://www.suredividend.com/sure-analysis-MLI/","Mueller Industries, Inc.")</f>
        <v>Mueller Industries, Inc.</v>
      </c>
      <c r="C987" t="s">
        <v>1798</v>
      </c>
      <c r="D987">
        <v>45.32</v>
      </c>
      <c r="E987">
        <v>1.323918799646955E-2</v>
      </c>
      <c r="F987">
        <v>-0.4</v>
      </c>
      <c r="G987">
        <v>8.4471771197698553E-2</v>
      </c>
      <c r="H987">
        <v>0.59659102758773908</v>
      </c>
      <c r="I987">
        <v>5145.1528609999996</v>
      </c>
      <c r="J987">
        <v>8.2644428472528979</v>
      </c>
      <c r="K987">
        <v>0.108668675334743</v>
      </c>
      <c r="L987">
        <v>1.1588516147103081</v>
      </c>
      <c r="M987">
        <v>48.7</v>
      </c>
      <c r="N987">
        <v>30.76</v>
      </c>
    </row>
    <row r="988" spans="1:14" x14ac:dyDescent="0.25">
      <c r="A988" s="1" t="s">
        <v>1000</v>
      </c>
      <c r="B988" t="str">
        <f>HYPERLINK("https://www.suredividend.com/sure-analysis-research-database/","MillerKnoll Inc")</f>
        <v>MillerKnoll Inc</v>
      </c>
      <c r="C988" t="s">
        <v>1797</v>
      </c>
      <c r="D988">
        <v>25.47</v>
      </c>
      <c r="E988">
        <v>2.8649336097130999E-2</v>
      </c>
      <c r="F988" t="s">
        <v>1797</v>
      </c>
      <c r="G988" t="s">
        <v>1797</v>
      </c>
      <c r="H988">
        <v>0.72969859039393603</v>
      </c>
      <c r="I988">
        <v>1854.6810310000001</v>
      </c>
      <c r="J988">
        <v>36.726357054653462</v>
      </c>
      <c r="K988">
        <v>1.09056731489155</v>
      </c>
      <c r="L988">
        <v>1.39843719902525</v>
      </c>
      <c r="M988">
        <v>31.33</v>
      </c>
      <c r="N988">
        <v>12.59</v>
      </c>
    </row>
    <row r="989" spans="1:14" x14ac:dyDescent="0.25">
      <c r="A989" s="1" t="s">
        <v>1001</v>
      </c>
      <c r="B989" t="str">
        <f>HYPERLINK("https://www.suredividend.com/sure-analysis-research-database/","MeridianLink Inc")</f>
        <v>MeridianLink Inc</v>
      </c>
      <c r="C989" t="s">
        <v>1797</v>
      </c>
      <c r="D989">
        <v>23.23</v>
      </c>
      <c r="E989">
        <v>0</v>
      </c>
      <c r="F989" t="s">
        <v>1797</v>
      </c>
      <c r="G989" t="s">
        <v>1797</v>
      </c>
      <c r="H989">
        <v>0</v>
      </c>
      <c r="I989">
        <v>1822.222829</v>
      </c>
      <c r="J989" t="s">
        <v>1797</v>
      </c>
      <c r="K989">
        <v>0</v>
      </c>
      <c r="L989">
        <v>1.3419670083147379</v>
      </c>
      <c r="M989">
        <v>25.88</v>
      </c>
      <c r="N989">
        <v>13.62</v>
      </c>
    </row>
    <row r="990" spans="1:14" x14ac:dyDescent="0.25">
      <c r="A990" s="1" t="s">
        <v>1002</v>
      </c>
      <c r="B990" t="str">
        <f>HYPERLINK("https://www.suredividend.com/sure-analysis-MLR/","Miller Industries Inc.")</f>
        <v>Miller Industries Inc.</v>
      </c>
      <c r="C990" t="s">
        <v>1801</v>
      </c>
      <c r="D990">
        <v>39.92</v>
      </c>
      <c r="E990">
        <v>1.8036072144288571E-2</v>
      </c>
      <c r="F990">
        <v>0</v>
      </c>
      <c r="G990">
        <v>0</v>
      </c>
      <c r="H990">
        <v>0.7149933301058351</v>
      </c>
      <c r="I990">
        <v>456.90994899999998</v>
      </c>
      <c r="J990">
        <v>0</v>
      </c>
      <c r="K990" t="s">
        <v>1797</v>
      </c>
      <c r="L990">
        <v>0.48701435718709501</v>
      </c>
      <c r="M990">
        <v>43.5</v>
      </c>
      <c r="N990">
        <v>26.18</v>
      </c>
    </row>
    <row r="991" spans="1:14" x14ac:dyDescent="0.25">
      <c r="A991" s="1" t="s">
        <v>1003</v>
      </c>
      <c r="B991" t="str">
        <f>HYPERLINK("https://www.suredividend.com/sure-analysis-research-database/","Mineralys Therapeutics Inc")</f>
        <v>Mineralys Therapeutics Inc</v>
      </c>
      <c r="C991" t="s">
        <v>1797</v>
      </c>
      <c r="D991">
        <v>9.3000000000000007</v>
      </c>
      <c r="E991">
        <v>0</v>
      </c>
      <c r="F991" t="s">
        <v>1797</v>
      </c>
      <c r="G991" t="s">
        <v>1797</v>
      </c>
      <c r="H991">
        <v>0</v>
      </c>
      <c r="I991">
        <v>382.27759700000001</v>
      </c>
      <c r="J991">
        <v>0</v>
      </c>
      <c r="K991" t="s">
        <v>1797</v>
      </c>
      <c r="L991">
        <v>1.265568256607603</v>
      </c>
      <c r="M991">
        <v>21.98</v>
      </c>
      <c r="N991">
        <v>5.85</v>
      </c>
    </row>
    <row r="992" spans="1:14" x14ac:dyDescent="0.25">
      <c r="A992" s="1" t="s">
        <v>1004</v>
      </c>
      <c r="B992" t="str">
        <f>HYPERLINK("https://www.suredividend.com/sure-analysis-research-database/","Marcus &amp; Millichap Inc")</f>
        <v>Marcus &amp; Millichap Inc</v>
      </c>
      <c r="C992" t="s">
        <v>1799</v>
      </c>
      <c r="D992">
        <v>37.479999999999997</v>
      </c>
      <c r="E992">
        <v>1.3287129272583E-2</v>
      </c>
      <c r="F992" t="s">
        <v>1797</v>
      </c>
      <c r="G992" t="s">
        <v>1797</v>
      </c>
      <c r="H992">
        <v>0.49800160513643599</v>
      </c>
      <c r="I992">
        <v>1438.653646</v>
      </c>
      <c r="J992" t="s">
        <v>1797</v>
      </c>
      <c r="K992" t="s">
        <v>1797</v>
      </c>
      <c r="L992">
        <v>1.2372977363044459</v>
      </c>
      <c r="M992">
        <v>44.24</v>
      </c>
      <c r="N992">
        <v>26.81</v>
      </c>
    </row>
    <row r="993" spans="1:14" x14ac:dyDescent="0.25">
      <c r="A993" s="1" t="s">
        <v>1005</v>
      </c>
      <c r="B993" t="str">
        <f>HYPERLINK("https://www.suredividend.com/sure-analysis-MMS/","Maximus Inc.")</f>
        <v>Maximus Inc.</v>
      </c>
      <c r="C993" t="s">
        <v>1798</v>
      </c>
      <c r="D993">
        <v>81.209999999999994</v>
      </c>
      <c r="E993">
        <v>1.4776505356483191E-2</v>
      </c>
      <c r="F993">
        <v>7.1428571428571397E-2</v>
      </c>
      <c r="G993">
        <v>3.7137289336648172E-2</v>
      </c>
      <c r="H993">
        <v>1.133733654129734</v>
      </c>
      <c r="I993">
        <v>4953.6373480000002</v>
      </c>
      <c r="J993">
        <v>30.617319444348301</v>
      </c>
      <c r="K993">
        <v>0.43107743503031709</v>
      </c>
      <c r="L993">
        <v>0.79240707493590201</v>
      </c>
      <c r="M993">
        <v>89.02</v>
      </c>
      <c r="N993">
        <v>69.849999999999994</v>
      </c>
    </row>
    <row r="994" spans="1:14" x14ac:dyDescent="0.25">
      <c r="A994" s="1" t="s">
        <v>1006</v>
      </c>
      <c r="B994" t="str">
        <f>HYPERLINK("https://www.suredividend.com/sure-analysis-research-database/","Merit Medical Systems, Inc.")</f>
        <v>Merit Medical Systems, Inc.</v>
      </c>
      <c r="C994" t="s">
        <v>1802</v>
      </c>
      <c r="D994">
        <v>79</v>
      </c>
      <c r="E994">
        <v>0</v>
      </c>
      <c r="F994" t="s">
        <v>1797</v>
      </c>
      <c r="G994" t="s">
        <v>1797</v>
      </c>
      <c r="H994">
        <v>0</v>
      </c>
      <c r="I994">
        <v>4562.2864980000004</v>
      </c>
      <c r="J994">
        <v>45.539527644410732</v>
      </c>
      <c r="K994">
        <v>0</v>
      </c>
      <c r="L994">
        <v>0.75086413556326503</v>
      </c>
      <c r="M994">
        <v>85.62</v>
      </c>
      <c r="N994">
        <v>62.58</v>
      </c>
    </row>
    <row r="995" spans="1:14" x14ac:dyDescent="0.25">
      <c r="A995" s="1" t="s">
        <v>1007</v>
      </c>
      <c r="B995" t="str">
        <f>HYPERLINK("https://www.suredividend.com/sure-analysis-research-database/","Mannkind Corp")</f>
        <v>Mannkind Corp</v>
      </c>
      <c r="C995" t="s">
        <v>1802</v>
      </c>
      <c r="D995">
        <v>3.42</v>
      </c>
      <c r="E995">
        <v>0</v>
      </c>
      <c r="F995" t="s">
        <v>1797</v>
      </c>
      <c r="G995" t="s">
        <v>1797</v>
      </c>
      <c r="H995">
        <v>0</v>
      </c>
      <c r="I995">
        <v>921.94531700000005</v>
      </c>
      <c r="J995" t="s">
        <v>1797</v>
      </c>
      <c r="K995">
        <v>0</v>
      </c>
      <c r="L995">
        <v>1.247918724083741</v>
      </c>
      <c r="M995">
        <v>5.75</v>
      </c>
      <c r="N995">
        <v>3.3</v>
      </c>
    </row>
    <row r="996" spans="1:14" x14ac:dyDescent="0.25">
      <c r="A996" s="1" t="s">
        <v>1008</v>
      </c>
      <c r="B996" t="str">
        <f>HYPERLINK("https://www.suredividend.com/sure-analysis-research-database/","Monro Inc")</f>
        <v>Monro Inc</v>
      </c>
      <c r="C996" t="s">
        <v>1801</v>
      </c>
      <c r="D996">
        <v>28.19</v>
      </c>
      <c r="E996">
        <v>3.8722300625577001E-2</v>
      </c>
      <c r="F996">
        <v>0</v>
      </c>
      <c r="G996">
        <v>6.9610375725068785E-2</v>
      </c>
      <c r="H996">
        <v>1.0915816546350381</v>
      </c>
      <c r="I996">
        <v>886.45450900000003</v>
      </c>
      <c r="J996">
        <v>25.753304916184891</v>
      </c>
      <c r="K996">
        <v>1.020169770686951</v>
      </c>
      <c r="L996">
        <v>0.84487290322102204</v>
      </c>
      <c r="M996">
        <v>52.74</v>
      </c>
      <c r="N996">
        <v>22.29</v>
      </c>
    </row>
    <row r="997" spans="1:14" x14ac:dyDescent="0.25">
      <c r="A997" s="1" t="s">
        <v>1009</v>
      </c>
      <c r="B997" t="str">
        <f>HYPERLINK("https://www.suredividend.com/sure-analysis-research-database/","Montauk Renewables Inc")</f>
        <v>Montauk Renewables Inc</v>
      </c>
      <c r="C997" t="s">
        <v>1797</v>
      </c>
      <c r="D997">
        <v>7.95</v>
      </c>
      <c r="E997">
        <v>0</v>
      </c>
      <c r="F997" t="s">
        <v>1797</v>
      </c>
      <c r="G997" t="s">
        <v>1797</v>
      </c>
      <c r="H997">
        <v>0</v>
      </c>
      <c r="I997">
        <v>1142.110666</v>
      </c>
      <c r="J997">
        <v>70.854933063465481</v>
      </c>
      <c r="K997">
        <v>0</v>
      </c>
      <c r="L997">
        <v>1.047146738788119</v>
      </c>
      <c r="M997">
        <v>12.03</v>
      </c>
      <c r="N997">
        <v>5.46</v>
      </c>
    </row>
    <row r="998" spans="1:14" x14ac:dyDescent="0.25">
      <c r="A998" s="1" t="s">
        <v>1010</v>
      </c>
      <c r="B998" t="str">
        <f>HYPERLINK("https://www.suredividend.com/sure-analysis-research-database/","Momentus Inc")</f>
        <v>Momentus Inc</v>
      </c>
      <c r="C998" t="s">
        <v>1797</v>
      </c>
      <c r="D998">
        <v>0.95990000000000009</v>
      </c>
      <c r="E998">
        <v>0</v>
      </c>
      <c r="F998" t="s">
        <v>1797</v>
      </c>
      <c r="G998" t="s">
        <v>1797</v>
      </c>
      <c r="H998">
        <v>0</v>
      </c>
      <c r="I998">
        <v>6.2990760000000003</v>
      </c>
      <c r="J998" t="s">
        <v>1797</v>
      </c>
      <c r="K998">
        <v>0</v>
      </c>
      <c r="L998">
        <v>2.5079332323559038</v>
      </c>
      <c r="M998">
        <v>66.5</v>
      </c>
      <c r="N998">
        <v>0.75</v>
      </c>
    </row>
    <row r="999" spans="1:14" x14ac:dyDescent="0.25">
      <c r="A999" s="1" t="s">
        <v>1011</v>
      </c>
      <c r="B999" t="str">
        <f>HYPERLINK("https://www.suredividend.com/sure-analysis-research-database/","Modine Manufacturing Co.")</f>
        <v>Modine Manufacturing Co.</v>
      </c>
      <c r="C999" t="s">
        <v>1801</v>
      </c>
      <c r="D999">
        <v>64.22</v>
      </c>
      <c r="E999">
        <v>0</v>
      </c>
      <c r="F999" t="s">
        <v>1797</v>
      </c>
      <c r="G999" t="s">
        <v>1797</v>
      </c>
      <c r="H999">
        <v>0</v>
      </c>
      <c r="I999">
        <v>3354.9984509999999</v>
      </c>
      <c r="J999">
        <v>16.310152897228971</v>
      </c>
      <c r="K999">
        <v>0</v>
      </c>
      <c r="L999">
        <v>1.7387311731820929</v>
      </c>
      <c r="M999">
        <v>64.37</v>
      </c>
      <c r="N999">
        <v>19.41</v>
      </c>
    </row>
    <row r="1000" spans="1:14" x14ac:dyDescent="0.25">
      <c r="A1000" s="1" t="s">
        <v>1012</v>
      </c>
      <c r="B1000" t="str">
        <f>HYPERLINK("https://www.suredividend.com/sure-analysis-research-database/","Topgolf Callaway Brands Corp")</f>
        <v>Topgolf Callaway Brands Corp</v>
      </c>
      <c r="C1000" t="s">
        <v>1797</v>
      </c>
      <c r="D1000">
        <v>13.81</v>
      </c>
      <c r="E1000">
        <v>0</v>
      </c>
      <c r="F1000" t="s">
        <v>1797</v>
      </c>
      <c r="G1000" t="s">
        <v>1797</v>
      </c>
      <c r="H1000">
        <v>0</v>
      </c>
      <c r="I1000">
        <v>2548.180433</v>
      </c>
      <c r="J1000">
        <v>25.635618037022141</v>
      </c>
      <c r="K1000">
        <v>0</v>
      </c>
      <c r="L1000">
        <v>1.5239259474803799</v>
      </c>
      <c r="M1000">
        <v>25.96</v>
      </c>
      <c r="N1000">
        <v>9.84</v>
      </c>
    </row>
    <row r="1001" spans="1:14" x14ac:dyDescent="0.25">
      <c r="A1001" s="1" t="s">
        <v>1013</v>
      </c>
      <c r="B1001" t="str">
        <f>HYPERLINK("https://www.suredividend.com/sure-analysis-research-database/","Model N Inc")</f>
        <v>Model N Inc</v>
      </c>
      <c r="C1001" t="s">
        <v>1803</v>
      </c>
      <c r="D1001">
        <v>27.05</v>
      </c>
      <c r="E1001">
        <v>0</v>
      </c>
      <c r="F1001" t="s">
        <v>1797</v>
      </c>
      <c r="G1001" t="s">
        <v>1797</v>
      </c>
      <c r="H1001">
        <v>0</v>
      </c>
      <c r="I1001">
        <v>1055.822525</v>
      </c>
      <c r="J1001" t="s">
        <v>1797</v>
      </c>
      <c r="K1001">
        <v>0</v>
      </c>
      <c r="L1001">
        <v>0.8872025207748131</v>
      </c>
      <c r="M1001">
        <v>43.18</v>
      </c>
      <c r="N1001">
        <v>20.9</v>
      </c>
    </row>
    <row r="1002" spans="1:14" x14ac:dyDescent="0.25">
      <c r="A1002" s="1" t="s">
        <v>1014</v>
      </c>
      <c r="B1002" t="str">
        <f>HYPERLINK("https://www.suredividend.com/sure-analysis-research-database/","ModivCare Inc")</f>
        <v>ModivCare Inc</v>
      </c>
      <c r="C1002" t="s">
        <v>1797</v>
      </c>
      <c r="D1002">
        <v>39.01</v>
      </c>
      <c r="E1002">
        <v>0</v>
      </c>
      <c r="F1002" t="s">
        <v>1797</v>
      </c>
      <c r="G1002" t="s">
        <v>1797</v>
      </c>
      <c r="H1002">
        <v>0</v>
      </c>
      <c r="I1002">
        <v>553.42141200000003</v>
      </c>
      <c r="J1002" t="s">
        <v>1797</v>
      </c>
      <c r="K1002">
        <v>0</v>
      </c>
      <c r="L1002">
        <v>1.405297171628261</v>
      </c>
      <c r="M1002">
        <v>113.53</v>
      </c>
      <c r="N1002">
        <v>26.05</v>
      </c>
    </row>
    <row r="1003" spans="1:14" x14ac:dyDescent="0.25">
      <c r="A1003" s="1" t="s">
        <v>1015</v>
      </c>
      <c r="B1003" t="str">
        <f>HYPERLINK("https://www.suredividend.com/sure-analysis-research-database/","MidWestOne Financial Group Inc")</f>
        <v>MidWestOne Financial Group Inc</v>
      </c>
      <c r="C1003" t="s">
        <v>1800</v>
      </c>
      <c r="D1003">
        <v>24.97</v>
      </c>
      <c r="E1003">
        <v>3.7561143654864002E-2</v>
      </c>
      <c r="F1003">
        <v>2.105263157894743E-2</v>
      </c>
      <c r="G1003">
        <v>3.6710132153259023E-2</v>
      </c>
      <c r="H1003">
        <v>0.9379017570619681</v>
      </c>
      <c r="I1003">
        <v>391.822698</v>
      </c>
      <c r="J1003">
        <v>11.47996536462454</v>
      </c>
      <c r="K1003">
        <v>0.43221279127279638</v>
      </c>
      <c r="L1003">
        <v>1.130921576611027</v>
      </c>
      <c r="M1003">
        <v>31.62</v>
      </c>
      <c r="N1003">
        <v>16.61</v>
      </c>
    </row>
    <row r="1004" spans="1:14" x14ac:dyDescent="0.25">
      <c r="A1004" s="1" t="s">
        <v>1016</v>
      </c>
      <c r="B1004" t="str">
        <f>HYPERLINK("https://www.suredividend.com/sure-analysis-research-database/","Morphic Holding Inc")</f>
        <v>Morphic Holding Inc</v>
      </c>
      <c r="C1004" t="s">
        <v>1802</v>
      </c>
      <c r="D1004">
        <v>27.79</v>
      </c>
      <c r="E1004">
        <v>0</v>
      </c>
      <c r="F1004" t="s">
        <v>1797</v>
      </c>
      <c r="G1004" t="s">
        <v>1797</v>
      </c>
      <c r="H1004">
        <v>0</v>
      </c>
      <c r="I1004">
        <v>1382.357025</v>
      </c>
      <c r="J1004" t="s">
        <v>1797</v>
      </c>
      <c r="K1004">
        <v>0</v>
      </c>
      <c r="L1004">
        <v>1.0821928653687869</v>
      </c>
      <c r="M1004">
        <v>63.08</v>
      </c>
      <c r="N1004">
        <v>19.350000000000001</v>
      </c>
    </row>
    <row r="1005" spans="1:14" x14ac:dyDescent="0.25">
      <c r="A1005" s="1" t="s">
        <v>1017</v>
      </c>
      <c r="B1005" t="str">
        <f>HYPERLINK("https://www.suredividend.com/sure-analysis-research-database/","Movado Group, Inc.")</f>
        <v>Movado Group, Inc.</v>
      </c>
      <c r="C1005" t="s">
        <v>1801</v>
      </c>
      <c r="D1005">
        <v>27.94</v>
      </c>
      <c r="E1005">
        <v>4.9162347587769002E-2</v>
      </c>
      <c r="F1005" t="s">
        <v>1797</v>
      </c>
      <c r="G1005" t="s">
        <v>1797</v>
      </c>
      <c r="H1005">
        <v>1.373595991602268</v>
      </c>
      <c r="I1005">
        <v>435.77724599999999</v>
      </c>
      <c r="J1005">
        <v>7.6062494990574603</v>
      </c>
      <c r="K1005">
        <v>0.5429233168388411</v>
      </c>
      <c r="L1005">
        <v>1.030720851185164</v>
      </c>
      <c r="M1005">
        <v>35.42</v>
      </c>
      <c r="N1005">
        <v>23.33</v>
      </c>
    </row>
    <row r="1006" spans="1:14" x14ac:dyDescent="0.25">
      <c r="A1006" s="1" t="s">
        <v>1018</v>
      </c>
      <c r="B1006" t="str">
        <f>HYPERLINK("https://www.suredividend.com/sure-analysis-research-database/","Motorcar Parts of America Inc.")</f>
        <v>Motorcar Parts of America Inc.</v>
      </c>
      <c r="C1006" t="s">
        <v>1801</v>
      </c>
      <c r="D1006">
        <v>9.2799999999999994</v>
      </c>
      <c r="E1006">
        <v>0</v>
      </c>
      <c r="F1006" t="s">
        <v>1797</v>
      </c>
      <c r="G1006" t="s">
        <v>1797</v>
      </c>
      <c r="H1006">
        <v>0</v>
      </c>
      <c r="I1006">
        <v>181.95708999999999</v>
      </c>
      <c r="J1006" t="s">
        <v>1797</v>
      </c>
      <c r="K1006">
        <v>0</v>
      </c>
      <c r="L1006">
        <v>1.7667119929216391</v>
      </c>
      <c r="M1006">
        <v>15.87</v>
      </c>
      <c r="N1006">
        <v>4.26</v>
      </c>
    </row>
    <row r="1007" spans="1:14" x14ac:dyDescent="0.25">
      <c r="A1007" s="1" t="s">
        <v>1019</v>
      </c>
      <c r="B1007" t="str">
        <f>HYPERLINK("https://www.suredividend.com/sure-analysis-research-database/","Mid Penn Bancorp, Inc.")</f>
        <v>Mid Penn Bancorp, Inc.</v>
      </c>
      <c r="C1007" t="s">
        <v>1800</v>
      </c>
      <c r="D1007">
        <v>23.01</v>
      </c>
      <c r="E1007">
        <v>3.3942249324174001E-2</v>
      </c>
      <c r="F1007">
        <v>0</v>
      </c>
      <c r="G1007">
        <v>2.1295687600135119E-2</v>
      </c>
      <c r="H1007">
        <v>0.78101115694925505</v>
      </c>
      <c r="I1007">
        <v>383.54377299999999</v>
      </c>
      <c r="J1007">
        <v>0</v>
      </c>
      <c r="K1007" t="s">
        <v>1797</v>
      </c>
      <c r="L1007">
        <v>1.146887028522426</v>
      </c>
      <c r="M1007">
        <v>30.87</v>
      </c>
      <c r="N1007">
        <v>17.38</v>
      </c>
    </row>
    <row r="1008" spans="1:14" x14ac:dyDescent="0.25">
      <c r="A1008" s="1" t="s">
        <v>1020</v>
      </c>
      <c r="B1008" t="str">
        <f>HYPERLINK("https://www.suredividend.com/sure-analysis-research-database/","MultiPlan Corp")</f>
        <v>MultiPlan Corp</v>
      </c>
      <c r="C1008" t="s">
        <v>1797</v>
      </c>
      <c r="D1008">
        <v>1.25</v>
      </c>
      <c r="E1008">
        <v>0</v>
      </c>
      <c r="F1008" t="s">
        <v>1797</v>
      </c>
      <c r="G1008" t="s">
        <v>1797</v>
      </c>
      <c r="H1008">
        <v>0</v>
      </c>
      <c r="I1008">
        <v>811.85781899999995</v>
      </c>
      <c r="J1008" t="s">
        <v>1797</v>
      </c>
      <c r="K1008">
        <v>0</v>
      </c>
      <c r="L1008">
        <v>1.6394823518232</v>
      </c>
      <c r="M1008">
        <v>2.29</v>
      </c>
      <c r="N1008">
        <v>0.61040000000000005</v>
      </c>
    </row>
    <row r="1009" spans="1:14" x14ac:dyDescent="0.25">
      <c r="A1009" s="1" t="s">
        <v>1021</v>
      </c>
      <c r="B1009" t="str">
        <f>HYPERLINK("https://www.suredividend.com/sure-analysis-research-database/","Marine Products Corp")</f>
        <v>Marine Products Corp</v>
      </c>
      <c r="C1009" t="s">
        <v>1801</v>
      </c>
      <c r="D1009">
        <v>10.83</v>
      </c>
      <c r="E1009">
        <v>5.0808409905789012E-2</v>
      </c>
      <c r="F1009">
        <v>0</v>
      </c>
      <c r="G1009">
        <v>3.1310306477545069E-2</v>
      </c>
      <c r="H1009">
        <v>0.55025507927969708</v>
      </c>
      <c r="I1009">
        <v>373.27464300000003</v>
      </c>
      <c r="J1009">
        <v>7.9403242412252713</v>
      </c>
      <c r="K1009">
        <v>0.39303934234264082</v>
      </c>
      <c r="L1009">
        <v>0.99458681324589904</v>
      </c>
      <c r="M1009">
        <v>17.55</v>
      </c>
      <c r="N1009">
        <v>9.18</v>
      </c>
    </row>
    <row r="1010" spans="1:14" x14ac:dyDescent="0.25">
      <c r="A1010" s="1" t="s">
        <v>1022</v>
      </c>
      <c r="B1010" t="str">
        <f>HYPERLINK("https://www.suredividend.com/sure-analysis-research-database/","Marqeta Inc")</f>
        <v>Marqeta Inc</v>
      </c>
      <c r="C1010" t="s">
        <v>1797</v>
      </c>
      <c r="D1010">
        <v>6.26</v>
      </c>
      <c r="E1010">
        <v>0</v>
      </c>
      <c r="F1010" t="s">
        <v>1797</v>
      </c>
      <c r="G1010" t="s">
        <v>1797</v>
      </c>
      <c r="H1010">
        <v>0</v>
      </c>
      <c r="I1010">
        <v>2979.134</v>
      </c>
      <c r="J1010" t="s">
        <v>1797</v>
      </c>
      <c r="K1010">
        <v>0</v>
      </c>
      <c r="L1010">
        <v>1.752299853880442</v>
      </c>
      <c r="M1010">
        <v>7.51</v>
      </c>
      <c r="N1010">
        <v>3.46</v>
      </c>
    </row>
    <row r="1011" spans="1:14" x14ac:dyDescent="0.25">
      <c r="A1011" s="1" t="s">
        <v>1023</v>
      </c>
      <c r="B1011" t="str">
        <f>HYPERLINK("https://www.suredividend.com/sure-analysis-research-database/","MRC Global Inc")</f>
        <v>MRC Global Inc</v>
      </c>
      <c r="C1011" t="s">
        <v>1807</v>
      </c>
      <c r="D1011">
        <v>10.08</v>
      </c>
      <c r="E1011">
        <v>0</v>
      </c>
      <c r="F1011" t="s">
        <v>1797</v>
      </c>
      <c r="G1011" t="s">
        <v>1797</v>
      </c>
      <c r="H1011">
        <v>0</v>
      </c>
      <c r="I1011">
        <v>849.76317200000005</v>
      </c>
      <c r="J1011">
        <v>9.441813024</v>
      </c>
      <c r="K1011">
        <v>0</v>
      </c>
      <c r="L1011">
        <v>1.4373246807476969</v>
      </c>
      <c r="M1011">
        <v>13.9</v>
      </c>
      <c r="N1011">
        <v>8.15</v>
      </c>
    </row>
    <row r="1012" spans="1:14" x14ac:dyDescent="0.25">
      <c r="A1012" s="1" t="s">
        <v>1024</v>
      </c>
      <c r="B1012" t="str">
        <f>HYPERLINK("https://www.suredividend.com/sure-analysis-research-database/","Mersana Therapeutics Inc")</f>
        <v>Mersana Therapeutics Inc</v>
      </c>
      <c r="C1012" t="s">
        <v>1802</v>
      </c>
      <c r="D1012">
        <v>3.02</v>
      </c>
      <c r="E1012">
        <v>0</v>
      </c>
      <c r="F1012" t="s">
        <v>1797</v>
      </c>
      <c r="G1012" t="s">
        <v>1797</v>
      </c>
      <c r="H1012">
        <v>0</v>
      </c>
      <c r="I1012">
        <v>364.157984</v>
      </c>
      <c r="J1012" t="s">
        <v>1797</v>
      </c>
      <c r="K1012">
        <v>0</v>
      </c>
      <c r="L1012">
        <v>1.4570380858464971</v>
      </c>
      <c r="M1012">
        <v>9.6199999999999992</v>
      </c>
      <c r="N1012">
        <v>0.8014</v>
      </c>
    </row>
    <row r="1013" spans="1:14" x14ac:dyDescent="0.25">
      <c r="A1013" s="1" t="s">
        <v>1025</v>
      </c>
      <c r="B1013" t="str">
        <f>HYPERLINK("https://www.suredividend.com/sure-analysis-research-database/","Marten Transport, Ltd.")</f>
        <v>Marten Transport, Ltd.</v>
      </c>
      <c r="C1013" t="s">
        <v>1798</v>
      </c>
      <c r="D1013">
        <v>19.89</v>
      </c>
      <c r="E1013">
        <v>1.1959345166078999E-2</v>
      </c>
      <c r="F1013">
        <v>0</v>
      </c>
      <c r="G1013">
        <v>0.1486983549970351</v>
      </c>
      <c r="H1013">
        <v>0.23787137535331401</v>
      </c>
      <c r="I1013">
        <v>1617.2353740000001</v>
      </c>
      <c r="J1013">
        <v>19.37087214354159</v>
      </c>
      <c r="K1013">
        <v>0.23094308286729509</v>
      </c>
      <c r="L1013">
        <v>0.85867802972860907</v>
      </c>
      <c r="M1013">
        <v>23.1</v>
      </c>
      <c r="N1013">
        <v>17.23</v>
      </c>
    </row>
    <row r="1014" spans="1:14" x14ac:dyDescent="0.25">
      <c r="A1014" s="1" t="s">
        <v>1026</v>
      </c>
      <c r="B1014" t="str">
        <f>HYPERLINK("https://www.suredividend.com/sure-analysis-research-database/","Midland States Bancorp Inc")</f>
        <v>Midland States Bancorp Inc</v>
      </c>
      <c r="C1014" t="s">
        <v>1800</v>
      </c>
      <c r="D1014">
        <v>26</v>
      </c>
      <c r="E1014">
        <v>4.4550294816531007E-2</v>
      </c>
      <c r="F1014">
        <v>3.4482758620689953E-2</v>
      </c>
      <c r="G1014">
        <v>4.3474648810011729E-2</v>
      </c>
      <c r="H1014">
        <v>1.1583076652298201</v>
      </c>
      <c r="I1014">
        <v>559.99928399999999</v>
      </c>
      <c r="J1014">
        <v>6.6345123508713728</v>
      </c>
      <c r="K1014">
        <v>0.30562207525852769</v>
      </c>
      <c r="L1014">
        <v>1.0401885832803479</v>
      </c>
      <c r="M1014">
        <v>28.47</v>
      </c>
      <c r="N1014">
        <v>16.82</v>
      </c>
    </row>
    <row r="1015" spans="1:14" x14ac:dyDescent="0.25">
      <c r="A1015" s="1" t="s">
        <v>1027</v>
      </c>
      <c r="B1015" t="str">
        <f>HYPERLINK("https://www.suredividend.com/sure-analysis-MSEX/","Middlesex Water Co.")</f>
        <v>Middlesex Water Co.</v>
      </c>
      <c r="C1015" t="s">
        <v>1805</v>
      </c>
      <c r="D1015">
        <v>61.55</v>
      </c>
      <c r="E1015">
        <v>2.1121039805036559E-2</v>
      </c>
      <c r="F1015">
        <v>4.0000000000000042E-2</v>
      </c>
      <c r="G1015">
        <v>6.2513419439677476E-2</v>
      </c>
      <c r="H1015">
        <v>1.247232886692305</v>
      </c>
      <c r="I1015">
        <v>1096.0021389999999</v>
      </c>
      <c r="J1015">
        <v>33.40553320125575</v>
      </c>
      <c r="K1015">
        <v>0.6778439601588615</v>
      </c>
      <c r="L1015">
        <v>0.76331131106444805</v>
      </c>
      <c r="M1015">
        <v>88.28</v>
      </c>
      <c r="N1015">
        <v>60.02</v>
      </c>
    </row>
    <row r="1016" spans="1:14" x14ac:dyDescent="0.25">
      <c r="A1016" s="1" t="s">
        <v>1028</v>
      </c>
      <c r="B1016" t="str">
        <f>HYPERLINK("https://www.suredividend.com/sure-analysis-research-database/","Madison Square Garden Entertainment Corp.")</f>
        <v>Madison Square Garden Entertainment Corp.</v>
      </c>
      <c r="C1016" t="s">
        <v>1797</v>
      </c>
      <c r="D1016">
        <v>32.14</v>
      </c>
      <c r="E1016">
        <v>0</v>
      </c>
      <c r="F1016" t="s">
        <v>1797</v>
      </c>
      <c r="G1016" t="s">
        <v>1797</v>
      </c>
      <c r="H1016">
        <v>0</v>
      </c>
      <c r="I1016">
        <v>1321.0544050000001</v>
      </c>
      <c r="J1016">
        <v>0</v>
      </c>
      <c r="K1016" t="s">
        <v>1797</v>
      </c>
      <c r="L1016">
        <v>0.83495975612211204</v>
      </c>
      <c r="M1016">
        <v>40.81</v>
      </c>
      <c r="N1016">
        <v>27.55</v>
      </c>
    </row>
    <row r="1017" spans="1:14" x14ac:dyDescent="0.25">
      <c r="A1017" s="1" t="s">
        <v>1029</v>
      </c>
      <c r="B1017" t="str">
        <f>HYPERLINK("https://www.suredividend.com/sure-analysis-research-database/","Microstrategy Inc.")</f>
        <v>Microstrategy Inc.</v>
      </c>
      <c r="C1017" t="s">
        <v>1803</v>
      </c>
      <c r="D1017">
        <v>485.53</v>
      </c>
      <c r="E1017">
        <v>0</v>
      </c>
      <c r="F1017" t="s">
        <v>1797</v>
      </c>
      <c r="G1017" t="s">
        <v>1797</v>
      </c>
      <c r="H1017">
        <v>0</v>
      </c>
      <c r="I1017">
        <v>6638.5895419999997</v>
      </c>
      <c r="J1017">
        <v>73.495887586741361</v>
      </c>
      <c r="K1017">
        <v>0</v>
      </c>
      <c r="L1017">
        <v>2.1761374081284579</v>
      </c>
      <c r="M1017">
        <v>727.77</v>
      </c>
      <c r="N1017">
        <v>188.3</v>
      </c>
    </row>
    <row r="1018" spans="1:14" x14ac:dyDescent="0.25">
      <c r="A1018" s="1" t="s">
        <v>1030</v>
      </c>
      <c r="B1018" t="str">
        <f>HYPERLINK("https://www.suredividend.com/sure-analysis-research-database/","Matador Resources Co")</f>
        <v>Matador Resources Co</v>
      </c>
      <c r="C1018" t="s">
        <v>1807</v>
      </c>
      <c r="D1018">
        <v>55.34</v>
      </c>
      <c r="E1018">
        <v>1.1693346600479999E-2</v>
      </c>
      <c r="F1018" t="s">
        <v>1797</v>
      </c>
      <c r="G1018" t="s">
        <v>1797</v>
      </c>
      <c r="H1018">
        <v>0.6471098008706081</v>
      </c>
      <c r="I1018">
        <v>6592.9262509999999</v>
      </c>
      <c r="J1018">
        <v>7.7992614117850252</v>
      </c>
      <c r="K1018">
        <v>9.1919005805484108E-2</v>
      </c>
      <c r="L1018">
        <v>1.1767025563400491</v>
      </c>
      <c r="M1018">
        <v>68.56</v>
      </c>
      <c r="N1018">
        <v>41.64</v>
      </c>
    </row>
    <row r="1019" spans="1:14" x14ac:dyDescent="0.25">
      <c r="A1019" s="1" t="s">
        <v>1031</v>
      </c>
      <c r="B1019" t="str">
        <f>HYPERLINK("https://www.suredividend.com/sure-analysis-research-database/","Meritage Homes Corp.")</f>
        <v>Meritage Homes Corp.</v>
      </c>
      <c r="C1019" t="s">
        <v>1801</v>
      </c>
      <c r="D1019">
        <v>171.93</v>
      </c>
      <c r="E1019">
        <v>6.2640877419790006E-3</v>
      </c>
      <c r="F1019" t="s">
        <v>1797</v>
      </c>
      <c r="G1019" t="s">
        <v>1797</v>
      </c>
      <c r="H1019">
        <v>1.0769846054785901</v>
      </c>
      <c r="I1019">
        <v>6266.8323389999996</v>
      </c>
      <c r="J1019">
        <v>7.8114535383453294</v>
      </c>
      <c r="K1019">
        <v>4.9791243896374952E-2</v>
      </c>
      <c r="L1019">
        <v>1.5160901426032249</v>
      </c>
      <c r="M1019">
        <v>178.82</v>
      </c>
      <c r="N1019">
        <v>95.47</v>
      </c>
    </row>
    <row r="1020" spans="1:14" x14ac:dyDescent="0.25">
      <c r="A1020" s="1" t="s">
        <v>1032</v>
      </c>
      <c r="B1020" t="str">
        <f>HYPERLINK("https://www.suredividend.com/sure-analysis-research-database/","Materion Corp")</f>
        <v>Materion Corp</v>
      </c>
      <c r="C1020" t="s">
        <v>1808</v>
      </c>
      <c r="D1020">
        <v>121.87</v>
      </c>
      <c r="E1020">
        <v>4.2184895336410001E-3</v>
      </c>
      <c r="F1020">
        <v>4.0000000000000042E-2</v>
      </c>
      <c r="G1020">
        <v>3.3975226531950183E-2</v>
      </c>
      <c r="H1020">
        <v>0.51410731946489707</v>
      </c>
      <c r="I1020">
        <v>2515.6888009999998</v>
      </c>
      <c r="J1020">
        <v>23.959397326806229</v>
      </c>
      <c r="K1020">
        <v>0.10220821460534731</v>
      </c>
      <c r="L1020">
        <v>1.1857648909950771</v>
      </c>
      <c r="M1020">
        <v>132.5</v>
      </c>
      <c r="N1020">
        <v>83.83</v>
      </c>
    </row>
    <row r="1021" spans="1:14" x14ac:dyDescent="0.25">
      <c r="A1021" s="1" t="s">
        <v>1033</v>
      </c>
      <c r="B1021" t="str">
        <f>HYPERLINK("https://www.suredividend.com/sure-analysis-research-database/","MACOM Technology Solutions Holdings Inc")</f>
        <v>MACOM Technology Solutions Holdings Inc</v>
      </c>
      <c r="C1021" t="s">
        <v>1803</v>
      </c>
      <c r="D1021">
        <v>84.25</v>
      </c>
      <c r="E1021">
        <v>0</v>
      </c>
      <c r="F1021" t="s">
        <v>1797</v>
      </c>
      <c r="G1021" t="s">
        <v>1797</v>
      </c>
      <c r="H1021">
        <v>0</v>
      </c>
      <c r="I1021">
        <v>6059.2316920000003</v>
      </c>
      <c r="J1021">
        <v>66.165431189054019</v>
      </c>
      <c r="K1021">
        <v>0</v>
      </c>
      <c r="L1021">
        <v>1.525033627860936</v>
      </c>
      <c r="M1021">
        <v>96.09</v>
      </c>
      <c r="N1021">
        <v>48.53</v>
      </c>
    </row>
    <row r="1022" spans="1:14" x14ac:dyDescent="0.25">
      <c r="A1022" s="1" t="s">
        <v>1034</v>
      </c>
      <c r="B1022" t="str">
        <f>HYPERLINK("https://www.suredividend.com/sure-analysis-research-database/","Matterport Inc")</f>
        <v>Matterport Inc</v>
      </c>
      <c r="C1022" t="s">
        <v>1797</v>
      </c>
      <c r="D1022">
        <v>2.33</v>
      </c>
      <c r="E1022">
        <v>0</v>
      </c>
      <c r="F1022" t="s">
        <v>1797</v>
      </c>
      <c r="G1022" t="s">
        <v>1797</v>
      </c>
      <c r="H1022">
        <v>0</v>
      </c>
      <c r="I1022">
        <v>712.18780000000004</v>
      </c>
      <c r="J1022" t="s">
        <v>1797</v>
      </c>
      <c r="K1022">
        <v>0</v>
      </c>
      <c r="L1022">
        <v>2.4321776523950791</v>
      </c>
      <c r="M1022">
        <v>4.07</v>
      </c>
      <c r="N1022">
        <v>1.84</v>
      </c>
    </row>
    <row r="1023" spans="1:14" x14ac:dyDescent="0.25">
      <c r="A1023" s="1" t="s">
        <v>1035</v>
      </c>
      <c r="B1023" t="str">
        <f>HYPERLINK("https://www.suredividend.com/sure-analysis-research-database/","Manitowoc Co., Inc.")</f>
        <v>Manitowoc Co., Inc.</v>
      </c>
      <c r="C1023" t="s">
        <v>1798</v>
      </c>
      <c r="D1023">
        <v>15.89</v>
      </c>
      <c r="E1023">
        <v>0</v>
      </c>
      <c r="F1023" t="s">
        <v>1797</v>
      </c>
      <c r="G1023" t="s">
        <v>1797</v>
      </c>
      <c r="H1023">
        <v>0</v>
      </c>
      <c r="I1023">
        <v>557.501127</v>
      </c>
      <c r="J1023" t="s">
        <v>1797</v>
      </c>
      <c r="K1023">
        <v>0</v>
      </c>
      <c r="L1023">
        <v>1.58328902196025</v>
      </c>
      <c r="M1023">
        <v>20.2</v>
      </c>
      <c r="N1023">
        <v>11.17</v>
      </c>
    </row>
    <row r="1024" spans="1:14" x14ac:dyDescent="0.25">
      <c r="A1024" s="1" t="s">
        <v>1036</v>
      </c>
      <c r="B1024" t="str">
        <f>HYPERLINK("https://www.suredividend.com/sure-analysis-research-database/","Minerals Technologies, Inc.")</f>
        <v>Minerals Technologies, Inc.</v>
      </c>
      <c r="C1024" t="s">
        <v>1808</v>
      </c>
      <c r="D1024">
        <v>66.97</v>
      </c>
      <c r="E1024">
        <v>3.7269138279549998E-3</v>
      </c>
      <c r="F1024">
        <v>1</v>
      </c>
      <c r="G1024">
        <v>0.1486983549970351</v>
      </c>
      <c r="H1024">
        <v>0.24959141905815799</v>
      </c>
      <c r="I1024">
        <v>2179.4623040000001</v>
      </c>
      <c r="J1024">
        <v>33.948010968847349</v>
      </c>
      <c r="K1024">
        <v>0.12669615180617161</v>
      </c>
      <c r="L1024">
        <v>1.2051765646269961</v>
      </c>
      <c r="M1024">
        <v>73.25</v>
      </c>
      <c r="N1024">
        <v>48.52</v>
      </c>
    </row>
    <row r="1025" spans="1:14" x14ac:dyDescent="0.25">
      <c r="A1025" s="1" t="s">
        <v>1037</v>
      </c>
      <c r="B1025" t="str">
        <f>HYPERLINK("https://www.suredividend.com/sure-analysis-research-database/","Mullen Automotive Inc")</f>
        <v>Mullen Automotive Inc</v>
      </c>
      <c r="C1025" t="s">
        <v>1797</v>
      </c>
      <c r="D1025">
        <v>11.03</v>
      </c>
      <c r="E1025">
        <v>0</v>
      </c>
      <c r="F1025" t="s">
        <v>1797</v>
      </c>
      <c r="G1025" t="s">
        <v>1797</v>
      </c>
      <c r="H1025">
        <v>0</v>
      </c>
      <c r="I1025">
        <v>45.553899999999999</v>
      </c>
      <c r="J1025">
        <v>0</v>
      </c>
      <c r="K1025" t="s">
        <v>1797</v>
      </c>
      <c r="L1025">
        <v>2.4087311148017072</v>
      </c>
      <c r="M1025">
        <v>10080</v>
      </c>
      <c r="N1025">
        <v>6.95</v>
      </c>
    </row>
    <row r="1026" spans="1:14" x14ac:dyDescent="0.25">
      <c r="A1026" s="1" t="s">
        <v>1038</v>
      </c>
      <c r="B1026" t="str">
        <f>HYPERLINK("https://www.suredividend.com/sure-analysis-research-database/","Murphy Oil Corp.")</f>
        <v>Murphy Oil Corp.</v>
      </c>
      <c r="C1026" t="s">
        <v>1807</v>
      </c>
      <c r="D1026">
        <v>39.08</v>
      </c>
      <c r="E1026">
        <v>2.7865977141656999E-2</v>
      </c>
      <c r="F1026">
        <v>0.1000000000000001</v>
      </c>
      <c r="G1026">
        <v>1.9244876491456561E-2</v>
      </c>
      <c r="H1026">
        <v>1.089002386695989</v>
      </c>
      <c r="I1026">
        <v>6036.8103499999997</v>
      </c>
      <c r="J1026">
        <v>8.1066920250312222</v>
      </c>
      <c r="K1026">
        <v>0.23072084463898071</v>
      </c>
      <c r="L1026">
        <v>1.0114900791893531</v>
      </c>
      <c r="M1026">
        <v>48.16</v>
      </c>
      <c r="N1026">
        <v>32.24</v>
      </c>
    </row>
    <row r="1027" spans="1:14" x14ac:dyDescent="0.25">
      <c r="A1027" s="1" t="s">
        <v>1039</v>
      </c>
      <c r="B1027" t="str">
        <f>HYPERLINK("https://www.suredividend.com/sure-analysis-research-database/","Murphy USA Inc")</f>
        <v>Murphy USA Inc</v>
      </c>
      <c r="C1027" t="s">
        <v>1801</v>
      </c>
      <c r="D1027">
        <v>377.61</v>
      </c>
      <c r="E1027">
        <v>4.0976391803450004E-3</v>
      </c>
      <c r="F1027" t="s">
        <v>1797</v>
      </c>
      <c r="G1027" t="s">
        <v>1797</v>
      </c>
      <c r="H1027">
        <v>1.547309530890326</v>
      </c>
      <c r="I1027">
        <v>8034.4196760000004</v>
      </c>
      <c r="J1027">
        <v>15.318245330619639</v>
      </c>
      <c r="K1027">
        <v>6.5425350143354183E-2</v>
      </c>
      <c r="L1027">
        <v>0.30183267246719298</v>
      </c>
      <c r="M1027">
        <v>381.62</v>
      </c>
      <c r="N1027">
        <v>230.79</v>
      </c>
    </row>
    <row r="1028" spans="1:14" x14ac:dyDescent="0.25">
      <c r="A1028" s="1" t="s">
        <v>1040</v>
      </c>
      <c r="B1028" t="str">
        <f>HYPERLINK("https://www.suredividend.com/sure-analysis-research-database/","MVB Financial Corp.")</f>
        <v>MVB Financial Corp.</v>
      </c>
      <c r="C1028" t="s">
        <v>1800</v>
      </c>
      <c r="D1028">
        <v>22.55</v>
      </c>
      <c r="E1028">
        <v>2.9429892923541E-2</v>
      </c>
      <c r="F1028">
        <v>0</v>
      </c>
      <c r="G1028">
        <v>0.37175381093971938</v>
      </c>
      <c r="H1028">
        <v>0.66364408542585207</v>
      </c>
      <c r="I1028">
        <v>287.210849</v>
      </c>
      <c r="J1028">
        <v>0</v>
      </c>
      <c r="K1028" t="s">
        <v>1797</v>
      </c>
      <c r="L1028">
        <v>1.190756237527276</v>
      </c>
      <c r="M1028">
        <v>26.39</v>
      </c>
      <c r="N1028">
        <v>15.47</v>
      </c>
    </row>
    <row r="1029" spans="1:14" x14ac:dyDescent="0.25">
      <c r="A1029" s="1" t="s">
        <v>1041</v>
      </c>
      <c r="B1029" t="str">
        <f>HYPERLINK("https://www.suredividend.com/sure-analysis-research-database/","Microvision Inc.")</f>
        <v>Microvision Inc.</v>
      </c>
      <c r="C1029" t="s">
        <v>1803</v>
      </c>
      <c r="D1029">
        <v>2.4300000000000002</v>
      </c>
      <c r="E1029">
        <v>0</v>
      </c>
      <c r="F1029" t="s">
        <v>1797</v>
      </c>
      <c r="G1029" t="s">
        <v>1797</v>
      </c>
      <c r="H1029">
        <v>0</v>
      </c>
      <c r="I1029">
        <v>461.66535499999998</v>
      </c>
      <c r="J1029" t="s">
        <v>1797</v>
      </c>
      <c r="K1029">
        <v>0</v>
      </c>
      <c r="L1029">
        <v>2.7058172500847508</v>
      </c>
      <c r="M1029">
        <v>8.1999999999999993</v>
      </c>
      <c r="N1029">
        <v>1.82</v>
      </c>
    </row>
    <row r="1030" spans="1:14" x14ac:dyDescent="0.25">
      <c r="A1030" s="1" t="s">
        <v>1042</v>
      </c>
      <c r="B1030" t="str">
        <f>HYPERLINK("https://www.suredividend.com/sure-analysis-research-database/","Microvast Holdings Inc")</f>
        <v>Microvast Holdings Inc</v>
      </c>
      <c r="C1030" t="s">
        <v>1797</v>
      </c>
      <c r="D1030">
        <v>1.085</v>
      </c>
      <c r="E1030">
        <v>0</v>
      </c>
      <c r="F1030" t="s">
        <v>1797</v>
      </c>
      <c r="G1030" t="s">
        <v>1797</v>
      </c>
      <c r="H1030">
        <v>0</v>
      </c>
      <c r="I1030">
        <v>343.44028500000002</v>
      </c>
      <c r="J1030" t="s">
        <v>1797</v>
      </c>
      <c r="K1030">
        <v>0</v>
      </c>
      <c r="L1030">
        <v>3.1162153557422001</v>
      </c>
      <c r="M1030">
        <v>2.91</v>
      </c>
      <c r="N1030">
        <v>0.84010000000000007</v>
      </c>
    </row>
    <row r="1031" spans="1:14" x14ac:dyDescent="0.25">
      <c r="A1031" s="1" t="s">
        <v>1043</v>
      </c>
      <c r="B1031" t="str">
        <f>HYPERLINK("https://www.suredividend.com/sure-analysis-MWA/","Mueller Water Products Inc")</f>
        <v>Mueller Water Products Inc</v>
      </c>
      <c r="C1031" t="s">
        <v>1798</v>
      </c>
      <c r="D1031">
        <v>13.86</v>
      </c>
      <c r="E1031">
        <v>1.875901875901876E-2</v>
      </c>
      <c r="F1031">
        <v>4.9180327868852507E-2</v>
      </c>
      <c r="G1031">
        <v>5.0611121761506839E-2</v>
      </c>
      <c r="H1031">
        <v>0.24529262648307401</v>
      </c>
      <c r="I1031">
        <v>2163.7131519999998</v>
      </c>
      <c r="J1031">
        <v>25.30658656842105</v>
      </c>
      <c r="K1031">
        <v>0.44983060055579321</v>
      </c>
      <c r="L1031">
        <v>1.1343328788664779</v>
      </c>
      <c r="M1031">
        <v>16.46</v>
      </c>
      <c r="N1031">
        <v>11.56</v>
      </c>
    </row>
    <row r="1032" spans="1:14" x14ac:dyDescent="0.25">
      <c r="A1032" s="1" t="s">
        <v>1044</v>
      </c>
      <c r="B1032" t="str">
        <f>HYPERLINK("https://www.suredividend.com/sure-analysis-research-database/","MaxCyte Inc")</f>
        <v>MaxCyte Inc</v>
      </c>
      <c r="C1032" t="s">
        <v>1797</v>
      </c>
      <c r="D1032">
        <v>5.375</v>
      </c>
      <c r="E1032">
        <v>0</v>
      </c>
      <c r="F1032" t="s">
        <v>1797</v>
      </c>
      <c r="G1032" t="s">
        <v>1797</v>
      </c>
      <c r="H1032">
        <v>0</v>
      </c>
      <c r="I1032">
        <v>0</v>
      </c>
      <c r="J1032">
        <v>0</v>
      </c>
      <c r="K1032" t="s">
        <v>1797</v>
      </c>
    </row>
    <row r="1033" spans="1:14" x14ac:dyDescent="0.25">
      <c r="A1033" s="1" t="s">
        <v>1045</v>
      </c>
      <c r="B1033" t="str">
        <f>HYPERLINK("https://www.suredividend.com/sure-analysis-research-database/","MaxLinear Inc")</f>
        <v>MaxLinear Inc</v>
      </c>
      <c r="C1033" t="s">
        <v>1803</v>
      </c>
      <c r="D1033">
        <v>21.25</v>
      </c>
      <c r="E1033">
        <v>0</v>
      </c>
      <c r="F1033" t="s">
        <v>1797</v>
      </c>
      <c r="G1033" t="s">
        <v>1797</v>
      </c>
      <c r="H1033">
        <v>0</v>
      </c>
      <c r="I1033">
        <v>1733.164896</v>
      </c>
      <c r="J1033" t="s">
        <v>1797</v>
      </c>
      <c r="K1033">
        <v>0</v>
      </c>
      <c r="L1033">
        <v>1.9140489606215549</v>
      </c>
      <c r="M1033">
        <v>43.66</v>
      </c>
      <c r="N1033">
        <v>13.43</v>
      </c>
    </row>
    <row r="1034" spans="1:14" x14ac:dyDescent="0.25">
      <c r="A1034" s="1" t="s">
        <v>1046</v>
      </c>
      <c r="B1034" t="str">
        <f>HYPERLINK("https://www.suredividend.com/sure-analysis-research-database/","Myers Industries Inc.")</f>
        <v>Myers Industries Inc.</v>
      </c>
      <c r="C1034" t="s">
        <v>1801</v>
      </c>
      <c r="D1034">
        <v>18.600000000000001</v>
      </c>
      <c r="E1034">
        <v>2.8706449453759001E-2</v>
      </c>
      <c r="F1034">
        <v>0</v>
      </c>
      <c r="G1034">
        <v>0</v>
      </c>
      <c r="H1034">
        <v>0.53393995983993503</v>
      </c>
      <c r="I1034">
        <v>685.19546800000001</v>
      </c>
      <c r="J1034">
        <v>13.771112380416429</v>
      </c>
      <c r="K1034">
        <v>0.39846265659696639</v>
      </c>
      <c r="L1034">
        <v>0.89018675200093411</v>
      </c>
      <c r="M1034">
        <v>25.73</v>
      </c>
      <c r="N1034">
        <v>15.53</v>
      </c>
    </row>
    <row r="1035" spans="1:14" x14ac:dyDescent="0.25">
      <c r="A1035" s="1" t="s">
        <v>1047</v>
      </c>
      <c r="B1035" t="str">
        <f>HYPERLINK("https://www.suredividend.com/sure-analysis-research-database/","First Western Financial Inc")</f>
        <v>First Western Financial Inc</v>
      </c>
      <c r="C1035" t="s">
        <v>1800</v>
      </c>
      <c r="D1035">
        <v>17.489999999999998</v>
      </c>
      <c r="E1035">
        <v>0</v>
      </c>
      <c r="F1035" t="s">
        <v>1797</v>
      </c>
      <c r="G1035" t="s">
        <v>1797</v>
      </c>
      <c r="H1035">
        <v>0</v>
      </c>
      <c r="I1035">
        <v>167.23534000000001</v>
      </c>
      <c r="J1035">
        <v>12.01834996837945</v>
      </c>
      <c r="K1035">
        <v>0</v>
      </c>
      <c r="L1035">
        <v>1.7451515265727611</v>
      </c>
      <c r="M1035">
        <v>27.84</v>
      </c>
      <c r="N1035">
        <v>12.85</v>
      </c>
    </row>
    <row r="1036" spans="1:14" x14ac:dyDescent="0.25">
      <c r="A1036" s="1" t="s">
        <v>1048</v>
      </c>
      <c r="B1036" t="str">
        <f>HYPERLINK("https://www.suredividend.com/sure-analysis-research-database/","Myriad Genetics, Inc.")</f>
        <v>Myriad Genetics, Inc.</v>
      </c>
      <c r="C1036" t="s">
        <v>1802</v>
      </c>
      <c r="D1036">
        <v>19.87</v>
      </c>
      <c r="E1036">
        <v>0</v>
      </c>
      <c r="F1036" t="s">
        <v>1797</v>
      </c>
      <c r="G1036" t="s">
        <v>1797</v>
      </c>
      <c r="H1036">
        <v>0</v>
      </c>
      <c r="I1036">
        <v>1633.278294</v>
      </c>
      <c r="J1036" t="s">
        <v>1797</v>
      </c>
      <c r="K1036">
        <v>0</v>
      </c>
      <c r="L1036">
        <v>1.3509902316202069</v>
      </c>
      <c r="M1036">
        <v>24.21</v>
      </c>
      <c r="N1036">
        <v>13.82</v>
      </c>
    </row>
    <row r="1037" spans="1:14" x14ac:dyDescent="0.25">
      <c r="A1037" s="1" t="s">
        <v>1049</v>
      </c>
      <c r="B1037" t="str">
        <f>HYPERLINK("https://www.suredividend.com/sure-analysis-research-database/","PLAYSTUDIOS Inc")</f>
        <v>PLAYSTUDIOS Inc</v>
      </c>
      <c r="C1037" t="s">
        <v>1797</v>
      </c>
      <c r="D1037">
        <v>2.41</v>
      </c>
      <c r="E1037">
        <v>0</v>
      </c>
      <c r="F1037" t="s">
        <v>1797</v>
      </c>
      <c r="G1037" t="s">
        <v>1797</v>
      </c>
      <c r="H1037">
        <v>0</v>
      </c>
      <c r="I1037">
        <v>283.35125799999997</v>
      </c>
      <c r="J1037" t="s">
        <v>1797</v>
      </c>
      <c r="K1037">
        <v>0</v>
      </c>
      <c r="L1037">
        <v>1.07586372937911</v>
      </c>
      <c r="M1037">
        <v>5.01</v>
      </c>
      <c r="N1037">
        <v>2.34</v>
      </c>
    </row>
    <row r="1038" spans="1:14" x14ac:dyDescent="0.25">
      <c r="A1038" s="1" t="s">
        <v>1050</v>
      </c>
      <c r="B1038" t="str">
        <f>HYPERLINK("https://www.suredividend.com/sure-analysis-research-database/","MYR Group Inc")</f>
        <v>MYR Group Inc</v>
      </c>
      <c r="C1038" t="s">
        <v>1798</v>
      </c>
      <c r="D1038">
        <v>139</v>
      </c>
      <c r="E1038">
        <v>0</v>
      </c>
      <c r="F1038" t="s">
        <v>1797</v>
      </c>
      <c r="G1038" t="s">
        <v>1797</v>
      </c>
      <c r="H1038">
        <v>0</v>
      </c>
      <c r="I1038">
        <v>2322.6252260000001</v>
      </c>
      <c r="J1038">
        <v>25.378057779088952</v>
      </c>
      <c r="K1038">
        <v>0</v>
      </c>
      <c r="L1038">
        <v>1.1335074540318411</v>
      </c>
      <c r="M1038">
        <v>156.63</v>
      </c>
      <c r="N1038">
        <v>94.75</v>
      </c>
    </row>
    <row r="1039" spans="1:14" x14ac:dyDescent="0.25">
      <c r="A1039" s="1" t="s">
        <v>1051</v>
      </c>
      <c r="B1039" t="str">
        <f>HYPERLINK("https://www.suredividend.com/sure-analysis-research-database/","N-able Inc")</f>
        <v>N-able Inc</v>
      </c>
      <c r="C1039" t="s">
        <v>1797</v>
      </c>
      <c r="D1039">
        <v>13.43</v>
      </c>
      <c r="E1039">
        <v>0</v>
      </c>
      <c r="F1039" t="s">
        <v>1797</v>
      </c>
      <c r="G1039" t="s">
        <v>1797</v>
      </c>
      <c r="H1039">
        <v>0</v>
      </c>
      <c r="I1039">
        <v>2456.7143510000001</v>
      </c>
      <c r="J1039">
        <v>116.73070183360259</v>
      </c>
      <c r="K1039">
        <v>0</v>
      </c>
      <c r="L1039">
        <v>1.0013827663445849</v>
      </c>
      <c r="M1039">
        <v>15.44</v>
      </c>
      <c r="N1039">
        <v>9.26</v>
      </c>
    </row>
    <row r="1040" spans="1:14" x14ac:dyDescent="0.25">
      <c r="A1040" s="1" t="s">
        <v>1052</v>
      </c>
      <c r="B1040" t="str">
        <f>HYPERLINK("https://www.suredividend.com/sure-analysis-research-database/","Duckhorn Portfolio Inc (The)")</f>
        <v>Duckhorn Portfolio Inc (The)</v>
      </c>
      <c r="C1040" t="s">
        <v>1797</v>
      </c>
      <c r="D1040">
        <v>9.2899999999999991</v>
      </c>
      <c r="E1040">
        <v>0</v>
      </c>
      <c r="F1040" t="s">
        <v>1797</v>
      </c>
      <c r="G1040" t="s">
        <v>1797</v>
      </c>
      <c r="H1040">
        <v>0</v>
      </c>
      <c r="I1040">
        <v>1071.766026</v>
      </c>
      <c r="J1040">
        <v>16.483636202706862</v>
      </c>
      <c r="K1040">
        <v>0</v>
      </c>
      <c r="L1040">
        <v>0.53610769136332903</v>
      </c>
      <c r="M1040">
        <v>16.98</v>
      </c>
      <c r="N1040">
        <v>8.93</v>
      </c>
    </row>
    <row r="1041" spans="1:14" x14ac:dyDescent="0.25">
      <c r="A1041" s="1" t="s">
        <v>1053</v>
      </c>
      <c r="B1041" t="str">
        <f>HYPERLINK("https://www.suredividend.com/sure-analysis-research-database/","Inari Medical Inc")</f>
        <v>Inari Medical Inc</v>
      </c>
      <c r="C1041" t="s">
        <v>1797</v>
      </c>
      <c r="D1041">
        <v>57.85</v>
      </c>
      <c r="E1041">
        <v>0</v>
      </c>
      <c r="F1041" t="s">
        <v>1797</v>
      </c>
      <c r="G1041" t="s">
        <v>1797</v>
      </c>
      <c r="H1041">
        <v>0</v>
      </c>
      <c r="I1041">
        <v>3331.6082849999998</v>
      </c>
      <c r="J1041" t="s">
        <v>1797</v>
      </c>
      <c r="K1041">
        <v>0</v>
      </c>
      <c r="L1041">
        <v>0.68253996349026502</v>
      </c>
      <c r="M1041">
        <v>71.849999999999994</v>
      </c>
      <c r="N1041">
        <v>47.81</v>
      </c>
    </row>
    <row r="1042" spans="1:14" x14ac:dyDescent="0.25">
      <c r="A1042" s="1" t="s">
        <v>1054</v>
      </c>
      <c r="B1042" t="str">
        <f>HYPERLINK("https://www.suredividend.com/sure-analysis-research-database/","Nordic American Tankers Ltd")</f>
        <v>Nordic American Tankers Ltd</v>
      </c>
      <c r="C1042" t="s">
        <v>1798</v>
      </c>
      <c r="D1042">
        <v>4.46</v>
      </c>
      <c r="E1042">
        <v>0.104921999149814</v>
      </c>
      <c r="F1042">
        <v>0.2</v>
      </c>
      <c r="G1042">
        <v>8.4471771197698553E-2</v>
      </c>
      <c r="H1042">
        <v>0.46795211620817101</v>
      </c>
      <c r="I1042">
        <v>931.23213999999996</v>
      </c>
      <c r="J1042">
        <v>7.9430235692900828</v>
      </c>
      <c r="K1042">
        <v>0.8235693703065311</v>
      </c>
      <c r="L1042">
        <v>0.54197011286220609</v>
      </c>
      <c r="M1042">
        <v>4.76</v>
      </c>
      <c r="N1042">
        <v>2.5</v>
      </c>
    </row>
    <row r="1043" spans="1:14" x14ac:dyDescent="0.25">
      <c r="A1043" s="1" t="s">
        <v>1055</v>
      </c>
      <c r="B1043" t="str">
        <f>HYPERLINK("https://www.suredividend.com/sure-analysis-research-database/","Nature`s Sunshine Products, Inc.")</f>
        <v>Nature`s Sunshine Products, Inc.</v>
      </c>
      <c r="C1043" t="s">
        <v>1804</v>
      </c>
      <c r="D1043">
        <v>17.899999999999999</v>
      </c>
      <c r="E1043">
        <v>0</v>
      </c>
      <c r="F1043" t="s">
        <v>1797</v>
      </c>
      <c r="G1043" t="s">
        <v>1797</v>
      </c>
      <c r="H1043">
        <v>0</v>
      </c>
      <c r="I1043">
        <v>341.44323400000002</v>
      </c>
      <c r="J1043">
        <v>42.320678470500738</v>
      </c>
      <c r="K1043">
        <v>0</v>
      </c>
      <c r="L1043">
        <v>1.1723074285168049</v>
      </c>
      <c r="M1043">
        <v>19.2</v>
      </c>
      <c r="N1043">
        <v>8.26</v>
      </c>
    </row>
    <row r="1044" spans="1:14" x14ac:dyDescent="0.25">
      <c r="A1044" s="1" t="s">
        <v>1056</v>
      </c>
      <c r="B1044" t="str">
        <f>HYPERLINK("https://www.suredividend.com/sure-analysis-research-database/","Nautilus Biotechnology Inc")</f>
        <v>Nautilus Biotechnology Inc</v>
      </c>
      <c r="C1044" t="s">
        <v>1797</v>
      </c>
      <c r="D1044">
        <v>3.11</v>
      </c>
      <c r="E1044">
        <v>0</v>
      </c>
      <c r="F1044" t="s">
        <v>1797</v>
      </c>
      <c r="G1044" t="s">
        <v>1797</v>
      </c>
      <c r="H1044">
        <v>0</v>
      </c>
      <c r="I1044">
        <v>388.58135700000003</v>
      </c>
      <c r="J1044">
        <v>0</v>
      </c>
      <c r="K1044" t="s">
        <v>1797</v>
      </c>
      <c r="L1044">
        <v>1.6081231945124199</v>
      </c>
      <c r="M1044">
        <v>4.6500000000000004</v>
      </c>
      <c r="N1044">
        <v>1.75</v>
      </c>
    </row>
    <row r="1045" spans="1:14" x14ac:dyDescent="0.25">
      <c r="A1045" s="1" t="s">
        <v>1057</v>
      </c>
      <c r="B1045" t="str">
        <f>HYPERLINK("https://www.suredividend.com/sure-analysis-NAVI/","Navient Corp")</f>
        <v>Navient Corp</v>
      </c>
      <c r="C1045" t="s">
        <v>1800</v>
      </c>
      <c r="D1045">
        <v>17.32</v>
      </c>
      <c r="E1045">
        <v>3.695150115473441E-2</v>
      </c>
      <c r="F1045">
        <v>0</v>
      </c>
      <c r="G1045">
        <v>0</v>
      </c>
      <c r="H1045">
        <v>0.6249116214490601</v>
      </c>
      <c r="I1045">
        <v>2036.3312960000001</v>
      </c>
      <c r="J1045">
        <v>5.6408069144598336</v>
      </c>
      <c r="K1045">
        <v>0.22081682736715899</v>
      </c>
      <c r="L1045">
        <v>1.279411798006914</v>
      </c>
      <c r="M1045">
        <v>19.68</v>
      </c>
      <c r="N1045">
        <v>13.73</v>
      </c>
    </row>
    <row r="1046" spans="1:14" x14ac:dyDescent="0.25">
      <c r="A1046" s="1" t="s">
        <v>1058</v>
      </c>
      <c r="B1046" t="str">
        <f>HYPERLINK("https://www.suredividend.com/sure-analysis-research-database/","National Bank Holdings Corp")</f>
        <v>National Bank Holdings Corp</v>
      </c>
      <c r="C1046" t="s">
        <v>1800</v>
      </c>
      <c r="D1046">
        <v>35.08</v>
      </c>
      <c r="E1046">
        <v>2.9287627312691002E-2</v>
      </c>
      <c r="F1046">
        <v>8.0000000000000071E-2</v>
      </c>
      <c r="G1046">
        <v>9.6940240464664651E-2</v>
      </c>
      <c r="H1046">
        <v>1.0274099661292</v>
      </c>
      <c r="I1046">
        <v>1324.660721</v>
      </c>
      <c r="J1046">
        <v>10.56129288217754</v>
      </c>
      <c r="K1046">
        <v>0.31228266447696051</v>
      </c>
      <c r="L1046">
        <v>1.4289967050232599</v>
      </c>
      <c r="M1046">
        <v>43.1</v>
      </c>
      <c r="N1046">
        <v>25.83</v>
      </c>
    </row>
    <row r="1047" spans="1:14" x14ac:dyDescent="0.25">
      <c r="A1047" s="1" t="s">
        <v>1059</v>
      </c>
      <c r="B1047" t="str">
        <f>HYPERLINK("https://www.suredividend.com/sure-analysis-research-database/","Northeast Bank")</f>
        <v>Northeast Bank</v>
      </c>
      <c r="C1047" t="s">
        <v>1800</v>
      </c>
      <c r="D1047">
        <v>51.7</v>
      </c>
      <c r="E1047">
        <v>7.7318983516000005E-4</v>
      </c>
      <c r="F1047" t="s">
        <v>1797</v>
      </c>
      <c r="G1047" t="s">
        <v>1797</v>
      </c>
      <c r="H1047">
        <v>3.9973914477817001E-2</v>
      </c>
      <c r="I1047">
        <v>465.14490000000001</v>
      </c>
      <c r="J1047">
        <v>0</v>
      </c>
      <c r="K1047" t="s">
        <v>1797</v>
      </c>
      <c r="L1047">
        <v>0.95431659818355707</v>
      </c>
      <c r="M1047">
        <v>59</v>
      </c>
      <c r="N1047">
        <v>33.1</v>
      </c>
    </row>
    <row r="1048" spans="1:14" x14ac:dyDescent="0.25">
      <c r="A1048" s="1" t="s">
        <v>1060</v>
      </c>
      <c r="B1048" t="str">
        <f>HYPERLINK("https://www.suredividend.com/sure-analysis-research-database/","Nabors Industries Ltd")</f>
        <v>Nabors Industries Ltd</v>
      </c>
      <c r="C1048" t="s">
        <v>1807</v>
      </c>
      <c r="D1048">
        <v>76.540000000000006</v>
      </c>
      <c r="E1048">
        <v>0</v>
      </c>
      <c r="F1048" t="s">
        <v>1797</v>
      </c>
      <c r="G1048" t="s">
        <v>1797</v>
      </c>
      <c r="H1048">
        <v>0</v>
      </c>
      <c r="I1048">
        <v>724.45921299999998</v>
      </c>
      <c r="J1048" t="s">
        <v>1797</v>
      </c>
      <c r="K1048">
        <v>0</v>
      </c>
      <c r="L1048">
        <v>1.340891284047159</v>
      </c>
      <c r="M1048">
        <v>190.9</v>
      </c>
      <c r="N1048">
        <v>74.540000000000006</v>
      </c>
    </row>
    <row r="1049" spans="1:14" x14ac:dyDescent="0.25">
      <c r="A1049" s="1" t="s">
        <v>1061</v>
      </c>
      <c r="B1049" t="str">
        <f>HYPERLINK("https://www.suredividend.com/sure-analysis-research-database/","NBT Bancorp. Inc.")</f>
        <v>NBT Bancorp. Inc.</v>
      </c>
      <c r="C1049" t="s">
        <v>1800</v>
      </c>
      <c r="D1049">
        <v>39.74</v>
      </c>
      <c r="E1049">
        <v>3.045386950416E-2</v>
      </c>
      <c r="F1049">
        <v>6.666666666666643E-2</v>
      </c>
      <c r="G1049">
        <v>4.2402216277297899E-2</v>
      </c>
      <c r="H1049">
        <v>1.2102367740953419</v>
      </c>
      <c r="I1049">
        <v>1871.271874</v>
      </c>
      <c r="J1049">
        <v>15.03548915946873</v>
      </c>
      <c r="K1049">
        <v>0.42464448213871647</v>
      </c>
      <c r="L1049">
        <v>1.0913031535216919</v>
      </c>
      <c r="M1049">
        <v>43.77</v>
      </c>
      <c r="N1049">
        <v>26.3</v>
      </c>
    </row>
    <row r="1050" spans="1:14" x14ac:dyDescent="0.25">
      <c r="A1050" s="1" t="s">
        <v>1062</v>
      </c>
      <c r="B1050" t="str">
        <f>HYPERLINK("https://www.suredividend.com/sure-analysis-NC/","Nacco Industries Inc.")</f>
        <v>Nacco Industries Inc.</v>
      </c>
      <c r="C1050" t="s">
        <v>1807</v>
      </c>
      <c r="D1050">
        <v>37.01</v>
      </c>
      <c r="E1050">
        <v>2.3507160226965682E-2</v>
      </c>
      <c r="F1050">
        <v>4.8192771084337283E-2</v>
      </c>
      <c r="G1050">
        <v>5.6805496536407318E-2</v>
      </c>
      <c r="H1050">
        <v>0.85173436346268105</v>
      </c>
      <c r="I1050">
        <v>219.826187</v>
      </c>
      <c r="J1050">
        <v>12.103633268913111</v>
      </c>
      <c r="K1050">
        <v>0.35195634853829799</v>
      </c>
      <c r="L1050">
        <v>0.60093083924555002</v>
      </c>
      <c r="M1050">
        <v>39.28</v>
      </c>
      <c r="N1050">
        <v>28.99</v>
      </c>
    </row>
    <row r="1051" spans="1:14" x14ac:dyDescent="0.25">
      <c r="A1051" s="1" t="s">
        <v>1063</v>
      </c>
      <c r="B1051" t="str">
        <f>HYPERLINK("https://www.suredividend.com/sure-analysis-research-database/","Noodles &amp; Company")</f>
        <v>Noodles &amp; Company</v>
      </c>
      <c r="C1051" t="s">
        <v>1801</v>
      </c>
      <c r="D1051">
        <v>2.48</v>
      </c>
      <c r="E1051">
        <v>0</v>
      </c>
      <c r="F1051" t="s">
        <v>1797</v>
      </c>
      <c r="G1051" t="s">
        <v>1797</v>
      </c>
      <c r="H1051">
        <v>0</v>
      </c>
      <c r="I1051">
        <v>111.423942</v>
      </c>
      <c r="J1051" t="s">
        <v>1797</v>
      </c>
      <c r="K1051">
        <v>0</v>
      </c>
      <c r="L1051">
        <v>1.366447862973972</v>
      </c>
      <c r="M1051">
        <v>6.55</v>
      </c>
      <c r="N1051">
        <v>1.96</v>
      </c>
    </row>
    <row r="1052" spans="1:14" x14ac:dyDescent="0.25">
      <c r="A1052" s="1" t="s">
        <v>1064</v>
      </c>
      <c r="B1052" t="str">
        <f>HYPERLINK("https://www.suredividend.com/sure-analysis-research-database/","Noble Corp Plc")</f>
        <v>Noble Corp Plc</v>
      </c>
      <c r="C1052" t="s">
        <v>1807</v>
      </c>
      <c r="D1052">
        <v>44.75</v>
      </c>
      <c r="E1052">
        <v>1.5586268151489001E-2</v>
      </c>
      <c r="F1052" t="s">
        <v>1797</v>
      </c>
      <c r="G1052" t="s">
        <v>1797</v>
      </c>
      <c r="H1052">
        <v>0.69748549977915208</v>
      </c>
      <c r="I1052">
        <v>6312.1698120000001</v>
      </c>
      <c r="J1052">
        <v>0</v>
      </c>
      <c r="K1052" t="s">
        <v>1797</v>
      </c>
      <c r="L1052">
        <v>0.97340614162490413</v>
      </c>
      <c r="M1052">
        <v>54.88</v>
      </c>
      <c r="N1052">
        <v>34.36</v>
      </c>
    </row>
    <row r="1053" spans="1:14" x14ac:dyDescent="0.25">
      <c r="A1053" s="1" t="s">
        <v>1065</v>
      </c>
      <c r="B1053" t="str">
        <f>HYPERLINK("https://www.suredividend.com/sure-analysis-research-database/","Neogenomics Inc.")</f>
        <v>Neogenomics Inc.</v>
      </c>
      <c r="C1053" t="s">
        <v>1802</v>
      </c>
      <c r="D1053">
        <v>15.82</v>
      </c>
      <c r="E1053">
        <v>0</v>
      </c>
      <c r="F1053" t="s">
        <v>1797</v>
      </c>
      <c r="G1053" t="s">
        <v>1797</v>
      </c>
      <c r="H1053">
        <v>0</v>
      </c>
      <c r="I1053">
        <v>2016.509272</v>
      </c>
      <c r="J1053" t="s">
        <v>1797</v>
      </c>
      <c r="K1053">
        <v>0</v>
      </c>
      <c r="L1053">
        <v>1.8570578842574119</v>
      </c>
      <c r="M1053">
        <v>21.22</v>
      </c>
      <c r="N1053">
        <v>10.51</v>
      </c>
    </row>
    <row r="1054" spans="1:14" x14ac:dyDescent="0.25">
      <c r="A1054" s="1" t="s">
        <v>1066</v>
      </c>
      <c r="B1054" t="str">
        <f>HYPERLINK("https://www.suredividend.com/sure-analysis-research-database/","Neogen Corp.")</f>
        <v>Neogen Corp.</v>
      </c>
      <c r="C1054" t="s">
        <v>1802</v>
      </c>
      <c r="D1054">
        <v>18.18</v>
      </c>
      <c r="E1054">
        <v>0</v>
      </c>
      <c r="F1054" t="s">
        <v>1797</v>
      </c>
      <c r="G1054" t="s">
        <v>1797</v>
      </c>
      <c r="H1054">
        <v>0</v>
      </c>
      <c r="I1054">
        <v>3936.3389809999999</v>
      </c>
      <c r="J1054">
        <v>334.21115480387158</v>
      </c>
      <c r="K1054">
        <v>0</v>
      </c>
      <c r="L1054">
        <v>1.0645896780479931</v>
      </c>
      <c r="M1054">
        <v>24.1</v>
      </c>
      <c r="N1054">
        <v>14.44</v>
      </c>
    </row>
    <row r="1055" spans="1:14" x14ac:dyDescent="0.25">
      <c r="A1055" s="1" t="s">
        <v>1067</v>
      </c>
      <c r="B1055" t="str">
        <f>HYPERLINK("https://www.suredividend.com/sure-analysis-research-database/","Eneti Inc")</f>
        <v>Eneti Inc</v>
      </c>
      <c r="C1055" t="s">
        <v>1797</v>
      </c>
      <c r="D1055">
        <v>11.33</v>
      </c>
      <c r="E1055">
        <v>3.525153595327E-3</v>
      </c>
      <c r="F1055">
        <v>0</v>
      </c>
      <c r="G1055">
        <v>-0.1294494367038759</v>
      </c>
      <c r="H1055">
        <v>3.9939990235060001E-2</v>
      </c>
      <c r="I1055">
        <v>437.87185799999997</v>
      </c>
      <c r="J1055" t="s">
        <v>1797</v>
      </c>
      <c r="K1055" t="s">
        <v>1797</v>
      </c>
      <c r="L1055">
        <v>0.46643887632974701</v>
      </c>
      <c r="M1055">
        <v>13.51</v>
      </c>
      <c r="N1055">
        <v>7.73</v>
      </c>
    </row>
    <row r="1056" spans="1:14" x14ac:dyDescent="0.25">
      <c r="A1056" s="1" t="s">
        <v>1068</v>
      </c>
      <c r="B1056" t="str">
        <f>HYPERLINK("https://www.suredividend.com/sure-analysis-research-database/","NexTier Oilfield Solutions Inc")</f>
        <v>NexTier Oilfield Solutions Inc</v>
      </c>
      <c r="C1056" t="s">
        <v>1807</v>
      </c>
      <c r="D1056">
        <v>10.61</v>
      </c>
      <c r="E1056">
        <v>0</v>
      </c>
      <c r="F1056" t="s">
        <v>1797</v>
      </c>
      <c r="G1056" t="s">
        <v>1797</v>
      </c>
      <c r="H1056">
        <v>0</v>
      </c>
      <c r="I1056">
        <v>2424.944837</v>
      </c>
      <c r="J1056">
        <v>3.7784909947551788</v>
      </c>
      <c r="K1056">
        <v>0</v>
      </c>
      <c r="L1056">
        <v>1.4307804897192959</v>
      </c>
      <c r="M1056">
        <v>11.99</v>
      </c>
      <c r="N1056">
        <v>6.66</v>
      </c>
    </row>
    <row r="1057" spans="1:14" x14ac:dyDescent="0.25">
      <c r="A1057" s="1" t="s">
        <v>1069</v>
      </c>
      <c r="B1057" t="str">
        <f>HYPERLINK("https://www.suredividend.com/sure-analysis-research-database/","NextDecade Corporation")</f>
        <v>NextDecade Corporation</v>
      </c>
      <c r="C1057" t="s">
        <v>1807</v>
      </c>
      <c r="D1057">
        <v>4.6500000000000004</v>
      </c>
      <c r="E1057">
        <v>0</v>
      </c>
      <c r="F1057" t="s">
        <v>1797</v>
      </c>
      <c r="G1057" t="s">
        <v>1797</v>
      </c>
      <c r="H1057">
        <v>0</v>
      </c>
      <c r="I1057">
        <v>1193.1214259999999</v>
      </c>
      <c r="J1057">
        <v>0</v>
      </c>
      <c r="K1057" t="s">
        <v>1797</v>
      </c>
      <c r="L1057">
        <v>1.24973067803438</v>
      </c>
      <c r="M1057">
        <v>8.74</v>
      </c>
      <c r="N1057">
        <v>3.93</v>
      </c>
    </row>
    <row r="1058" spans="1:14" x14ac:dyDescent="0.25">
      <c r="A1058" s="1" t="s">
        <v>1070</v>
      </c>
      <c r="B1058" t="str">
        <f>HYPERLINK("https://www.suredividend.com/sure-analysis-research-database/","Northfield Bancorp Inc")</f>
        <v>Northfield Bancorp Inc</v>
      </c>
      <c r="C1058" t="s">
        <v>1800</v>
      </c>
      <c r="D1058">
        <v>12.16</v>
      </c>
      <c r="E1058">
        <v>4.1175526406669001E-2</v>
      </c>
      <c r="F1058">
        <v>0</v>
      </c>
      <c r="G1058">
        <v>5.387395206178347E-2</v>
      </c>
      <c r="H1058">
        <v>0.500694401105099</v>
      </c>
      <c r="I1058">
        <v>546.66639499999997</v>
      </c>
      <c r="J1058">
        <v>12.54224739319965</v>
      </c>
      <c r="K1058">
        <v>0.51002791189273611</v>
      </c>
      <c r="L1058">
        <v>0.99891860681061506</v>
      </c>
      <c r="M1058">
        <v>14.68</v>
      </c>
      <c r="N1058">
        <v>8.16</v>
      </c>
    </row>
    <row r="1059" spans="1:14" x14ac:dyDescent="0.25">
      <c r="A1059" s="1" t="s">
        <v>1071</v>
      </c>
      <c r="B1059" t="str">
        <f>HYPERLINK("https://www.suredividend.com/sure-analysis-research-database/","Novagold Resources Inc.")</f>
        <v>Novagold Resources Inc.</v>
      </c>
      <c r="C1059" t="s">
        <v>1808</v>
      </c>
      <c r="D1059">
        <v>3.55</v>
      </c>
      <c r="E1059">
        <v>0</v>
      </c>
      <c r="F1059" t="s">
        <v>1797</v>
      </c>
      <c r="G1059" t="s">
        <v>1797</v>
      </c>
      <c r="H1059">
        <v>0</v>
      </c>
      <c r="I1059">
        <v>1186.5763489999999</v>
      </c>
      <c r="J1059">
        <v>0</v>
      </c>
      <c r="K1059" t="s">
        <v>1797</v>
      </c>
      <c r="L1059">
        <v>0.67652789085784903</v>
      </c>
      <c r="M1059">
        <v>6.98</v>
      </c>
      <c r="N1059">
        <v>3.25</v>
      </c>
    </row>
    <row r="1060" spans="1:14" x14ac:dyDescent="0.25">
      <c r="A1060" s="1" t="s">
        <v>1072</v>
      </c>
      <c r="B1060" t="str">
        <f>HYPERLINK("https://www.suredividend.com/sure-analysis-research-database/","Ngm Biopharmaceuticals Inc")</f>
        <v>Ngm Biopharmaceuticals Inc</v>
      </c>
      <c r="C1060" t="s">
        <v>1802</v>
      </c>
      <c r="D1060">
        <v>1.4</v>
      </c>
      <c r="E1060">
        <v>0</v>
      </c>
      <c r="F1060" t="s">
        <v>1797</v>
      </c>
      <c r="G1060" t="s">
        <v>1797</v>
      </c>
      <c r="H1060">
        <v>0</v>
      </c>
      <c r="I1060">
        <v>115.80171</v>
      </c>
      <c r="J1060" t="s">
        <v>1797</v>
      </c>
      <c r="K1060">
        <v>0</v>
      </c>
      <c r="L1060">
        <v>1.243793234464547</v>
      </c>
      <c r="M1060">
        <v>5.68</v>
      </c>
      <c r="N1060">
        <v>0.60020000000000007</v>
      </c>
    </row>
    <row r="1061" spans="1:14" x14ac:dyDescent="0.25">
      <c r="A1061" s="1" t="s">
        <v>1073</v>
      </c>
      <c r="B1061" t="str">
        <f>HYPERLINK("https://www.suredividend.com/sure-analysis-research-database/","NeoGames SA")</f>
        <v>NeoGames SA</v>
      </c>
      <c r="C1061" t="s">
        <v>1797</v>
      </c>
      <c r="D1061">
        <v>28.04</v>
      </c>
      <c r="E1061">
        <v>0</v>
      </c>
      <c r="F1061" t="s">
        <v>1797</v>
      </c>
      <c r="G1061" t="s">
        <v>1797</v>
      </c>
      <c r="H1061">
        <v>0</v>
      </c>
      <c r="I1061">
        <v>938.84781399999997</v>
      </c>
      <c r="J1061">
        <v>0</v>
      </c>
      <c r="K1061" t="s">
        <v>1797</v>
      </c>
      <c r="L1061">
        <v>1.1911235184158031</v>
      </c>
      <c r="M1061">
        <v>28.64</v>
      </c>
      <c r="N1061">
        <v>10.85</v>
      </c>
    </row>
    <row r="1062" spans="1:14" x14ac:dyDescent="0.25">
      <c r="A1062" s="1" t="s">
        <v>1074</v>
      </c>
      <c r="B1062" t="str">
        <f>HYPERLINK("https://www.suredividend.com/sure-analysis-research-database/","Natural Grocers by Vitamin Cottage Inc")</f>
        <v>Natural Grocers by Vitamin Cottage Inc</v>
      </c>
      <c r="C1062" t="s">
        <v>1804</v>
      </c>
      <c r="D1062">
        <v>15.6</v>
      </c>
      <c r="E1062">
        <v>2.5375654789075001E-2</v>
      </c>
      <c r="F1062" t="s">
        <v>1797</v>
      </c>
      <c r="G1062" t="s">
        <v>1797</v>
      </c>
      <c r="H1062">
        <v>0.39586021470957311</v>
      </c>
      <c r="I1062">
        <v>354.74400000000003</v>
      </c>
      <c r="J1062">
        <v>15.26240158327238</v>
      </c>
      <c r="K1062">
        <v>0.38809824971526768</v>
      </c>
      <c r="L1062">
        <v>0.9682888517222481</v>
      </c>
      <c r="M1062">
        <v>17.39</v>
      </c>
      <c r="N1062">
        <v>7.75</v>
      </c>
    </row>
    <row r="1063" spans="1:14" x14ac:dyDescent="0.25">
      <c r="A1063" s="1" t="s">
        <v>1075</v>
      </c>
      <c r="B1063" t="str">
        <f>HYPERLINK("https://www.suredividend.com/sure-analysis-research-database/","Ingevity Corp")</f>
        <v>Ingevity Corp</v>
      </c>
      <c r="C1063" t="s">
        <v>1808</v>
      </c>
      <c r="D1063">
        <v>41.43</v>
      </c>
      <c r="E1063">
        <v>0</v>
      </c>
      <c r="F1063" t="s">
        <v>1797</v>
      </c>
      <c r="G1063" t="s">
        <v>1797</v>
      </c>
      <c r="H1063">
        <v>0</v>
      </c>
      <c r="I1063">
        <v>1501.0613499999999</v>
      </c>
      <c r="J1063">
        <v>11.81938071165354</v>
      </c>
      <c r="K1063">
        <v>0</v>
      </c>
      <c r="L1063">
        <v>1.408570768192561</v>
      </c>
      <c r="M1063">
        <v>90.81</v>
      </c>
      <c r="N1063">
        <v>36.659999999999997</v>
      </c>
    </row>
    <row r="1064" spans="1:14" x14ac:dyDescent="0.25">
      <c r="A1064" s="1" t="s">
        <v>1076</v>
      </c>
      <c r="B1064" t="str">
        <f>HYPERLINK("https://www.suredividend.com/sure-analysis-NHC/","National Healthcare Corp.")</f>
        <v>National Healthcare Corp.</v>
      </c>
      <c r="C1064" t="s">
        <v>1802</v>
      </c>
      <c r="D1064">
        <v>97.39</v>
      </c>
      <c r="E1064">
        <v>2.4232467399116948E-2</v>
      </c>
      <c r="F1064">
        <v>3.5087719298245501E-2</v>
      </c>
      <c r="G1064">
        <v>3.3656884345193427E-2</v>
      </c>
      <c r="H1064">
        <v>2.29758241240487</v>
      </c>
      <c r="I1064">
        <v>1492.4588980000001</v>
      </c>
      <c r="J1064">
        <v>33.354763624986028</v>
      </c>
      <c r="K1064">
        <v>0.78684329191947611</v>
      </c>
      <c r="L1064">
        <v>0.47945267145207499</v>
      </c>
      <c r="M1064">
        <v>97.47</v>
      </c>
      <c r="N1064">
        <v>49.01</v>
      </c>
    </row>
    <row r="1065" spans="1:14" x14ac:dyDescent="0.25">
      <c r="A1065" s="1" t="s">
        <v>1077</v>
      </c>
      <c r="B1065" t="str">
        <f>HYPERLINK("https://www.suredividend.com/sure-analysis-NHI/","National Health Investors, Inc.")</f>
        <v>National Health Investors, Inc.</v>
      </c>
      <c r="C1065" t="s">
        <v>1799</v>
      </c>
      <c r="D1065">
        <v>56.59</v>
      </c>
      <c r="E1065">
        <v>6.3615479766743241E-2</v>
      </c>
      <c r="F1065">
        <v>0</v>
      </c>
      <c r="G1065">
        <v>-3.035973390442093E-2</v>
      </c>
      <c r="H1065">
        <v>3.5114674757751581</v>
      </c>
      <c r="I1065">
        <v>2456.5629020000001</v>
      </c>
      <c r="J1065">
        <v>23.295334435151201</v>
      </c>
      <c r="K1065">
        <v>1.4450483439403941</v>
      </c>
      <c r="L1065">
        <v>0.85126370624848102</v>
      </c>
      <c r="M1065">
        <v>57.49</v>
      </c>
      <c r="N1065">
        <v>44.85</v>
      </c>
    </row>
    <row r="1066" spans="1:14" x14ac:dyDescent="0.25">
      <c r="A1066" s="1" t="s">
        <v>1078</v>
      </c>
      <c r="B1066" t="str">
        <f>HYPERLINK("https://www.suredividend.com/sure-analysis-research-database/","Nicolet Bankshares Inc.")</f>
        <v>Nicolet Bankshares Inc.</v>
      </c>
      <c r="C1066" t="s">
        <v>1797</v>
      </c>
      <c r="D1066">
        <v>77.45</v>
      </c>
      <c r="E1066">
        <v>9.6515988688260015E-3</v>
      </c>
      <c r="F1066" t="s">
        <v>1797</v>
      </c>
      <c r="G1066" t="s">
        <v>1797</v>
      </c>
      <c r="H1066">
        <v>0.74751633239059001</v>
      </c>
      <c r="I1066">
        <v>1143.249364</v>
      </c>
      <c r="J1066">
        <v>19.55743402901328</v>
      </c>
      <c r="K1066">
        <v>0.1911806476702276</v>
      </c>
      <c r="L1066">
        <v>1.386238074356003</v>
      </c>
      <c r="M1066">
        <v>84.94</v>
      </c>
      <c r="N1066">
        <v>51.22</v>
      </c>
    </row>
    <row r="1067" spans="1:14" x14ac:dyDescent="0.25">
      <c r="A1067" s="1" t="s">
        <v>1079</v>
      </c>
      <c r="B1067" t="str">
        <f>HYPERLINK("https://www.suredividend.com/sure-analysis-NJR/","New Jersey Resources Corporation")</f>
        <v>New Jersey Resources Corporation</v>
      </c>
      <c r="C1067" t="s">
        <v>1805</v>
      </c>
      <c r="D1067">
        <v>42.93</v>
      </c>
      <c r="E1067">
        <v>3.9133473095737253E-2</v>
      </c>
      <c r="F1067">
        <v>7.6923076923076872E-2</v>
      </c>
      <c r="G1067">
        <v>7.5040149141812229E-2</v>
      </c>
      <c r="H1067">
        <v>1.5979762135150939</v>
      </c>
      <c r="I1067">
        <v>4197.9846619999998</v>
      </c>
      <c r="J1067">
        <v>15.857967779045341</v>
      </c>
      <c r="K1067">
        <v>0.58965911937826354</v>
      </c>
      <c r="L1067">
        <v>0.64077260996031105</v>
      </c>
      <c r="M1067">
        <v>54.33</v>
      </c>
      <c r="N1067">
        <v>38.549999999999997</v>
      </c>
    </row>
    <row r="1068" spans="1:14" x14ac:dyDescent="0.25">
      <c r="A1068" s="1" t="s">
        <v>1080</v>
      </c>
      <c r="B1068" t="str">
        <f>HYPERLINK("https://www.suredividend.com/sure-analysis-research-database/","Nikola Corp")</f>
        <v>Nikola Corp</v>
      </c>
      <c r="C1068" t="s">
        <v>1797</v>
      </c>
      <c r="D1068">
        <v>0.70000000000000007</v>
      </c>
      <c r="E1068">
        <v>0</v>
      </c>
      <c r="F1068" t="s">
        <v>1797</v>
      </c>
      <c r="G1068" t="s">
        <v>1797</v>
      </c>
      <c r="H1068">
        <v>0</v>
      </c>
      <c r="I1068">
        <v>717.00979099999995</v>
      </c>
      <c r="J1068" t="s">
        <v>1797</v>
      </c>
      <c r="K1068">
        <v>0</v>
      </c>
      <c r="L1068">
        <v>2.65700515238336</v>
      </c>
      <c r="M1068">
        <v>3.71</v>
      </c>
      <c r="N1068">
        <v>0.52100000000000002</v>
      </c>
    </row>
    <row r="1069" spans="1:14" x14ac:dyDescent="0.25">
      <c r="A1069" s="1" t="s">
        <v>1081</v>
      </c>
      <c r="B1069" t="str">
        <f>HYPERLINK("https://www.suredividend.com/sure-analysis-research-database/","Nektar Therapeutics")</f>
        <v>Nektar Therapeutics</v>
      </c>
      <c r="C1069" t="s">
        <v>1802</v>
      </c>
      <c r="D1069">
        <v>0.53420000000000001</v>
      </c>
      <c r="E1069">
        <v>0</v>
      </c>
      <c r="F1069" t="s">
        <v>1797</v>
      </c>
      <c r="G1069" t="s">
        <v>1797</v>
      </c>
      <c r="H1069">
        <v>0</v>
      </c>
      <c r="I1069">
        <v>101.90963600000001</v>
      </c>
      <c r="J1069" t="s">
        <v>1797</v>
      </c>
      <c r="K1069">
        <v>0</v>
      </c>
      <c r="L1069">
        <v>2.6267876805198611</v>
      </c>
      <c r="M1069">
        <v>3.19</v>
      </c>
      <c r="N1069">
        <v>0.41260000000000002</v>
      </c>
    </row>
    <row r="1070" spans="1:14" x14ac:dyDescent="0.25">
      <c r="A1070" s="1" t="s">
        <v>1082</v>
      </c>
      <c r="B1070" t="str">
        <f>HYPERLINK("https://www.suredividend.com/sure-analysis-research-database/","Nkarta Inc")</f>
        <v>Nkarta Inc</v>
      </c>
      <c r="C1070" t="s">
        <v>1797</v>
      </c>
      <c r="D1070">
        <v>8.91</v>
      </c>
      <c r="E1070">
        <v>0</v>
      </c>
      <c r="F1070" t="s">
        <v>1797</v>
      </c>
      <c r="G1070" t="s">
        <v>1797</v>
      </c>
      <c r="H1070">
        <v>0</v>
      </c>
      <c r="I1070">
        <v>437.23456700000003</v>
      </c>
      <c r="J1070">
        <v>0</v>
      </c>
      <c r="K1070" t="s">
        <v>1797</v>
      </c>
      <c r="L1070">
        <v>2.2933865943849758</v>
      </c>
      <c r="M1070">
        <v>11.62</v>
      </c>
      <c r="N1070">
        <v>1.28</v>
      </c>
    </row>
    <row r="1071" spans="1:14" x14ac:dyDescent="0.25">
      <c r="A1071" s="1" t="s">
        <v>1083</v>
      </c>
      <c r="B1071" t="str">
        <f>HYPERLINK("https://www.suredividend.com/sure-analysis-research-database/","NL Industries, Inc.")</f>
        <v>NL Industries, Inc.</v>
      </c>
      <c r="C1071" t="s">
        <v>1798</v>
      </c>
      <c r="D1071">
        <v>5.25</v>
      </c>
      <c r="E1071">
        <v>5.2288788344428003E-2</v>
      </c>
      <c r="F1071" t="s">
        <v>1797</v>
      </c>
      <c r="G1071" t="s">
        <v>1797</v>
      </c>
      <c r="H1071">
        <v>0.27451613880824999</v>
      </c>
      <c r="I1071">
        <v>256.37579099999999</v>
      </c>
      <c r="J1071" t="s">
        <v>1797</v>
      </c>
      <c r="K1071" t="s">
        <v>1797</v>
      </c>
      <c r="L1071">
        <v>0.82661173768209706</v>
      </c>
      <c r="M1071">
        <v>7.28</v>
      </c>
      <c r="N1071">
        <v>4.45</v>
      </c>
    </row>
    <row r="1072" spans="1:14" x14ac:dyDescent="0.25">
      <c r="A1072" s="1" t="s">
        <v>1084</v>
      </c>
      <c r="B1072" t="str">
        <f>HYPERLINK("https://www.suredividend.com/sure-analysis-research-database/","NMI Holdings Inc")</f>
        <v>NMI Holdings Inc</v>
      </c>
      <c r="C1072" t="s">
        <v>1800</v>
      </c>
      <c r="D1072">
        <v>29.58</v>
      </c>
      <c r="E1072">
        <v>0</v>
      </c>
      <c r="F1072" t="s">
        <v>1797</v>
      </c>
      <c r="G1072" t="s">
        <v>1797</v>
      </c>
      <c r="H1072">
        <v>0</v>
      </c>
      <c r="I1072">
        <v>2398.3669289999998</v>
      </c>
      <c r="J1072">
        <v>7.6960275208656226</v>
      </c>
      <c r="K1072">
        <v>0</v>
      </c>
      <c r="L1072">
        <v>0.9272157363456921</v>
      </c>
      <c r="M1072">
        <v>30.39</v>
      </c>
      <c r="N1072">
        <v>20.61</v>
      </c>
    </row>
    <row r="1073" spans="1:14" x14ac:dyDescent="0.25">
      <c r="A1073" s="1" t="s">
        <v>1085</v>
      </c>
      <c r="B1073" t="str">
        <f>HYPERLINK("https://www.suredividend.com/sure-analysis-research-database/","Newmark Group Inc")</f>
        <v>Newmark Group Inc</v>
      </c>
      <c r="C1073" t="s">
        <v>1799</v>
      </c>
      <c r="D1073">
        <v>9.6999999999999993</v>
      </c>
      <c r="E1073">
        <v>1.2294164285675001E-2</v>
      </c>
      <c r="F1073">
        <v>0</v>
      </c>
      <c r="G1073">
        <v>-0.2139969144033772</v>
      </c>
      <c r="H1073">
        <v>0.119253393571051</v>
      </c>
      <c r="I1073">
        <v>1468.664031</v>
      </c>
      <c r="J1073">
        <v>117.90815920841359</v>
      </c>
      <c r="K1073">
        <v>2.156480896402369</v>
      </c>
      <c r="L1073">
        <v>1.849956479048966</v>
      </c>
      <c r="M1073">
        <v>11.23</v>
      </c>
      <c r="N1073">
        <v>5</v>
      </c>
    </row>
    <row r="1074" spans="1:14" x14ac:dyDescent="0.25">
      <c r="A1074" s="1" t="s">
        <v>1086</v>
      </c>
      <c r="B1074" t="str">
        <f>HYPERLINK("https://www.suredividend.com/sure-analysis-research-database/","NextNav Inc")</f>
        <v>NextNav Inc</v>
      </c>
      <c r="C1074" t="s">
        <v>1797</v>
      </c>
      <c r="D1074">
        <v>3.98</v>
      </c>
      <c r="E1074">
        <v>0</v>
      </c>
      <c r="F1074" t="s">
        <v>1797</v>
      </c>
      <c r="G1074" t="s">
        <v>1797</v>
      </c>
      <c r="H1074">
        <v>0</v>
      </c>
      <c r="I1074">
        <v>438.426492</v>
      </c>
      <c r="J1074">
        <v>0</v>
      </c>
      <c r="K1074" t="s">
        <v>1797</v>
      </c>
      <c r="L1074">
        <v>1.2108290552969441</v>
      </c>
      <c r="M1074">
        <v>6.07</v>
      </c>
      <c r="N1074">
        <v>1.59</v>
      </c>
    </row>
    <row r="1075" spans="1:14" x14ac:dyDescent="0.25">
      <c r="A1075" s="1" t="s">
        <v>1087</v>
      </c>
      <c r="B1075" t="str">
        <f>HYPERLINK("https://www.suredividend.com/sure-analysis-research-database/","Nelnet Inc")</f>
        <v>Nelnet Inc</v>
      </c>
      <c r="C1075" t="s">
        <v>1800</v>
      </c>
      <c r="D1075">
        <v>83.04</v>
      </c>
      <c r="E1075">
        <v>1.2707070013437001E-2</v>
      </c>
      <c r="F1075">
        <v>7.6923076923077094E-2</v>
      </c>
      <c r="G1075">
        <v>9.2388464140373161E-2</v>
      </c>
      <c r="H1075">
        <v>1.0551950939158119</v>
      </c>
      <c r="I1075">
        <v>2213.4423270000002</v>
      </c>
      <c r="J1075">
        <v>16.518719419684171</v>
      </c>
      <c r="K1075">
        <v>0.29557285543860268</v>
      </c>
      <c r="L1075">
        <v>0.68551038794786701</v>
      </c>
      <c r="M1075">
        <v>100.97</v>
      </c>
      <c r="N1075">
        <v>81.400000000000006</v>
      </c>
    </row>
    <row r="1076" spans="1:14" x14ac:dyDescent="0.25">
      <c r="A1076" s="1" t="s">
        <v>1088</v>
      </c>
      <c r="B1076" t="str">
        <f>HYPERLINK("https://www.suredividend.com/sure-analysis-research-database/","Nano X Imaging Ltd")</f>
        <v>Nano X Imaging Ltd</v>
      </c>
      <c r="C1076" t="s">
        <v>1797</v>
      </c>
      <c r="D1076">
        <v>5.72</v>
      </c>
      <c r="E1076">
        <v>0</v>
      </c>
      <c r="F1076" t="s">
        <v>1797</v>
      </c>
      <c r="G1076" t="s">
        <v>1797</v>
      </c>
      <c r="H1076">
        <v>0</v>
      </c>
      <c r="I1076">
        <v>315.45997299999999</v>
      </c>
      <c r="J1076">
        <v>0</v>
      </c>
      <c r="K1076" t="s">
        <v>1797</v>
      </c>
      <c r="L1076">
        <v>1.9301860339947889</v>
      </c>
      <c r="M1076">
        <v>22.69</v>
      </c>
      <c r="N1076">
        <v>4.8899999999999997</v>
      </c>
    </row>
    <row r="1077" spans="1:14" x14ac:dyDescent="0.25">
      <c r="A1077" s="1" t="s">
        <v>1089</v>
      </c>
      <c r="B1077" t="str">
        <f>HYPERLINK("https://www.suredividend.com/sure-analysis-research-database/","NI Holdings Inc")</f>
        <v>NI Holdings Inc</v>
      </c>
      <c r="C1077" t="s">
        <v>1800</v>
      </c>
      <c r="D1077">
        <v>12.81</v>
      </c>
      <c r="E1077">
        <v>0</v>
      </c>
      <c r="F1077" t="s">
        <v>1797</v>
      </c>
      <c r="G1077" t="s">
        <v>1797</v>
      </c>
      <c r="H1077">
        <v>0</v>
      </c>
      <c r="I1077">
        <v>263.57334600000002</v>
      </c>
      <c r="J1077">
        <v>0</v>
      </c>
      <c r="K1077" t="s">
        <v>1797</v>
      </c>
      <c r="L1077">
        <v>0.59214212207002104</v>
      </c>
      <c r="M1077">
        <v>15.28</v>
      </c>
      <c r="N1077">
        <v>12.01</v>
      </c>
    </row>
    <row r="1078" spans="1:14" x14ac:dyDescent="0.25">
      <c r="A1078" s="1" t="s">
        <v>1090</v>
      </c>
      <c r="B1078" t="str">
        <f>HYPERLINK("https://www.suredividend.com/sure-analysis-research-database/","Northern Oil and Gas Inc.")</f>
        <v>Northern Oil and Gas Inc.</v>
      </c>
      <c r="C1078" t="s">
        <v>1807</v>
      </c>
      <c r="D1078">
        <v>35.96</v>
      </c>
      <c r="E1078">
        <v>4.0832191705509002E-2</v>
      </c>
      <c r="F1078" t="s">
        <v>1797</v>
      </c>
      <c r="G1078" t="s">
        <v>1797</v>
      </c>
      <c r="H1078">
        <v>1.4683256137301359</v>
      </c>
      <c r="I1078">
        <v>3614.2546619999998</v>
      </c>
      <c r="J1078">
        <v>5.4153601132740397</v>
      </c>
      <c r="K1078">
        <v>0.20086533703558629</v>
      </c>
      <c r="L1078">
        <v>1.002961164309925</v>
      </c>
      <c r="M1078">
        <v>42.78</v>
      </c>
      <c r="N1078">
        <v>24.49</v>
      </c>
    </row>
    <row r="1079" spans="1:14" x14ac:dyDescent="0.25">
      <c r="A1079" s="1" t="s">
        <v>1091</v>
      </c>
      <c r="B1079" t="str">
        <f>HYPERLINK("https://www.suredividend.com/sure-analysis-research-database/","Inotiv Inc")</f>
        <v>Inotiv Inc</v>
      </c>
      <c r="C1079" t="s">
        <v>1797</v>
      </c>
      <c r="D1079">
        <v>4.05</v>
      </c>
      <c r="E1079">
        <v>0</v>
      </c>
      <c r="F1079" t="s">
        <v>1797</v>
      </c>
      <c r="G1079" t="s">
        <v>1797</v>
      </c>
      <c r="H1079">
        <v>0</v>
      </c>
      <c r="I1079">
        <v>104.452578</v>
      </c>
      <c r="J1079">
        <v>0</v>
      </c>
      <c r="K1079" t="s">
        <v>1797</v>
      </c>
      <c r="L1079">
        <v>2.3491167881245598</v>
      </c>
      <c r="M1079">
        <v>8.8800000000000008</v>
      </c>
      <c r="N1079">
        <v>1.61</v>
      </c>
    </row>
    <row r="1080" spans="1:14" x14ac:dyDescent="0.25">
      <c r="A1080" s="1" t="s">
        <v>1092</v>
      </c>
      <c r="B1080" t="str">
        <f>HYPERLINK("https://www.suredividend.com/sure-analysis-research-database/","Sunnova Energy International Inc")</f>
        <v>Sunnova Energy International Inc</v>
      </c>
      <c r="C1080" t="s">
        <v>1803</v>
      </c>
      <c r="D1080">
        <v>11.87</v>
      </c>
      <c r="E1080">
        <v>0</v>
      </c>
      <c r="F1080" t="s">
        <v>1797</v>
      </c>
      <c r="G1080" t="s">
        <v>1797</v>
      </c>
      <c r="H1080">
        <v>0</v>
      </c>
      <c r="I1080">
        <v>1453.082181</v>
      </c>
      <c r="J1080" t="s">
        <v>1797</v>
      </c>
      <c r="K1080">
        <v>0</v>
      </c>
      <c r="L1080">
        <v>3.0638247556058258</v>
      </c>
      <c r="M1080">
        <v>24.56</v>
      </c>
      <c r="N1080">
        <v>7.62</v>
      </c>
    </row>
    <row r="1081" spans="1:14" x14ac:dyDescent="0.25">
      <c r="A1081" s="1" t="s">
        <v>1093</v>
      </c>
      <c r="B1081" t="str">
        <f>HYPERLINK("https://www.suredividend.com/sure-analysis-research-database/","Novanta Inc")</f>
        <v>Novanta Inc</v>
      </c>
      <c r="C1081" t="s">
        <v>1803</v>
      </c>
      <c r="D1081">
        <v>155.69</v>
      </c>
      <c r="E1081">
        <v>0</v>
      </c>
      <c r="F1081" t="s">
        <v>1797</v>
      </c>
      <c r="G1081" t="s">
        <v>1797</v>
      </c>
      <c r="H1081">
        <v>0</v>
      </c>
      <c r="I1081">
        <v>5575.3165049999998</v>
      </c>
      <c r="J1081">
        <v>73.71929425617158</v>
      </c>
      <c r="K1081">
        <v>0</v>
      </c>
      <c r="L1081">
        <v>1.502902494712661</v>
      </c>
      <c r="M1081">
        <v>187.61</v>
      </c>
      <c r="N1081">
        <v>111.2</v>
      </c>
    </row>
    <row r="1082" spans="1:14" x14ac:dyDescent="0.25">
      <c r="A1082" s="1" t="s">
        <v>1094</v>
      </c>
      <c r="B1082" t="str">
        <f>HYPERLINK("https://www.suredividend.com/sure-analysis-research-database/","National Presto Industries, Inc.")</f>
        <v>National Presto Industries, Inc.</v>
      </c>
      <c r="C1082" t="s">
        <v>1798</v>
      </c>
      <c r="D1082">
        <v>81.56</v>
      </c>
      <c r="E1082">
        <v>1.2260912211867999E-2</v>
      </c>
      <c r="F1082" t="s">
        <v>1797</v>
      </c>
      <c r="G1082" t="s">
        <v>1797</v>
      </c>
      <c r="H1082">
        <v>1</v>
      </c>
      <c r="I1082">
        <v>577.64111500000001</v>
      </c>
      <c r="J1082">
        <v>24.504353070037759</v>
      </c>
      <c r="K1082">
        <v>0.30120481927710852</v>
      </c>
      <c r="L1082">
        <v>0.61945264939494205</v>
      </c>
      <c r="M1082">
        <v>83</v>
      </c>
      <c r="N1082">
        <v>66.040000000000006</v>
      </c>
    </row>
    <row r="1083" spans="1:14" x14ac:dyDescent="0.25">
      <c r="A1083" s="1" t="s">
        <v>1095</v>
      </c>
      <c r="B1083" t="str">
        <f>HYPERLINK("https://www.suredividend.com/sure-analysis-research-database/","Enpro Inc")</f>
        <v>Enpro Inc</v>
      </c>
      <c r="C1083" t="s">
        <v>1798</v>
      </c>
      <c r="D1083">
        <v>144</v>
      </c>
      <c r="E1083">
        <v>8.0276332794190011E-3</v>
      </c>
      <c r="F1083">
        <v>3.5714285714285587E-2</v>
      </c>
      <c r="G1083">
        <v>3.0128962818398941E-2</v>
      </c>
      <c r="H1083">
        <v>1.1559791922363909</v>
      </c>
      <c r="I1083">
        <v>3010.6604160000002</v>
      </c>
      <c r="J1083">
        <v>19.299105230769229</v>
      </c>
      <c r="K1083">
        <v>0.15516499224649541</v>
      </c>
      <c r="L1083">
        <v>1.162770262483146</v>
      </c>
      <c r="M1083">
        <v>161.66</v>
      </c>
      <c r="N1083">
        <v>91.08</v>
      </c>
    </row>
    <row r="1084" spans="1:14" x14ac:dyDescent="0.25">
      <c r="A1084" s="1" t="s">
        <v>1096</v>
      </c>
      <c r="B1084" t="str">
        <f>HYPERLINK("https://www.suredividend.com/sure-analysis-research-database/","Newpark Resources, Inc.")</f>
        <v>Newpark Resources, Inc.</v>
      </c>
      <c r="C1084" t="s">
        <v>1807</v>
      </c>
      <c r="D1084">
        <v>6.3</v>
      </c>
      <c r="E1084">
        <v>0</v>
      </c>
      <c r="F1084" t="s">
        <v>1797</v>
      </c>
      <c r="G1084" t="s">
        <v>1797</v>
      </c>
      <c r="H1084">
        <v>0</v>
      </c>
      <c r="I1084">
        <v>536.05542700000001</v>
      </c>
      <c r="J1084">
        <v>22.35054314959973</v>
      </c>
      <c r="K1084">
        <v>0</v>
      </c>
      <c r="L1084">
        <v>0.65143941730711807</v>
      </c>
      <c r="M1084">
        <v>7.63</v>
      </c>
      <c r="N1084">
        <v>3.4</v>
      </c>
    </row>
    <row r="1085" spans="1:14" x14ac:dyDescent="0.25">
      <c r="A1085" s="1" t="s">
        <v>1097</v>
      </c>
      <c r="B1085" t="str">
        <f>HYPERLINK("https://www.suredividend.com/sure-analysis-research-database/","National Research Corp")</f>
        <v>National Research Corp</v>
      </c>
      <c r="C1085" t="s">
        <v>1802</v>
      </c>
      <c r="D1085">
        <v>39.18</v>
      </c>
      <c r="E1085">
        <v>1.1885838906605E-2</v>
      </c>
      <c r="F1085" t="s">
        <v>1797</v>
      </c>
      <c r="G1085" t="s">
        <v>1797</v>
      </c>
      <c r="H1085">
        <v>0.46568716836081497</v>
      </c>
      <c r="I1085">
        <v>962.89128500000004</v>
      </c>
      <c r="J1085">
        <v>33.502358462127283</v>
      </c>
      <c r="K1085">
        <v>0.40145445548346131</v>
      </c>
      <c r="L1085">
        <v>0.43040724874762598</v>
      </c>
      <c r="M1085">
        <v>46.72</v>
      </c>
      <c r="N1085">
        <v>37.53</v>
      </c>
    </row>
    <row r="1086" spans="1:14" x14ac:dyDescent="0.25">
      <c r="A1086" s="1" t="s">
        <v>1098</v>
      </c>
      <c r="B1086" t="str">
        <f>HYPERLINK("https://www.suredividend.com/sure-analysis-research-database/","Nerdwallet Inc")</f>
        <v>Nerdwallet Inc</v>
      </c>
      <c r="C1086" t="s">
        <v>1797</v>
      </c>
      <c r="D1086">
        <v>14.29</v>
      </c>
      <c r="E1086">
        <v>0</v>
      </c>
      <c r="F1086" t="s">
        <v>1797</v>
      </c>
      <c r="G1086" t="s">
        <v>1797</v>
      </c>
      <c r="H1086">
        <v>0</v>
      </c>
      <c r="I1086">
        <v>1053.449554</v>
      </c>
      <c r="J1086" t="s">
        <v>1797</v>
      </c>
      <c r="K1086">
        <v>0</v>
      </c>
      <c r="L1086">
        <v>1.5584994861559329</v>
      </c>
      <c r="M1086">
        <v>21.74</v>
      </c>
      <c r="N1086">
        <v>6.38</v>
      </c>
    </row>
    <row r="1087" spans="1:14" x14ac:dyDescent="0.25">
      <c r="A1087" s="1" t="s">
        <v>1099</v>
      </c>
      <c r="B1087" t="str">
        <f>HYPERLINK("https://www.suredividend.com/sure-analysis-research-database/","Nerdy Inc")</f>
        <v>Nerdy Inc</v>
      </c>
      <c r="C1087" t="s">
        <v>1797</v>
      </c>
      <c r="D1087">
        <v>3.07</v>
      </c>
      <c r="E1087">
        <v>0</v>
      </c>
      <c r="F1087" t="s">
        <v>1797</v>
      </c>
      <c r="G1087" t="s">
        <v>1797</v>
      </c>
      <c r="H1087">
        <v>0</v>
      </c>
      <c r="I1087">
        <v>320.55403200000001</v>
      </c>
      <c r="J1087" t="s">
        <v>1797</v>
      </c>
      <c r="K1087">
        <v>0</v>
      </c>
      <c r="L1087">
        <v>1.767730469655014</v>
      </c>
      <c r="M1087">
        <v>5.37</v>
      </c>
      <c r="N1087">
        <v>2.33</v>
      </c>
    </row>
    <row r="1088" spans="1:14" x14ac:dyDescent="0.25">
      <c r="A1088" s="1" t="s">
        <v>1100</v>
      </c>
      <c r="B1088" t="str">
        <f>HYPERLINK("https://www.suredividend.com/sure-analysis-research-database/","NexPoint Real Estate Finance Inc")</f>
        <v>NexPoint Real Estate Finance Inc</v>
      </c>
      <c r="C1088" t="s">
        <v>1799</v>
      </c>
      <c r="D1088">
        <v>15.64</v>
      </c>
      <c r="E1088">
        <v>0.158872909730777</v>
      </c>
      <c r="F1088">
        <v>-0.63</v>
      </c>
      <c r="G1088">
        <v>-3.3885037815732821E-2</v>
      </c>
      <c r="H1088">
        <v>2.4847723081893589</v>
      </c>
      <c r="I1088">
        <v>269.50711899999999</v>
      </c>
      <c r="J1088" t="s">
        <v>1797</v>
      </c>
      <c r="K1088" t="s">
        <v>1797</v>
      </c>
      <c r="L1088">
        <v>1.108579888168123</v>
      </c>
      <c r="M1088">
        <v>18</v>
      </c>
      <c r="N1088">
        <v>11.66</v>
      </c>
    </row>
    <row r="1089" spans="1:14" x14ac:dyDescent="0.25">
      <c r="A1089" s="1" t="s">
        <v>1101</v>
      </c>
      <c r="B1089" t="str">
        <f>HYPERLINK("https://www.suredividend.com/sure-analysis-research-database/","Energy Vault Holdings Inc")</f>
        <v>Energy Vault Holdings Inc</v>
      </c>
      <c r="C1089" t="s">
        <v>1797</v>
      </c>
      <c r="D1089">
        <v>1.83</v>
      </c>
      <c r="E1089">
        <v>0</v>
      </c>
      <c r="F1089" t="s">
        <v>1797</v>
      </c>
      <c r="G1089" t="s">
        <v>1797</v>
      </c>
      <c r="H1089">
        <v>0</v>
      </c>
      <c r="I1089">
        <v>262.688669</v>
      </c>
      <c r="J1089" t="s">
        <v>1797</v>
      </c>
      <c r="K1089">
        <v>0</v>
      </c>
      <c r="L1089">
        <v>2.3055436750550791</v>
      </c>
      <c r="M1089">
        <v>5.51</v>
      </c>
      <c r="N1089">
        <v>1.35</v>
      </c>
    </row>
    <row r="1090" spans="1:14" x14ac:dyDescent="0.25">
      <c r="A1090" s="1" t="s">
        <v>1102</v>
      </c>
      <c r="B1090" t="str">
        <f>HYPERLINK("https://www.suredividend.com/sure-analysis-research-database/","Nurix Therapeutics Inc")</f>
        <v>Nurix Therapeutics Inc</v>
      </c>
      <c r="C1090" t="s">
        <v>1797</v>
      </c>
      <c r="D1090">
        <v>9.3699999999999992</v>
      </c>
      <c r="E1090">
        <v>0</v>
      </c>
      <c r="F1090" t="s">
        <v>1797</v>
      </c>
      <c r="G1090" t="s">
        <v>1797</v>
      </c>
      <c r="H1090">
        <v>0</v>
      </c>
      <c r="I1090">
        <v>454.48248000000001</v>
      </c>
      <c r="J1090" t="s">
        <v>1797</v>
      </c>
      <c r="K1090">
        <v>0</v>
      </c>
      <c r="L1090">
        <v>1.7011935131421789</v>
      </c>
      <c r="M1090">
        <v>13.99</v>
      </c>
      <c r="N1090">
        <v>4.22</v>
      </c>
    </row>
    <row r="1091" spans="1:14" x14ac:dyDescent="0.25">
      <c r="A1091" s="1" t="s">
        <v>1103</v>
      </c>
      <c r="B1091" t="str">
        <f>HYPERLINK("https://www.suredividend.com/sure-analysis-research-database/","Insight Enterprises Inc.")</f>
        <v>Insight Enterprises Inc.</v>
      </c>
      <c r="C1091" t="s">
        <v>1803</v>
      </c>
      <c r="D1091">
        <v>183.24</v>
      </c>
      <c r="E1091">
        <v>0</v>
      </c>
      <c r="F1091" t="s">
        <v>1797</v>
      </c>
      <c r="G1091" t="s">
        <v>1797</v>
      </c>
      <c r="H1091">
        <v>0</v>
      </c>
      <c r="I1091">
        <v>5969.3785120000002</v>
      </c>
      <c r="J1091">
        <v>22.259016445942621</v>
      </c>
      <c r="K1091">
        <v>0</v>
      </c>
      <c r="L1091">
        <v>0.58912866985397905</v>
      </c>
      <c r="M1091">
        <v>186.16</v>
      </c>
      <c r="N1091">
        <v>109.1</v>
      </c>
    </row>
    <row r="1092" spans="1:14" x14ac:dyDescent="0.25">
      <c r="A1092" s="1" t="s">
        <v>1104</v>
      </c>
      <c r="B1092" t="str">
        <f>HYPERLINK("https://www.suredividend.com/sure-analysis-NSP/","Insperity Inc")</f>
        <v>Insperity Inc</v>
      </c>
      <c r="C1092" t="s">
        <v>1798</v>
      </c>
      <c r="D1092">
        <v>116.79</v>
      </c>
      <c r="E1092">
        <v>1.9522219368096581E-2</v>
      </c>
      <c r="F1092">
        <v>9.6153846153846256E-2</v>
      </c>
      <c r="G1092">
        <v>0.1369744888101381</v>
      </c>
      <c r="H1092">
        <v>2.213046422269378</v>
      </c>
      <c r="I1092">
        <v>4354.0055949999996</v>
      </c>
      <c r="J1092">
        <v>22.907740929409101</v>
      </c>
      <c r="K1092">
        <v>0.44889379762056347</v>
      </c>
      <c r="L1092">
        <v>0.8599433381776681</v>
      </c>
      <c r="M1092">
        <v>129.07</v>
      </c>
      <c r="N1092">
        <v>92.88</v>
      </c>
    </row>
    <row r="1093" spans="1:14" x14ac:dyDescent="0.25">
      <c r="A1093" s="1" t="s">
        <v>1105</v>
      </c>
      <c r="B1093" t="str">
        <f>HYPERLINK("https://www.suredividend.com/sure-analysis-research-database/","NAPCO Security Technologies Inc")</f>
        <v>NAPCO Security Technologies Inc</v>
      </c>
      <c r="C1093" t="s">
        <v>1798</v>
      </c>
      <c r="D1093">
        <v>32.74</v>
      </c>
      <c r="E1093">
        <v>4.8805393528979996E-3</v>
      </c>
      <c r="F1093" t="s">
        <v>1797</v>
      </c>
      <c r="G1093" t="s">
        <v>1797</v>
      </c>
      <c r="H1093">
        <v>0.15978885841391199</v>
      </c>
      <c r="I1093">
        <v>1203.8529759999999</v>
      </c>
      <c r="J1093">
        <v>34.873062071782392</v>
      </c>
      <c r="K1093">
        <v>0.17139210384416181</v>
      </c>
      <c r="L1093">
        <v>1.1212776944570519</v>
      </c>
      <c r="M1093">
        <v>40.880000000000003</v>
      </c>
      <c r="N1093">
        <v>17.71</v>
      </c>
    </row>
    <row r="1094" spans="1:14" x14ac:dyDescent="0.25">
      <c r="A1094" s="1" t="s">
        <v>1106</v>
      </c>
      <c r="B1094" t="str">
        <f>HYPERLINK("https://www.suredividend.com/sure-analysis-research-database/","Nanostring Technologies Inc")</f>
        <v>Nanostring Technologies Inc</v>
      </c>
      <c r="C1094" t="s">
        <v>1802</v>
      </c>
      <c r="D1094">
        <v>0.4</v>
      </c>
      <c r="E1094">
        <v>0</v>
      </c>
      <c r="F1094" t="s">
        <v>1797</v>
      </c>
      <c r="G1094" t="s">
        <v>1797</v>
      </c>
      <c r="H1094">
        <v>0</v>
      </c>
      <c r="I1094">
        <v>19.247322</v>
      </c>
      <c r="J1094" t="s">
        <v>1797</v>
      </c>
      <c r="K1094">
        <v>0</v>
      </c>
      <c r="L1094">
        <v>2.6387709067373279</v>
      </c>
      <c r="M1094">
        <v>13.2</v>
      </c>
      <c r="N1094">
        <v>0.37990000000000002</v>
      </c>
    </row>
    <row r="1095" spans="1:14" x14ac:dyDescent="0.25">
      <c r="A1095" s="1" t="s">
        <v>1107</v>
      </c>
      <c r="B1095" t="str">
        <f>HYPERLINK("https://www.suredividend.com/sure-analysis-research-database/","Bank of N T Butterfield &amp; Son Ltd.")</f>
        <v>Bank of N T Butterfield &amp; Son Ltd.</v>
      </c>
      <c r="C1095" t="s">
        <v>1800</v>
      </c>
      <c r="D1095">
        <v>30.53</v>
      </c>
      <c r="E1095">
        <v>5.6269656118304007E-2</v>
      </c>
      <c r="F1095">
        <v>0</v>
      </c>
      <c r="G1095">
        <v>0</v>
      </c>
      <c r="H1095">
        <v>1.71791260129184</v>
      </c>
      <c r="I1095">
        <v>1449.6403889999999</v>
      </c>
      <c r="J1095">
        <v>0</v>
      </c>
      <c r="K1095" t="s">
        <v>1797</v>
      </c>
      <c r="L1095">
        <v>1.625889741140224</v>
      </c>
      <c r="M1095">
        <v>36</v>
      </c>
      <c r="N1095">
        <v>21.81</v>
      </c>
    </row>
    <row r="1096" spans="1:14" x14ac:dyDescent="0.25">
      <c r="A1096" s="1" t="s">
        <v>1108</v>
      </c>
      <c r="B1096" t="str">
        <f>HYPERLINK("https://www.suredividend.com/sure-analysis-research-database/","Netscout Systems Inc")</f>
        <v>Netscout Systems Inc</v>
      </c>
      <c r="C1096" t="s">
        <v>1803</v>
      </c>
      <c r="D1096">
        <v>22.14</v>
      </c>
      <c r="E1096">
        <v>0</v>
      </c>
      <c r="F1096" t="s">
        <v>1797</v>
      </c>
      <c r="G1096" t="s">
        <v>1797</v>
      </c>
      <c r="H1096">
        <v>0</v>
      </c>
      <c r="I1096">
        <v>1571.854274</v>
      </c>
      <c r="J1096">
        <v>23.580525869274972</v>
      </c>
      <c r="K1096">
        <v>0</v>
      </c>
      <c r="L1096">
        <v>0.76616078725289105</v>
      </c>
      <c r="M1096">
        <v>36.24</v>
      </c>
      <c r="N1096">
        <v>19.739999999999998</v>
      </c>
    </row>
    <row r="1097" spans="1:14" x14ac:dyDescent="0.25">
      <c r="A1097" s="1" t="s">
        <v>1109</v>
      </c>
      <c r="B1097" t="str">
        <f>HYPERLINK("https://www.suredividend.com/sure-analysis-research-database/","Netgear Inc")</f>
        <v>Netgear Inc</v>
      </c>
      <c r="C1097" t="s">
        <v>1803</v>
      </c>
      <c r="D1097">
        <v>13.98</v>
      </c>
      <c r="E1097">
        <v>0</v>
      </c>
      <c r="F1097" t="s">
        <v>1797</v>
      </c>
      <c r="G1097" t="s">
        <v>1797</v>
      </c>
      <c r="H1097">
        <v>0</v>
      </c>
      <c r="I1097">
        <v>413.92620099999999</v>
      </c>
      <c r="J1097" t="s">
        <v>1797</v>
      </c>
      <c r="K1097">
        <v>0</v>
      </c>
      <c r="L1097">
        <v>0.65476584989360909</v>
      </c>
      <c r="M1097">
        <v>20.9</v>
      </c>
      <c r="N1097">
        <v>10.4</v>
      </c>
    </row>
    <row r="1098" spans="1:14" x14ac:dyDescent="0.25">
      <c r="A1098" s="1" t="s">
        <v>1110</v>
      </c>
      <c r="B1098" t="str">
        <f>HYPERLINK("https://www.suredividend.com/sure-analysis-research-database/","Intellia Therapeutics Inc")</f>
        <v>Intellia Therapeutics Inc</v>
      </c>
      <c r="C1098" t="s">
        <v>1802</v>
      </c>
      <c r="D1098">
        <v>27.67</v>
      </c>
      <c r="E1098">
        <v>0</v>
      </c>
      <c r="F1098" t="s">
        <v>1797</v>
      </c>
      <c r="G1098" t="s">
        <v>1797</v>
      </c>
      <c r="H1098">
        <v>0</v>
      </c>
      <c r="I1098">
        <v>2477.9838340000001</v>
      </c>
      <c r="J1098" t="s">
        <v>1797</v>
      </c>
      <c r="K1098">
        <v>0</v>
      </c>
      <c r="L1098">
        <v>2.0374168243932211</v>
      </c>
      <c r="M1098">
        <v>47.48</v>
      </c>
      <c r="N1098">
        <v>22.67</v>
      </c>
    </row>
    <row r="1099" spans="1:14" x14ac:dyDescent="0.25">
      <c r="A1099" s="1" t="s">
        <v>1111</v>
      </c>
      <c r="B1099" t="str">
        <f>HYPERLINK("https://www.suredividend.com/sure-analysis-NTST/","Netstreit Corp")</f>
        <v>Netstreit Corp</v>
      </c>
      <c r="C1099" t="s">
        <v>1797</v>
      </c>
      <c r="D1099">
        <v>18.59</v>
      </c>
      <c r="E1099">
        <v>4.410973641742872E-2</v>
      </c>
      <c r="F1099" t="s">
        <v>1797</v>
      </c>
      <c r="G1099" t="s">
        <v>1797</v>
      </c>
      <c r="H1099">
        <v>0.79496253783167303</v>
      </c>
      <c r="I1099">
        <v>1277.1557359999999</v>
      </c>
      <c r="J1099">
        <v>166.27466938810051</v>
      </c>
      <c r="K1099">
        <v>6.3092264907275641</v>
      </c>
      <c r="L1099">
        <v>0.86865285167498807</v>
      </c>
      <c r="M1099">
        <v>19.68</v>
      </c>
      <c r="N1099">
        <v>13.31</v>
      </c>
    </row>
    <row r="1100" spans="1:14" x14ac:dyDescent="0.25">
      <c r="A1100" s="1" t="s">
        <v>1112</v>
      </c>
      <c r="B1100" t="str">
        <f>HYPERLINK("https://www.suredividend.com/sure-analysis-NUS/","Nu Skin Enterprises, Inc.")</f>
        <v>Nu Skin Enterprises, Inc.</v>
      </c>
      <c r="C1100" t="s">
        <v>1804</v>
      </c>
      <c r="D1100">
        <v>18.12</v>
      </c>
      <c r="E1100">
        <v>8.6092715231788075E-2</v>
      </c>
      <c r="F1100">
        <v>1.2987012987013101E-2</v>
      </c>
      <c r="G1100">
        <v>1.058436899020432E-2</v>
      </c>
      <c r="H1100">
        <v>1.5166466800098219</v>
      </c>
      <c r="I1100">
        <v>895.29593599999998</v>
      </c>
      <c r="J1100">
        <v>15.29688245215965</v>
      </c>
      <c r="K1100">
        <v>1.296279213683609</v>
      </c>
      <c r="L1100">
        <v>1.0480554978303169</v>
      </c>
      <c r="M1100">
        <v>42.88</v>
      </c>
      <c r="N1100">
        <v>15.78</v>
      </c>
    </row>
    <row r="1101" spans="1:14" x14ac:dyDescent="0.25">
      <c r="A1101" s="1" t="s">
        <v>1113</v>
      </c>
      <c r="B1101" t="str">
        <f>HYPERLINK("https://www.suredividend.com/sure-analysis-research-database/","Nutex Health Inc")</f>
        <v>Nutex Health Inc</v>
      </c>
      <c r="C1101" t="s">
        <v>1797</v>
      </c>
      <c r="D1101">
        <v>0.20730000000000001</v>
      </c>
      <c r="E1101">
        <v>0</v>
      </c>
      <c r="F1101" t="s">
        <v>1797</v>
      </c>
      <c r="G1101" t="s">
        <v>1797</v>
      </c>
      <c r="H1101">
        <v>0</v>
      </c>
      <c r="I1101">
        <v>139.05302499999999</v>
      </c>
      <c r="J1101">
        <v>0</v>
      </c>
      <c r="K1101" t="s">
        <v>1797</v>
      </c>
      <c r="L1101">
        <v>1.075626005882458</v>
      </c>
      <c r="M1101">
        <v>1.79</v>
      </c>
      <c r="N1101">
        <v>0.1704</v>
      </c>
    </row>
    <row r="1102" spans="1:14" x14ac:dyDescent="0.25">
      <c r="A1102" s="1" t="s">
        <v>1114</v>
      </c>
      <c r="B1102" t="str">
        <f>HYPERLINK("https://www.suredividend.com/sure-analysis-research-database/","Nuvasive Inc")</f>
        <v>Nuvasive Inc</v>
      </c>
      <c r="C1102" t="s">
        <v>1802</v>
      </c>
      <c r="D1102">
        <v>39.75</v>
      </c>
      <c r="E1102">
        <v>0</v>
      </c>
      <c r="F1102" t="s">
        <v>1797</v>
      </c>
      <c r="G1102" t="s">
        <v>1797</v>
      </c>
      <c r="H1102">
        <v>0</v>
      </c>
      <c r="I1102">
        <v>0</v>
      </c>
      <c r="J1102">
        <v>0</v>
      </c>
      <c r="K1102">
        <v>0</v>
      </c>
    </row>
    <row r="1103" spans="1:14" x14ac:dyDescent="0.25">
      <c r="A1103" s="1" t="s">
        <v>1115</v>
      </c>
      <c r="B1103" t="str">
        <f>HYPERLINK("https://www.suredividend.com/sure-analysis-research-database/","Nuvation Bio Inc")</f>
        <v>Nuvation Bio Inc</v>
      </c>
      <c r="C1103" t="s">
        <v>1797</v>
      </c>
      <c r="D1103">
        <v>1.58</v>
      </c>
      <c r="E1103">
        <v>0</v>
      </c>
      <c r="F1103" t="s">
        <v>1797</v>
      </c>
      <c r="G1103" t="s">
        <v>1797</v>
      </c>
      <c r="H1103">
        <v>0</v>
      </c>
      <c r="I1103">
        <v>345.93160399999999</v>
      </c>
      <c r="J1103">
        <v>0</v>
      </c>
      <c r="K1103" t="s">
        <v>1797</v>
      </c>
      <c r="L1103">
        <v>1.652555146286542</v>
      </c>
      <c r="M1103">
        <v>2.5499999999999998</v>
      </c>
      <c r="N1103">
        <v>0.95000000000000007</v>
      </c>
    </row>
    <row r="1104" spans="1:14" x14ac:dyDescent="0.25">
      <c r="A1104" s="1" t="s">
        <v>1116</v>
      </c>
      <c r="B1104" t="str">
        <f>HYPERLINK("https://www.suredividend.com/sure-analysis-research-database/","Nuvalent Inc")</f>
        <v>Nuvalent Inc</v>
      </c>
      <c r="C1104" t="s">
        <v>1797</v>
      </c>
      <c r="D1104">
        <v>74.72</v>
      </c>
      <c r="E1104">
        <v>0</v>
      </c>
      <c r="F1104" t="s">
        <v>1797</v>
      </c>
      <c r="G1104" t="s">
        <v>1797</v>
      </c>
      <c r="H1104">
        <v>0</v>
      </c>
      <c r="I1104">
        <v>4273.5985199999996</v>
      </c>
      <c r="J1104">
        <v>0</v>
      </c>
      <c r="K1104" t="s">
        <v>1797</v>
      </c>
      <c r="L1104">
        <v>1.3519047768064609</v>
      </c>
      <c r="M1104">
        <v>80.94</v>
      </c>
      <c r="N1104">
        <v>23.1</v>
      </c>
    </row>
    <row r="1105" spans="1:14" x14ac:dyDescent="0.25">
      <c r="A1105" s="1" t="s">
        <v>1117</v>
      </c>
      <c r="B1105" t="str">
        <f>HYPERLINK("https://www.suredividend.com/sure-analysis-research-database/","NV5 Global Inc")</f>
        <v>NV5 Global Inc</v>
      </c>
      <c r="C1105" t="s">
        <v>1798</v>
      </c>
      <c r="D1105">
        <v>103.97</v>
      </c>
      <c r="E1105">
        <v>0</v>
      </c>
      <c r="F1105" t="s">
        <v>1797</v>
      </c>
      <c r="G1105" t="s">
        <v>1797</v>
      </c>
      <c r="H1105">
        <v>0</v>
      </c>
      <c r="I1105">
        <v>1652.70057</v>
      </c>
      <c r="J1105">
        <v>38.726698141578403</v>
      </c>
      <c r="K1105">
        <v>0</v>
      </c>
      <c r="L1105">
        <v>1.096120009901892</v>
      </c>
      <c r="M1105">
        <v>142.22999999999999</v>
      </c>
      <c r="N1105">
        <v>89.3</v>
      </c>
    </row>
    <row r="1106" spans="1:14" x14ac:dyDescent="0.25">
      <c r="A1106" s="1" t="s">
        <v>1118</v>
      </c>
      <c r="B1106" t="str">
        <f>HYPERLINK("https://www.suredividend.com/sure-analysis-research-database/","Nevro Corp")</f>
        <v>Nevro Corp</v>
      </c>
      <c r="C1106" t="s">
        <v>1802</v>
      </c>
      <c r="D1106">
        <v>18.399999999999999</v>
      </c>
      <c r="E1106">
        <v>0</v>
      </c>
      <c r="F1106" t="s">
        <v>1797</v>
      </c>
      <c r="G1106" t="s">
        <v>1797</v>
      </c>
      <c r="H1106">
        <v>0</v>
      </c>
      <c r="I1106">
        <v>666.18110799999999</v>
      </c>
      <c r="J1106" t="s">
        <v>1797</v>
      </c>
      <c r="K1106">
        <v>0</v>
      </c>
      <c r="L1106">
        <v>1.291974040402343</v>
      </c>
      <c r="M1106">
        <v>40.56</v>
      </c>
      <c r="N1106">
        <v>13.98</v>
      </c>
    </row>
    <row r="1107" spans="1:14" x14ac:dyDescent="0.25">
      <c r="A1107" s="1" t="s">
        <v>1119</v>
      </c>
      <c r="B1107" t="str">
        <f>HYPERLINK("https://www.suredividend.com/sure-analysis-research-database/","Invitae Corp")</f>
        <v>Invitae Corp</v>
      </c>
      <c r="C1107" t="s">
        <v>1802</v>
      </c>
      <c r="D1107">
        <v>0.50009999999999999</v>
      </c>
      <c r="E1107">
        <v>0</v>
      </c>
      <c r="F1107" t="s">
        <v>1797</v>
      </c>
      <c r="G1107" t="s">
        <v>1797</v>
      </c>
      <c r="H1107">
        <v>0</v>
      </c>
      <c r="I1107">
        <v>143.275069</v>
      </c>
      <c r="J1107" t="s">
        <v>1797</v>
      </c>
      <c r="K1107">
        <v>0</v>
      </c>
      <c r="L1107">
        <v>3.1030835207444598</v>
      </c>
      <c r="M1107">
        <v>2.94</v>
      </c>
      <c r="N1107">
        <v>0.36</v>
      </c>
    </row>
    <row r="1108" spans="1:14" x14ac:dyDescent="0.25">
      <c r="A1108" s="1" t="s">
        <v>1120</v>
      </c>
      <c r="B1108" t="str">
        <f>HYPERLINK("https://www.suredividend.com/sure-analysis-NWBI/","Northwest Bancshares Inc")</f>
        <v>Northwest Bancshares Inc</v>
      </c>
      <c r="C1108" t="s">
        <v>1800</v>
      </c>
      <c r="D1108">
        <v>12.2</v>
      </c>
      <c r="E1108">
        <v>6.5573770491803282E-2</v>
      </c>
      <c r="F1108">
        <v>0</v>
      </c>
      <c r="G1108">
        <v>2.1295687600135119E-2</v>
      </c>
      <c r="H1108">
        <v>0.75789115022931408</v>
      </c>
      <c r="I1108">
        <v>1550.6743879999999</v>
      </c>
      <c r="J1108">
        <v>11.06218085291558</v>
      </c>
      <c r="K1108">
        <v>0.68899195475392183</v>
      </c>
      <c r="L1108">
        <v>1.2422281566790081</v>
      </c>
      <c r="M1108">
        <v>13.13</v>
      </c>
      <c r="N1108">
        <v>9.2200000000000006</v>
      </c>
    </row>
    <row r="1109" spans="1:14" x14ac:dyDescent="0.25">
      <c r="A1109" s="1" t="s">
        <v>1121</v>
      </c>
      <c r="B1109" t="str">
        <f>HYPERLINK("https://www.suredividend.com/sure-analysis-NWE/","NorthWestern Energy Group Inc")</f>
        <v>NorthWestern Energy Group Inc</v>
      </c>
      <c r="C1109" t="s">
        <v>1805</v>
      </c>
      <c r="D1109">
        <v>49.69</v>
      </c>
      <c r="E1109">
        <v>5.1519420406520432E-2</v>
      </c>
      <c r="F1109">
        <v>1.587301587301582E-2</v>
      </c>
      <c r="G1109">
        <v>2.1650674021522761E-2</v>
      </c>
      <c r="H1109">
        <v>0.63999998569488503</v>
      </c>
      <c r="I1109">
        <v>3043.1268060000002</v>
      </c>
      <c r="J1109">
        <v>0</v>
      </c>
      <c r="K1109" t="s">
        <v>1797</v>
      </c>
      <c r="L1109">
        <v>0.92795720713630603</v>
      </c>
      <c r="M1109">
        <v>53.73</v>
      </c>
      <c r="N1109">
        <v>44.88</v>
      </c>
    </row>
    <row r="1110" spans="1:14" x14ac:dyDescent="0.25">
      <c r="A1110" s="1" t="s">
        <v>1122</v>
      </c>
      <c r="B1110" t="str">
        <f>HYPERLINK("https://www.suredividend.com/sure-analysis-research-database/","National Western Life Group Inc")</f>
        <v>National Western Life Group Inc</v>
      </c>
      <c r="C1110" t="s">
        <v>1800</v>
      </c>
      <c r="D1110">
        <v>483.33</v>
      </c>
      <c r="E1110">
        <v>7.4483275258100008E-4</v>
      </c>
      <c r="F1110" t="s">
        <v>1797</v>
      </c>
      <c r="G1110" t="s">
        <v>1797</v>
      </c>
      <c r="H1110">
        <v>0.36000001430511402</v>
      </c>
      <c r="I1110">
        <v>1660.7315470000001</v>
      </c>
      <c r="J1110">
        <v>14.0950192371673</v>
      </c>
      <c r="K1110">
        <v>1.0727056445325209E-2</v>
      </c>
      <c r="L1110">
        <v>0.89328702380720904</v>
      </c>
      <c r="M1110">
        <v>488.17</v>
      </c>
      <c r="N1110">
        <v>224.68</v>
      </c>
    </row>
    <row r="1111" spans="1:14" x14ac:dyDescent="0.25">
      <c r="A1111" s="1" t="s">
        <v>1123</v>
      </c>
      <c r="B1111" t="str">
        <f>HYPERLINK("https://www.suredividend.com/sure-analysis-NWN/","Northwest Natural Holding Co")</f>
        <v>Northwest Natural Holding Co</v>
      </c>
      <c r="C1111" t="s">
        <v>1805</v>
      </c>
      <c r="D1111">
        <v>38.43</v>
      </c>
      <c r="E1111">
        <v>5.07416081186573E-2</v>
      </c>
      <c r="F1111">
        <v>5.1546391752579357E-3</v>
      </c>
      <c r="G1111">
        <v>5.2086151973560479E-3</v>
      </c>
      <c r="H1111">
        <v>1.9078331551879011</v>
      </c>
      <c r="I1111">
        <v>1413.3889549999999</v>
      </c>
      <c r="J1111">
        <v>14.546426192108189</v>
      </c>
      <c r="K1111">
        <v>0.70399747423907788</v>
      </c>
      <c r="L1111">
        <v>0.61810762619549309</v>
      </c>
      <c r="M1111">
        <v>50.6</v>
      </c>
      <c r="N1111">
        <v>35.72</v>
      </c>
    </row>
    <row r="1112" spans="1:14" x14ac:dyDescent="0.25">
      <c r="A1112" s="1" t="s">
        <v>1124</v>
      </c>
      <c r="B1112" t="str">
        <f>HYPERLINK("https://www.suredividend.com/sure-analysis-research-database/","Northwest Pipe Co.")</f>
        <v>Northwest Pipe Co.</v>
      </c>
      <c r="C1112" t="s">
        <v>1798</v>
      </c>
      <c r="D1112">
        <v>28.84</v>
      </c>
      <c r="E1112">
        <v>0</v>
      </c>
      <c r="F1112" t="s">
        <v>1797</v>
      </c>
      <c r="G1112" t="s">
        <v>1797</v>
      </c>
      <c r="H1112">
        <v>0</v>
      </c>
      <c r="I1112">
        <v>288.80941300000001</v>
      </c>
      <c r="J1112">
        <v>12.24339364279961</v>
      </c>
      <c r="K1112">
        <v>0</v>
      </c>
      <c r="L1112">
        <v>0.91049558985630608</v>
      </c>
      <c r="M1112">
        <v>40.6</v>
      </c>
      <c r="N1112">
        <v>25.58</v>
      </c>
    </row>
    <row r="1113" spans="1:14" x14ac:dyDescent="0.25">
      <c r="A1113" s="1" t="s">
        <v>1125</v>
      </c>
      <c r="B1113" t="str">
        <f>HYPERLINK("https://www.suredividend.com/sure-analysis-research-database/","Quanex Building Products Corp")</f>
        <v>Quanex Building Products Corp</v>
      </c>
      <c r="C1113" t="s">
        <v>1798</v>
      </c>
      <c r="D1113">
        <v>30.69</v>
      </c>
      <c r="E1113">
        <v>1.0383873994932E-2</v>
      </c>
      <c r="F1113">
        <v>0</v>
      </c>
      <c r="G1113">
        <v>0</v>
      </c>
      <c r="H1113">
        <v>0.31868109290448798</v>
      </c>
      <c r="I1113">
        <v>1012.835032</v>
      </c>
      <c r="J1113">
        <v>12.27663946024896</v>
      </c>
      <c r="K1113">
        <v>0.12747243716179521</v>
      </c>
      <c r="L1113">
        <v>1.5296956740589449</v>
      </c>
      <c r="M1113">
        <v>34.94</v>
      </c>
      <c r="N1113">
        <v>18.55</v>
      </c>
    </row>
    <row r="1114" spans="1:14" x14ac:dyDescent="0.25">
      <c r="A1114" s="1" t="s">
        <v>1126</v>
      </c>
      <c r="B1114" t="str">
        <f>HYPERLINK("https://www.suredividend.com/sure-analysis-research-database/","NextGen Healthcare Inc")</f>
        <v>NextGen Healthcare Inc</v>
      </c>
      <c r="C1114" t="s">
        <v>1802</v>
      </c>
      <c r="D1114">
        <v>23.94</v>
      </c>
      <c r="E1114">
        <v>0</v>
      </c>
      <c r="F1114" t="s">
        <v>1797</v>
      </c>
      <c r="G1114" t="s">
        <v>1797</v>
      </c>
      <c r="H1114">
        <v>0</v>
      </c>
      <c r="I1114">
        <v>0</v>
      </c>
      <c r="J1114">
        <v>0</v>
      </c>
      <c r="K1114">
        <v>0</v>
      </c>
    </row>
    <row r="1115" spans="1:14" x14ac:dyDescent="0.25">
      <c r="A1115" s="1" t="s">
        <v>1127</v>
      </c>
      <c r="B1115" t="str">
        <f>HYPERLINK("https://www.suredividend.com/sure-analysis-NXRT/","NexPoint Residential Trust Inc")</f>
        <v>NexPoint Residential Trust Inc</v>
      </c>
      <c r="C1115" t="s">
        <v>1799</v>
      </c>
      <c r="D1115">
        <v>32.869999999999997</v>
      </c>
      <c r="E1115">
        <v>5.6282324307879529E-2</v>
      </c>
      <c r="F1115">
        <v>0.1010000000000002</v>
      </c>
      <c r="G1115">
        <v>0.1095344292952829</v>
      </c>
      <c r="H1115">
        <v>1.6919529906522459</v>
      </c>
      <c r="I1115">
        <v>843.91466800000001</v>
      </c>
      <c r="J1115">
        <v>28.414635296632991</v>
      </c>
      <c r="K1115">
        <v>1.4712634701323879</v>
      </c>
      <c r="L1115">
        <v>1.415023065468032</v>
      </c>
      <c r="M1115">
        <v>50.53</v>
      </c>
      <c r="N1115">
        <v>25.86</v>
      </c>
    </row>
    <row r="1116" spans="1:14" x14ac:dyDescent="0.25">
      <c r="A1116" s="1" t="s">
        <v>1128</v>
      </c>
      <c r="B1116" t="str">
        <f>HYPERLINK("https://www.suredividend.com/sure-analysis-research-database/","Nextracker Inc")</f>
        <v>Nextracker Inc</v>
      </c>
      <c r="C1116" t="s">
        <v>1797</v>
      </c>
      <c r="D1116">
        <v>42.12</v>
      </c>
      <c r="E1116">
        <v>0</v>
      </c>
      <c r="F1116" t="s">
        <v>1797</v>
      </c>
      <c r="G1116" t="s">
        <v>1797</v>
      </c>
      <c r="H1116">
        <v>0</v>
      </c>
      <c r="I1116">
        <v>2615.5035269999998</v>
      </c>
      <c r="J1116">
        <v>0</v>
      </c>
      <c r="K1116" t="s">
        <v>1797</v>
      </c>
      <c r="L1116">
        <v>1.465854856785469</v>
      </c>
      <c r="M1116">
        <v>49.82</v>
      </c>
      <c r="N1116">
        <v>28.24</v>
      </c>
    </row>
    <row r="1117" spans="1:14" x14ac:dyDescent="0.25">
      <c r="A1117" s="1" t="s">
        <v>1129</v>
      </c>
      <c r="B1117" t="str">
        <f>HYPERLINK("https://www.suredividend.com/sure-analysis-NYMT/","New York Mortgage Trust Inc")</f>
        <v>New York Mortgage Trust Inc</v>
      </c>
      <c r="C1117" t="s">
        <v>1799</v>
      </c>
      <c r="D1117">
        <v>8.4499999999999993</v>
      </c>
      <c r="E1117">
        <v>9.4674556213017763E-2</v>
      </c>
      <c r="F1117" t="s">
        <v>1797</v>
      </c>
      <c r="G1117" t="s">
        <v>1797</v>
      </c>
      <c r="H1117">
        <v>1.1128154339730929</v>
      </c>
      <c r="I1117">
        <v>766.27327700000001</v>
      </c>
      <c r="J1117" t="s">
        <v>1797</v>
      </c>
      <c r="K1117" t="s">
        <v>1797</v>
      </c>
      <c r="L1117">
        <v>1.534487350327747</v>
      </c>
      <c r="M1117">
        <v>10.83</v>
      </c>
      <c r="N1117">
        <v>6.91</v>
      </c>
    </row>
    <row r="1118" spans="1:14" x14ac:dyDescent="0.25">
      <c r="A1118" s="1" t="s">
        <v>1130</v>
      </c>
      <c r="B1118" t="str">
        <f>HYPERLINK("https://www.suredividend.com/sure-analysis-research-database/","OmniAb Inc")</f>
        <v>OmniAb Inc</v>
      </c>
      <c r="C1118" t="s">
        <v>1797</v>
      </c>
      <c r="D1118">
        <v>6.22</v>
      </c>
      <c r="E1118">
        <v>0</v>
      </c>
      <c r="F1118" t="s">
        <v>1797</v>
      </c>
      <c r="G1118" t="s">
        <v>1797</v>
      </c>
      <c r="H1118">
        <v>0</v>
      </c>
      <c r="I1118">
        <v>723.00151700000004</v>
      </c>
      <c r="J1118" t="s">
        <v>1797</v>
      </c>
      <c r="K1118">
        <v>0</v>
      </c>
      <c r="L1118">
        <v>0.98763895931831003</v>
      </c>
      <c r="M1118">
        <v>6.72</v>
      </c>
      <c r="N1118">
        <v>3.14</v>
      </c>
    </row>
    <row r="1119" spans="1:14" x14ac:dyDescent="0.25">
      <c r="A1119" s="1" t="s">
        <v>1131</v>
      </c>
      <c r="B1119" t="str">
        <f>HYPERLINK("https://www.suredividend.com/sure-analysis-research-database/","Outbrain Inc")</f>
        <v>Outbrain Inc</v>
      </c>
      <c r="C1119" t="s">
        <v>1797</v>
      </c>
      <c r="D1119">
        <v>4.07</v>
      </c>
      <c r="E1119">
        <v>0</v>
      </c>
      <c r="F1119" t="s">
        <v>1797</v>
      </c>
      <c r="G1119" t="s">
        <v>1797</v>
      </c>
      <c r="H1119">
        <v>0</v>
      </c>
      <c r="I1119">
        <v>204.13253499999999</v>
      </c>
      <c r="J1119" t="s">
        <v>1797</v>
      </c>
      <c r="K1119">
        <v>0</v>
      </c>
      <c r="L1119">
        <v>1.2468588215406411</v>
      </c>
      <c r="M1119">
        <v>5.95</v>
      </c>
      <c r="N1119">
        <v>3.34</v>
      </c>
    </row>
    <row r="1120" spans="1:14" x14ac:dyDescent="0.25">
      <c r="A1120" s="1" t="s">
        <v>1132</v>
      </c>
      <c r="B1120" t="str">
        <f>HYPERLINK("https://www.suredividend.com/sure-analysis-research-database/","Origin Bancorp Inc")</f>
        <v>Origin Bancorp Inc</v>
      </c>
      <c r="C1120" t="s">
        <v>1797</v>
      </c>
      <c r="D1120">
        <v>33.049999999999997</v>
      </c>
      <c r="E1120">
        <v>9.0552847245160013E-3</v>
      </c>
      <c r="F1120" t="s">
        <v>1797</v>
      </c>
      <c r="G1120" t="s">
        <v>1797</v>
      </c>
      <c r="H1120">
        <v>0.299277160145274</v>
      </c>
      <c r="I1120">
        <v>1021.466964</v>
      </c>
      <c r="J1120">
        <v>10.22970730774238</v>
      </c>
      <c r="K1120">
        <v>9.2655467537236538E-2</v>
      </c>
      <c r="L1120">
        <v>1.210185975727589</v>
      </c>
      <c r="M1120">
        <v>39.6</v>
      </c>
      <c r="N1120">
        <v>25.51</v>
      </c>
    </row>
    <row r="1121" spans="1:14" x14ac:dyDescent="0.25">
      <c r="A1121" s="1" t="s">
        <v>1133</v>
      </c>
      <c r="B1121" t="str">
        <f>HYPERLINK("https://www.suredividend.com/sure-analysis-research-database/","OceanFirst Financial Corp.")</f>
        <v>OceanFirst Financial Corp.</v>
      </c>
      <c r="C1121" t="s">
        <v>1800</v>
      </c>
      <c r="D1121">
        <v>16.760000000000002</v>
      </c>
      <c r="E1121">
        <v>4.6025221628514003E-2</v>
      </c>
      <c r="F1121">
        <v>0</v>
      </c>
      <c r="G1121">
        <v>3.3037804113932312E-2</v>
      </c>
      <c r="H1121">
        <v>0.77138271449391105</v>
      </c>
      <c r="I1121">
        <v>995.93063600000005</v>
      </c>
      <c r="J1121">
        <v>7.9291946564970583</v>
      </c>
      <c r="K1121">
        <v>0.36215150915207089</v>
      </c>
      <c r="L1121">
        <v>1.830951022217242</v>
      </c>
      <c r="M1121">
        <v>23.34</v>
      </c>
      <c r="N1121">
        <v>11.65</v>
      </c>
    </row>
    <row r="1122" spans="1:14" x14ac:dyDescent="0.25">
      <c r="A1122" s="1" t="s">
        <v>1134</v>
      </c>
      <c r="B1122" t="str">
        <f>HYPERLINK("https://www.suredividend.com/sure-analysis-research-database/","Ocugen Inc")</f>
        <v>Ocugen Inc</v>
      </c>
      <c r="C1122" t="s">
        <v>1802</v>
      </c>
      <c r="D1122">
        <v>0.59860000000000002</v>
      </c>
      <c r="E1122">
        <v>0</v>
      </c>
      <c r="F1122" t="s">
        <v>1797</v>
      </c>
      <c r="G1122" t="s">
        <v>1797</v>
      </c>
      <c r="H1122">
        <v>0</v>
      </c>
      <c r="I1122">
        <v>153.54235700000001</v>
      </c>
      <c r="J1122">
        <v>0</v>
      </c>
      <c r="K1122" t="s">
        <v>1797</v>
      </c>
      <c r="L1122">
        <v>1.9751445924215849</v>
      </c>
      <c r="M1122">
        <v>1.4</v>
      </c>
      <c r="N1122">
        <v>0.34499999999999997</v>
      </c>
    </row>
    <row r="1123" spans="1:14" x14ac:dyDescent="0.25">
      <c r="A1123" s="1" t="s">
        <v>1135</v>
      </c>
      <c r="B1123" t="str">
        <f>HYPERLINK("https://www.suredividend.com/sure-analysis-research-database/","Eightco Holdings Inc")</f>
        <v>Eightco Holdings Inc</v>
      </c>
      <c r="C1123" t="s">
        <v>1797</v>
      </c>
      <c r="D1123">
        <v>0.53349999999999997</v>
      </c>
      <c r="E1123">
        <v>0</v>
      </c>
      <c r="F1123" t="s">
        <v>1797</v>
      </c>
      <c r="G1123" t="s">
        <v>1797</v>
      </c>
      <c r="H1123">
        <v>0</v>
      </c>
      <c r="I1123">
        <v>2.3131029999999999</v>
      </c>
      <c r="J1123">
        <v>0</v>
      </c>
      <c r="K1123" t="s">
        <v>1797</v>
      </c>
      <c r="L1123">
        <v>-14.683471970119561</v>
      </c>
      <c r="M1123">
        <v>4.46</v>
      </c>
      <c r="N1123">
        <v>5.5100000000000003E-2</v>
      </c>
    </row>
    <row r="1124" spans="1:14" x14ac:dyDescent="0.25">
      <c r="A1124" s="1" t="s">
        <v>1136</v>
      </c>
      <c r="B1124" t="str">
        <f>HYPERLINK("https://www.suredividend.com/sure-analysis-research-database/","Ocular Therapeutix Inc")</f>
        <v>Ocular Therapeutix Inc</v>
      </c>
      <c r="C1124" t="s">
        <v>1802</v>
      </c>
      <c r="D1124">
        <v>4.3849999999999998</v>
      </c>
      <c r="E1124">
        <v>0</v>
      </c>
      <c r="F1124" t="s">
        <v>1797</v>
      </c>
      <c r="G1124" t="s">
        <v>1797</v>
      </c>
      <c r="H1124">
        <v>0</v>
      </c>
      <c r="I1124">
        <v>348.250675</v>
      </c>
      <c r="J1124" t="s">
        <v>1797</v>
      </c>
      <c r="K1124">
        <v>0</v>
      </c>
      <c r="L1124">
        <v>1.4969870530628699</v>
      </c>
      <c r="M1124">
        <v>7.96</v>
      </c>
      <c r="N1124">
        <v>2</v>
      </c>
    </row>
    <row r="1125" spans="1:14" x14ac:dyDescent="0.25">
      <c r="A1125" s="1" t="s">
        <v>1137</v>
      </c>
      <c r="B1125" t="str">
        <f>HYPERLINK("https://www.suredividend.com/sure-analysis-research-database/","ODP Corporation (The)")</f>
        <v>ODP Corporation (The)</v>
      </c>
      <c r="C1125" t="s">
        <v>1801</v>
      </c>
      <c r="D1125">
        <v>51.56</v>
      </c>
      <c r="E1125">
        <v>0</v>
      </c>
      <c r="F1125" t="s">
        <v>1797</v>
      </c>
      <c r="G1125" t="s">
        <v>1797</v>
      </c>
      <c r="H1125">
        <v>0</v>
      </c>
      <c r="I1125">
        <v>1927.213753</v>
      </c>
      <c r="J1125">
        <v>9.9855634882901558</v>
      </c>
      <c r="K1125">
        <v>0</v>
      </c>
      <c r="L1125">
        <v>1.1106541430320001</v>
      </c>
      <c r="M1125">
        <v>58.98</v>
      </c>
      <c r="N1125">
        <v>39.36</v>
      </c>
    </row>
    <row r="1126" spans="1:14" x14ac:dyDescent="0.25">
      <c r="A1126" s="1" t="s">
        <v>1138</v>
      </c>
      <c r="B1126" t="str">
        <f>HYPERLINK("https://www.suredividend.com/sure-analysis-research-database/","Orion S.A")</f>
        <v>Orion S.A</v>
      </c>
      <c r="C1126" t="s">
        <v>1808</v>
      </c>
      <c r="D1126">
        <v>23.73</v>
      </c>
      <c r="E1126">
        <v>3.484763274148E-3</v>
      </c>
      <c r="F1126" t="s">
        <v>1797</v>
      </c>
      <c r="G1126" t="s">
        <v>1797</v>
      </c>
      <c r="H1126">
        <v>8.2693432495555011E-2</v>
      </c>
      <c r="I1126">
        <v>1377.387442</v>
      </c>
      <c r="J1126">
        <v>0</v>
      </c>
      <c r="K1126" t="s">
        <v>1797</v>
      </c>
      <c r="L1126">
        <v>1.333385872144532</v>
      </c>
      <c r="M1126">
        <v>28.48</v>
      </c>
      <c r="N1126">
        <v>19.2</v>
      </c>
    </row>
    <row r="1127" spans="1:14" x14ac:dyDescent="0.25">
      <c r="A1127" s="1" t="s">
        <v>1139</v>
      </c>
      <c r="B1127" t="str">
        <f>HYPERLINK("https://www.suredividend.com/sure-analysis-research-database/","OFG Bancorp")</f>
        <v>OFG Bancorp</v>
      </c>
      <c r="C1127" t="s">
        <v>1800</v>
      </c>
      <c r="D1127">
        <v>36.03</v>
      </c>
      <c r="E1127">
        <v>2.4175874912611001E-2</v>
      </c>
      <c r="F1127">
        <v>9.9999999999999867E-2</v>
      </c>
      <c r="G1127">
        <v>0.25737530980244538</v>
      </c>
      <c r="H1127">
        <v>0.87105677310138707</v>
      </c>
      <c r="I1127">
        <v>1695.4927499999999</v>
      </c>
      <c r="J1127">
        <v>9.3342550191035105</v>
      </c>
      <c r="K1127">
        <v>0.22862382496099401</v>
      </c>
      <c r="L1127">
        <v>1.210189462760048</v>
      </c>
      <c r="M1127">
        <v>38.25</v>
      </c>
      <c r="N1127">
        <v>21.86</v>
      </c>
    </row>
    <row r="1128" spans="1:14" x14ac:dyDescent="0.25">
      <c r="A1128" s="1" t="s">
        <v>1140</v>
      </c>
      <c r="B1128" t="str">
        <f>HYPERLINK("https://www.suredividend.com/sure-analysis-research-database/","Orthofix Medical Inc")</f>
        <v>Orthofix Medical Inc</v>
      </c>
      <c r="C1128" t="s">
        <v>1802</v>
      </c>
      <c r="D1128">
        <v>13.65</v>
      </c>
      <c r="E1128">
        <v>0</v>
      </c>
      <c r="F1128" t="s">
        <v>1797</v>
      </c>
      <c r="G1128" t="s">
        <v>1797</v>
      </c>
      <c r="H1128">
        <v>0</v>
      </c>
      <c r="I1128">
        <v>500.95499999999998</v>
      </c>
      <c r="J1128" t="s">
        <v>1797</v>
      </c>
      <c r="K1128">
        <v>0</v>
      </c>
      <c r="L1128">
        <v>1.700638365678709</v>
      </c>
      <c r="M1128">
        <v>22.62</v>
      </c>
      <c r="N1128">
        <v>9.57</v>
      </c>
    </row>
    <row r="1129" spans="1:14" x14ac:dyDescent="0.25">
      <c r="A1129" s="1" t="s">
        <v>1141</v>
      </c>
      <c r="B1129" t="str">
        <f>HYPERLINK("https://www.suredividend.com/sure-analysis-research-database/","Omega Flex Inc")</f>
        <v>Omega Flex Inc</v>
      </c>
      <c r="C1129" t="s">
        <v>1798</v>
      </c>
      <c r="D1129">
        <v>72.739999999999995</v>
      </c>
      <c r="E1129">
        <v>1.7803102014526E-2</v>
      </c>
      <c r="F1129">
        <v>3.125E-2</v>
      </c>
      <c r="G1129">
        <v>3.3406482938779243E-2</v>
      </c>
      <c r="H1129">
        <v>1.294997640536661</v>
      </c>
      <c r="I1129">
        <v>734.26098200000001</v>
      </c>
      <c r="J1129">
        <v>33.292268523237361</v>
      </c>
      <c r="K1129">
        <v>0.59403561492507384</v>
      </c>
      <c r="L1129">
        <v>0.90865444267503803</v>
      </c>
      <c r="M1129">
        <v>124.91</v>
      </c>
      <c r="N1129">
        <v>62.92</v>
      </c>
    </row>
    <row r="1130" spans="1:14" x14ac:dyDescent="0.25">
      <c r="A1130" s="1" t="s">
        <v>1142</v>
      </c>
      <c r="B1130" t="str">
        <f>HYPERLINK("https://www.suredividend.com/sure-analysis-OGS/","ONE Gas Inc")</f>
        <v>ONE Gas Inc</v>
      </c>
      <c r="C1130" t="s">
        <v>1805</v>
      </c>
      <c r="D1130">
        <v>60.8</v>
      </c>
      <c r="E1130">
        <v>4.2763157894736843E-2</v>
      </c>
      <c r="F1130">
        <v>4.8387096774193512E-2</v>
      </c>
      <c r="G1130">
        <v>5.387395206178347E-2</v>
      </c>
      <c r="H1130">
        <v>2.5624234295199768</v>
      </c>
      <c r="I1130">
        <v>3371.6062400000001</v>
      </c>
      <c r="J1130">
        <v>14.81822802167617</v>
      </c>
      <c r="K1130">
        <v>0.62498132427316511</v>
      </c>
      <c r="L1130">
        <v>0.58278403604998807</v>
      </c>
      <c r="M1130">
        <v>82.25</v>
      </c>
      <c r="N1130">
        <v>55.5</v>
      </c>
    </row>
    <row r="1131" spans="1:14" x14ac:dyDescent="0.25">
      <c r="A1131" s="1" t="s">
        <v>1143</v>
      </c>
      <c r="B1131" t="str">
        <f>HYPERLINK("https://www.suredividend.com/sure-analysis-research-database/","O-I Glass Inc")</f>
        <v>O-I Glass Inc</v>
      </c>
      <c r="C1131" t="s">
        <v>1801</v>
      </c>
      <c r="D1131">
        <v>15.39</v>
      </c>
      <c r="E1131">
        <v>0</v>
      </c>
      <c r="F1131" t="s">
        <v>1797</v>
      </c>
      <c r="G1131" t="s">
        <v>1797</v>
      </c>
      <c r="H1131">
        <v>0</v>
      </c>
      <c r="I1131">
        <v>2381.2528849999999</v>
      </c>
      <c r="J1131">
        <v>0</v>
      </c>
      <c r="K1131" t="s">
        <v>1797</v>
      </c>
      <c r="L1131">
        <v>1.394965518187735</v>
      </c>
      <c r="M1131">
        <v>23.57</v>
      </c>
      <c r="N1131">
        <v>13.56</v>
      </c>
    </row>
    <row r="1132" spans="1:14" x14ac:dyDescent="0.25">
      <c r="A1132" s="1" t="s">
        <v>1144</v>
      </c>
      <c r="B1132" t="str">
        <f>HYPERLINK("https://www.suredividend.com/sure-analysis-research-database/","Oceaneering International, Inc.")</f>
        <v>Oceaneering International, Inc.</v>
      </c>
      <c r="C1132" t="s">
        <v>1807</v>
      </c>
      <c r="D1132">
        <v>19.7</v>
      </c>
      <c r="E1132">
        <v>0</v>
      </c>
      <c r="F1132" t="s">
        <v>1797</v>
      </c>
      <c r="G1132" t="s">
        <v>1797</v>
      </c>
      <c r="H1132">
        <v>0</v>
      </c>
      <c r="I1132">
        <v>1984.2915029999999</v>
      </c>
      <c r="J1132">
        <v>26.108411658903709</v>
      </c>
      <c r="K1132">
        <v>0</v>
      </c>
      <c r="L1132">
        <v>1.2083846350117939</v>
      </c>
      <c r="M1132">
        <v>27.46</v>
      </c>
      <c r="N1132">
        <v>14.99</v>
      </c>
    </row>
    <row r="1133" spans="1:14" x14ac:dyDescent="0.25">
      <c r="A1133" s="1" t="s">
        <v>1145</v>
      </c>
      <c r="B1133" t="str">
        <f>HYPERLINK("https://www.suredividend.com/sure-analysis-research-database/","Oil States International, Inc.")</f>
        <v>Oil States International, Inc.</v>
      </c>
      <c r="C1133" t="s">
        <v>1807</v>
      </c>
      <c r="D1133">
        <v>6.1</v>
      </c>
      <c r="E1133">
        <v>0</v>
      </c>
      <c r="F1133" t="s">
        <v>1797</v>
      </c>
      <c r="G1133" t="s">
        <v>1797</v>
      </c>
      <c r="H1133">
        <v>0</v>
      </c>
      <c r="I1133">
        <v>389.723974</v>
      </c>
      <c r="J1133">
        <v>40.049735237899498</v>
      </c>
      <c r="K1133">
        <v>0</v>
      </c>
      <c r="L1133">
        <v>1.1004612998596759</v>
      </c>
      <c r="M1133">
        <v>10.47</v>
      </c>
      <c r="N1133">
        <v>5.88</v>
      </c>
    </row>
    <row r="1134" spans="1:14" x14ac:dyDescent="0.25">
      <c r="A1134" s="1" t="s">
        <v>1146</v>
      </c>
      <c r="B1134" t="str">
        <f>HYPERLINK("https://www.suredividend.com/sure-analysis-research-database/","Olo Inc")</f>
        <v>Olo Inc</v>
      </c>
      <c r="D1134">
        <v>5.0199999999999996</v>
      </c>
      <c r="E1134">
        <v>0</v>
      </c>
      <c r="F1134" t="s">
        <v>1797</v>
      </c>
      <c r="G1134" t="s">
        <v>1797</v>
      </c>
      <c r="H1134">
        <v>0</v>
      </c>
      <c r="I1134">
        <v>548.62072000000001</v>
      </c>
      <c r="J1134" t="s">
        <v>1797</v>
      </c>
      <c r="K1134">
        <v>0</v>
      </c>
      <c r="L1134">
        <v>1.7644263610577919</v>
      </c>
      <c r="M1134">
        <v>9.1199999999999992</v>
      </c>
      <c r="N1134">
        <v>4.25</v>
      </c>
    </row>
    <row r="1135" spans="1:14" x14ac:dyDescent="0.25">
      <c r="A1135" s="1" t="s">
        <v>1147</v>
      </c>
      <c r="B1135" t="str">
        <f>HYPERLINK("https://www.suredividend.com/sure-analysis-OLP/","One Liberty Properties, Inc.")</f>
        <v>One Liberty Properties, Inc.</v>
      </c>
      <c r="C1135" t="s">
        <v>1799</v>
      </c>
      <c r="D1135">
        <v>21.6</v>
      </c>
      <c r="E1135">
        <v>8.3333333333333329E-2</v>
      </c>
      <c r="F1135">
        <v>0</v>
      </c>
      <c r="G1135">
        <v>0</v>
      </c>
      <c r="H1135">
        <v>1.7426987252254129</v>
      </c>
      <c r="I1135">
        <v>455.01892600000002</v>
      </c>
      <c r="J1135">
        <v>20.359699565976111</v>
      </c>
      <c r="K1135">
        <v>1.598806169931571</v>
      </c>
      <c r="L1135">
        <v>0.93858466267724705</v>
      </c>
      <c r="M1135">
        <v>22.93</v>
      </c>
      <c r="N1135">
        <v>17.2</v>
      </c>
    </row>
    <row r="1136" spans="1:14" x14ac:dyDescent="0.25">
      <c r="A1136" s="1" t="s">
        <v>1148</v>
      </c>
      <c r="B1136" t="str">
        <f>HYPERLINK("https://www.suredividend.com/sure-analysis-research-database/","Outset Medical Inc")</f>
        <v>Outset Medical Inc</v>
      </c>
      <c r="C1136" t="s">
        <v>1797</v>
      </c>
      <c r="D1136">
        <v>4.4749999999999996</v>
      </c>
      <c r="E1136">
        <v>0</v>
      </c>
      <c r="F1136" t="s">
        <v>1797</v>
      </c>
      <c r="G1136" t="s">
        <v>1797</v>
      </c>
      <c r="H1136">
        <v>0</v>
      </c>
      <c r="I1136">
        <v>224.66545099999999</v>
      </c>
      <c r="J1136" t="s">
        <v>1797</v>
      </c>
      <c r="K1136">
        <v>0</v>
      </c>
      <c r="L1136">
        <v>2.0130708853015489</v>
      </c>
      <c r="M1136">
        <v>30.55</v>
      </c>
      <c r="N1136">
        <v>2.9</v>
      </c>
    </row>
    <row r="1137" spans="1:14" x14ac:dyDescent="0.25">
      <c r="A1137" s="1" t="s">
        <v>1149</v>
      </c>
      <c r="B1137" t="str">
        <f>HYPERLINK("https://www.suredividend.com/sure-analysis-research-database/","Omnicell, Inc.")</f>
        <v>Omnicell, Inc.</v>
      </c>
      <c r="C1137" t="s">
        <v>1802</v>
      </c>
      <c r="D1137">
        <v>34.17</v>
      </c>
      <c r="E1137">
        <v>0</v>
      </c>
      <c r="F1137" t="s">
        <v>1797</v>
      </c>
      <c r="G1137" t="s">
        <v>1797</v>
      </c>
      <c r="H1137">
        <v>0</v>
      </c>
      <c r="I1137">
        <v>1553.688578</v>
      </c>
      <c r="J1137" t="s">
        <v>1797</v>
      </c>
      <c r="K1137">
        <v>0</v>
      </c>
      <c r="L1137">
        <v>1.3271350312673069</v>
      </c>
      <c r="M1137">
        <v>77.14</v>
      </c>
      <c r="N1137">
        <v>28.72</v>
      </c>
    </row>
    <row r="1138" spans="1:14" x14ac:dyDescent="0.25">
      <c r="A1138" s="1" t="s">
        <v>1150</v>
      </c>
      <c r="B1138" t="str">
        <f>HYPERLINK("https://www.suredividend.com/sure-analysis-research-database/","Owens &amp; Minor, Inc.")</f>
        <v>Owens &amp; Minor, Inc.</v>
      </c>
      <c r="C1138" t="s">
        <v>1802</v>
      </c>
      <c r="D1138">
        <v>19.41</v>
      </c>
      <c r="E1138">
        <v>0</v>
      </c>
      <c r="F1138" t="s">
        <v>1797</v>
      </c>
      <c r="G1138" t="s">
        <v>1797</v>
      </c>
      <c r="H1138">
        <v>0</v>
      </c>
      <c r="I1138">
        <v>1484.8852449999999</v>
      </c>
      <c r="J1138" t="s">
        <v>1797</v>
      </c>
      <c r="K1138">
        <v>0</v>
      </c>
      <c r="L1138">
        <v>2.2371692350073271</v>
      </c>
      <c r="M1138">
        <v>23.66</v>
      </c>
      <c r="N1138">
        <v>11.79</v>
      </c>
    </row>
    <row r="1139" spans="1:14" x14ac:dyDescent="0.25">
      <c r="A1139" s="1" t="s">
        <v>1151</v>
      </c>
      <c r="B1139" t="str">
        <f>HYPERLINK("https://www.suredividend.com/sure-analysis-research-database/","Singular Genomics Systems Inc")</f>
        <v>Singular Genomics Systems Inc</v>
      </c>
      <c r="C1139" t="s">
        <v>1797</v>
      </c>
      <c r="D1139">
        <v>0.435</v>
      </c>
      <c r="E1139">
        <v>0</v>
      </c>
      <c r="F1139" t="s">
        <v>1797</v>
      </c>
      <c r="G1139" t="s">
        <v>1797</v>
      </c>
      <c r="H1139">
        <v>0</v>
      </c>
      <c r="I1139">
        <v>31.922262</v>
      </c>
      <c r="J1139" t="s">
        <v>1797</v>
      </c>
      <c r="K1139">
        <v>0</v>
      </c>
      <c r="L1139">
        <v>1.096107939693818</v>
      </c>
      <c r="M1139">
        <v>3</v>
      </c>
      <c r="N1139">
        <v>0.31009999999999999</v>
      </c>
    </row>
    <row r="1140" spans="1:14" x14ac:dyDescent="0.25">
      <c r="A1140" s="1" t="s">
        <v>1152</v>
      </c>
      <c r="B1140" t="str">
        <f>HYPERLINK("https://www.suredividend.com/sure-analysis-research-database/","Old National Bancorp")</f>
        <v>Old National Bancorp</v>
      </c>
      <c r="C1140" t="s">
        <v>1800</v>
      </c>
      <c r="D1140">
        <v>16.399999999999999</v>
      </c>
      <c r="E1140">
        <v>3.3568776108135003E-2</v>
      </c>
      <c r="F1140">
        <v>0</v>
      </c>
      <c r="G1140">
        <v>1.493197894539389E-2</v>
      </c>
      <c r="H1140">
        <v>0.550527928173418</v>
      </c>
      <c r="I1140">
        <v>4798.9844000000003</v>
      </c>
      <c r="J1140">
        <v>7.5680390845781176</v>
      </c>
      <c r="K1140">
        <v>0.25369950607069952</v>
      </c>
      <c r="L1140">
        <v>1.2747302435035559</v>
      </c>
      <c r="M1140">
        <v>17.670000000000002</v>
      </c>
      <c r="N1140">
        <v>11.2</v>
      </c>
    </row>
    <row r="1141" spans="1:14" x14ac:dyDescent="0.25">
      <c r="A1141" s="1" t="s">
        <v>1153</v>
      </c>
      <c r="B1141" t="str">
        <f>HYPERLINK("https://www.suredividend.com/sure-analysis-research-database/","Ondas Holdings Inc")</f>
        <v>Ondas Holdings Inc</v>
      </c>
      <c r="C1141" t="s">
        <v>1803</v>
      </c>
      <c r="D1141">
        <v>1.6</v>
      </c>
      <c r="E1141">
        <v>0</v>
      </c>
      <c r="F1141" t="s">
        <v>1797</v>
      </c>
      <c r="G1141" t="s">
        <v>1797</v>
      </c>
      <c r="H1141">
        <v>0</v>
      </c>
      <c r="I1141">
        <v>93.298107000000002</v>
      </c>
      <c r="J1141" t="s">
        <v>1797</v>
      </c>
      <c r="K1141">
        <v>0</v>
      </c>
      <c r="L1141">
        <v>3.161750688047257</v>
      </c>
      <c r="M1141">
        <v>2.4700000000000002</v>
      </c>
      <c r="N1141">
        <v>0.31459999999999999</v>
      </c>
    </row>
    <row r="1142" spans="1:14" x14ac:dyDescent="0.25">
      <c r="A1142" s="1" t="s">
        <v>1154</v>
      </c>
      <c r="B1142" t="str">
        <f>HYPERLINK("https://www.suredividend.com/sure-analysis-research-database/","Onewater Marine Inc")</f>
        <v>Onewater Marine Inc</v>
      </c>
      <c r="C1142" t="s">
        <v>1801</v>
      </c>
      <c r="D1142">
        <v>29.61</v>
      </c>
      <c r="E1142">
        <v>0</v>
      </c>
      <c r="F1142" t="s">
        <v>1797</v>
      </c>
      <c r="G1142" t="s">
        <v>1797</v>
      </c>
      <c r="H1142">
        <v>0</v>
      </c>
      <c r="I1142">
        <v>430.50144799999998</v>
      </c>
      <c r="J1142" t="s">
        <v>1797</v>
      </c>
      <c r="K1142">
        <v>0</v>
      </c>
      <c r="L1142">
        <v>1.210156205875103</v>
      </c>
      <c r="M1142">
        <v>39.15</v>
      </c>
      <c r="N1142">
        <v>21.78</v>
      </c>
    </row>
    <row r="1143" spans="1:14" x14ac:dyDescent="0.25">
      <c r="A1143" s="1" t="s">
        <v>1155</v>
      </c>
      <c r="B1143" t="str">
        <f>HYPERLINK("https://www.suredividend.com/sure-analysis-research-database/","Orion Office REIT Inc")</f>
        <v>Orion Office REIT Inc</v>
      </c>
      <c r="C1143" t="s">
        <v>1797</v>
      </c>
      <c r="D1143">
        <v>5.4</v>
      </c>
      <c r="E1143">
        <v>7.2170563482399003E-2</v>
      </c>
      <c r="F1143" t="s">
        <v>1797</v>
      </c>
      <c r="G1143" t="s">
        <v>1797</v>
      </c>
      <c r="H1143">
        <v>0.38972104280495801</v>
      </c>
      <c r="I1143">
        <v>301.21229199999999</v>
      </c>
      <c r="J1143" t="s">
        <v>1797</v>
      </c>
      <c r="K1143" t="s">
        <v>1797</v>
      </c>
      <c r="L1143">
        <v>1.6171721353935451</v>
      </c>
      <c r="M1143">
        <v>9.1199999999999992</v>
      </c>
      <c r="N1143">
        <v>4.34</v>
      </c>
    </row>
    <row r="1144" spans="1:14" x14ac:dyDescent="0.25">
      <c r="A1144" s="1" t="s">
        <v>1156</v>
      </c>
      <c r="B1144" t="str">
        <f>HYPERLINK("https://www.suredividend.com/sure-analysis-research-database/","ON24 Inc")</f>
        <v>ON24 Inc</v>
      </c>
      <c r="C1144" t="s">
        <v>1797</v>
      </c>
      <c r="D1144">
        <v>7.15</v>
      </c>
      <c r="E1144">
        <v>0</v>
      </c>
      <c r="F1144" t="s">
        <v>1797</v>
      </c>
      <c r="G1144" t="s">
        <v>1797</v>
      </c>
      <c r="H1144">
        <v>0</v>
      </c>
      <c r="I1144">
        <v>296.73415199999999</v>
      </c>
      <c r="J1144" t="s">
        <v>1797</v>
      </c>
      <c r="K1144">
        <v>0</v>
      </c>
      <c r="L1144">
        <v>1.1710495447736149</v>
      </c>
      <c r="M1144">
        <v>9.67</v>
      </c>
      <c r="N1144">
        <v>5.73</v>
      </c>
    </row>
    <row r="1145" spans="1:14" x14ac:dyDescent="0.25">
      <c r="A1145" s="1" t="s">
        <v>1157</v>
      </c>
      <c r="B1145" t="str">
        <f>HYPERLINK("https://www.suredividend.com/sure-analysis-research-database/","Onto Innovation Inc.")</f>
        <v>Onto Innovation Inc.</v>
      </c>
      <c r="C1145" t="s">
        <v>1803</v>
      </c>
      <c r="D1145">
        <v>144.22999999999999</v>
      </c>
      <c r="E1145">
        <v>0</v>
      </c>
      <c r="F1145" t="s">
        <v>1797</v>
      </c>
      <c r="G1145" t="s">
        <v>1797</v>
      </c>
      <c r="H1145">
        <v>0</v>
      </c>
      <c r="I1145">
        <v>7078.9516199999998</v>
      </c>
      <c r="J1145">
        <v>45.070491139853807</v>
      </c>
      <c r="K1145">
        <v>0</v>
      </c>
      <c r="L1145">
        <v>1.693197838035079</v>
      </c>
      <c r="M1145">
        <v>158.5</v>
      </c>
      <c r="N1145">
        <v>73.400000000000006</v>
      </c>
    </row>
    <row r="1146" spans="1:14" x14ac:dyDescent="0.25">
      <c r="A1146" s="1" t="s">
        <v>1158</v>
      </c>
      <c r="B1146" t="str">
        <f>HYPERLINK("https://www.suredividend.com/sure-analysis-research-database/","Ooma Inc")</f>
        <v>Ooma Inc</v>
      </c>
      <c r="C1146" t="s">
        <v>1806</v>
      </c>
      <c r="D1146">
        <v>10.37</v>
      </c>
      <c r="E1146">
        <v>0</v>
      </c>
      <c r="F1146" t="s">
        <v>1797</v>
      </c>
      <c r="G1146" t="s">
        <v>1797</v>
      </c>
      <c r="H1146">
        <v>0</v>
      </c>
      <c r="I1146">
        <v>267.54599999999999</v>
      </c>
      <c r="J1146">
        <v>147.57087699944839</v>
      </c>
      <c r="K1146">
        <v>0</v>
      </c>
      <c r="L1146">
        <v>0.8431605826786861</v>
      </c>
      <c r="M1146">
        <v>15.66</v>
      </c>
      <c r="N1146">
        <v>9.58</v>
      </c>
    </row>
    <row r="1147" spans="1:14" x14ac:dyDescent="0.25">
      <c r="A1147" s="1" t="s">
        <v>1159</v>
      </c>
      <c r="B1147" t="str">
        <f>HYPERLINK("https://www.suredividend.com/sure-analysis-research-database/","Offerpad Solutions Inc")</f>
        <v>Offerpad Solutions Inc</v>
      </c>
      <c r="C1147" t="s">
        <v>1797</v>
      </c>
      <c r="D1147">
        <v>9.0500000000000007</v>
      </c>
      <c r="E1147">
        <v>0</v>
      </c>
      <c r="F1147" t="s">
        <v>1797</v>
      </c>
      <c r="G1147" t="s">
        <v>1797</v>
      </c>
      <c r="H1147">
        <v>0</v>
      </c>
      <c r="I1147">
        <v>246.457908</v>
      </c>
      <c r="J1147" t="s">
        <v>1797</v>
      </c>
      <c r="K1147">
        <v>0</v>
      </c>
      <c r="L1147">
        <v>2.8261412376117629</v>
      </c>
      <c r="M1147">
        <v>19.350000000000001</v>
      </c>
      <c r="N1147">
        <v>6</v>
      </c>
    </row>
    <row r="1148" spans="1:14" x14ac:dyDescent="0.25">
      <c r="A1148" s="1" t="s">
        <v>1160</v>
      </c>
      <c r="B1148" t="str">
        <f>HYPERLINK("https://www.suredividend.com/sure-analysis-research-database/","Option Care Health Inc.")</f>
        <v>Option Care Health Inc.</v>
      </c>
      <c r="C1148" t="s">
        <v>1802</v>
      </c>
      <c r="D1148">
        <v>31.9</v>
      </c>
      <c r="E1148">
        <v>0</v>
      </c>
      <c r="F1148" t="s">
        <v>1797</v>
      </c>
      <c r="G1148" t="s">
        <v>1797</v>
      </c>
      <c r="H1148">
        <v>0</v>
      </c>
      <c r="I1148">
        <v>5650.4641940000001</v>
      </c>
      <c r="J1148">
        <v>21.948494006805412</v>
      </c>
      <c r="K1148">
        <v>0</v>
      </c>
      <c r="L1148">
        <v>1.045859887681756</v>
      </c>
      <c r="M1148">
        <v>35.74</v>
      </c>
      <c r="N1148">
        <v>24.23</v>
      </c>
    </row>
    <row r="1149" spans="1:14" x14ac:dyDescent="0.25">
      <c r="A1149" s="1" t="s">
        <v>1161</v>
      </c>
      <c r="B1149" t="str">
        <f>HYPERLINK("https://www.suredividend.com/sure-analysis-research-database/","OppFi Inc")</f>
        <v>OppFi Inc</v>
      </c>
      <c r="C1149" t="s">
        <v>1797</v>
      </c>
      <c r="D1149">
        <v>4.5199999999999996</v>
      </c>
      <c r="E1149">
        <v>0</v>
      </c>
      <c r="F1149" t="s">
        <v>1797</v>
      </c>
      <c r="G1149" t="s">
        <v>1797</v>
      </c>
      <c r="H1149">
        <v>0</v>
      </c>
      <c r="I1149">
        <v>80.121298999999993</v>
      </c>
      <c r="J1149">
        <v>10.4094190619722</v>
      </c>
      <c r="K1149">
        <v>0</v>
      </c>
      <c r="L1149">
        <v>1.0781265277743779</v>
      </c>
      <c r="M1149">
        <v>5.34</v>
      </c>
      <c r="N1149">
        <v>1.7</v>
      </c>
    </row>
    <row r="1150" spans="1:14" x14ac:dyDescent="0.25">
      <c r="A1150" s="1" t="s">
        <v>1162</v>
      </c>
      <c r="B1150" t="str">
        <f>HYPERLINK("https://www.suredividend.com/sure-analysis-OPI/","Office Properties Income Trust")</f>
        <v>Office Properties Income Trust</v>
      </c>
      <c r="C1150" t="s">
        <v>1799</v>
      </c>
      <c r="D1150">
        <v>3.7</v>
      </c>
      <c r="E1150">
        <v>0.27027027027027017</v>
      </c>
      <c r="F1150">
        <v>-0.54545454545454541</v>
      </c>
      <c r="G1150">
        <v>-0.14588674088525469</v>
      </c>
      <c r="H1150">
        <v>1.1152217720769011</v>
      </c>
      <c r="I1150">
        <v>180.39677800000001</v>
      </c>
      <c r="J1150" t="s">
        <v>1797</v>
      </c>
      <c r="K1150" t="s">
        <v>1797</v>
      </c>
      <c r="L1150">
        <v>2.0849175834008791</v>
      </c>
      <c r="M1150">
        <v>14.2</v>
      </c>
      <c r="N1150">
        <v>3.35</v>
      </c>
    </row>
    <row r="1151" spans="1:14" x14ac:dyDescent="0.25">
      <c r="A1151" s="1" t="s">
        <v>1163</v>
      </c>
      <c r="B1151" t="str">
        <f>HYPERLINK("https://www.suredividend.com/sure-analysis-research-database/","Opko Health Inc")</f>
        <v>Opko Health Inc</v>
      </c>
      <c r="C1151" t="s">
        <v>1802</v>
      </c>
      <c r="D1151">
        <v>0.97799999999999998</v>
      </c>
      <c r="E1151">
        <v>0</v>
      </c>
      <c r="F1151" t="s">
        <v>1797</v>
      </c>
      <c r="G1151" t="s">
        <v>1797</v>
      </c>
      <c r="H1151">
        <v>0</v>
      </c>
      <c r="I1151">
        <v>756.04928900000004</v>
      </c>
      <c r="J1151" t="s">
        <v>1797</v>
      </c>
      <c r="K1151">
        <v>0</v>
      </c>
      <c r="L1151">
        <v>1.529067996754168</v>
      </c>
      <c r="M1151">
        <v>2.2400000000000002</v>
      </c>
      <c r="N1151">
        <v>0.85160000000000002</v>
      </c>
    </row>
    <row r="1152" spans="1:14" x14ac:dyDescent="0.25">
      <c r="A1152" s="1" t="s">
        <v>1164</v>
      </c>
      <c r="B1152" t="str">
        <f>HYPERLINK("https://www.suredividend.com/sure-analysis-research-database/","Oportun Financial Corp")</f>
        <v>Oportun Financial Corp</v>
      </c>
      <c r="C1152" t="s">
        <v>1800</v>
      </c>
      <c r="D1152">
        <v>4.2699999999999996</v>
      </c>
      <c r="E1152">
        <v>0</v>
      </c>
      <c r="F1152" t="s">
        <v>1797</v>
      </c>
      <c r="G1152" t="s">
        <v>1797</v>
      </c>
      <c r="H1152">
        <v>0</v>
      </c>
      <c r="I1152">
        <v>146.162834</v>
      </c>
      <c r="J1152" t="s">
        <v>1797</v>
      </c>
      <c r="K1152">
        <v>0</v>
      </c>
      <c r="L1152">
        <v>1.242893871517555</v>
      </c>
      <c r="M1152">
        <v>8.06</v>
      </c>
      <c r="N1152">
        <v>2.13</v>
      </c>
    </row>
    <row r="1153" spans="1:14" x14ac:dyDescent="0.25">
      <c r="A1153" s="1" t="s">
        <v>1165</v>
      </c>
      <c r="B1153" t="str">
        <f>HYPERLINK("https://www.suredividend.com/sure-analysis-research-database/","OptimizeRx Corp")</f>
        <v>OptimizeRx Corp</v>
      </c>
      <c r="C1153" t="s">
        <v>1802</v>
      </c>
      <c r="D1153">
        <v>14.78</v>
      </c>
      <c r="E1153">
        <v>0</v>
      </c>
      <c r="F1153" t="s">
        <v>1797</v>
      </c>
      <c r="G1153" t="s">
        <v>1797</v>
      </c>
      <c r="H1153">
        <v>0</v>
      </c>
      <c r="I1153">
        <v>268.29362500000002</v>
      </c>
      <c r="J1153" t="s">
        <v>1797</v>
      </c>
      <c r="K1153">
        <v>0</v>
      </c>
      <c r="L1153">
        <v>1.7996040191929299</v>
      </c>
      <c r="M1153">
        <v>19.98</v>
      </c>
      <c r="N1153">
        <v>6.92</v>
      </c>
    </row>
    <row r="1154" spans="1:14" x14ac:dyDescent="0.25">
      <c r="A1154" s="1" t="s">
        <v>1166</v>
      </c>
      <c r="B1154" t="str">
        <f>HYPERLINK("https://www.suredividend.com/sure-analysis-research-database/","Oppenheimer Holdings Inc")</f>
        <v>Oppenheimer Holdings Inc</v>
      </c>
      <c r="C1154" t="s">
        <v>1800</v>
      </c>
      <c r="D1154">
        <v>39.270000000000003</v>
      </c>
      <c r="E1154">
        <v>1.5187662123196E-2</v>
      </c>
      <c r="F1154">
        <v>0</v>
      </c>
      <c r="G1154">
        <v>4.5639552591273169E-2</v>
      </c>
      <c r="H1154">
        <v>0.59641949157793206</v>
      </c>
      <c r="I1154">
        <v>403.51589999999999</v>
      </c>
      <c r="J1154">
        <v>9.7253838297462103</v>
      </c>
      <c r="K1154">
        <v>0.1694373555619125</v>
      </c>
      <c r="L1154">
        <v>0.76613103288122608</v>
      </c>
      <c r="M1154">
        <v>48.58</v>
      </c>
      <c r="N1154">
        <v>32.69</v>
      </c>
    </row>
    <row r="1155" spans="1:14" x14ac:dyDescent="0.25">
      <c r="A1155" s="1" t="s">
        <v>1167</v>
      </c>
      <c r="B1155" t="str">
        <f>HYPERLINK("https://www.suredividend.com/sure-analysis-research-database/","Ormat Technologies Inc")</f>
        <v>Ormat Technologies Inc</v>
      </c>
      <c r="C1155" t="s">
        <v>1805</v>
      </c>
      <c r="D1155">
        <v>69.95</v>
      </c>
      <c r="E1155">
        <v>6.8449297071340003E-3</v>
      </c>
      <c r="F1155">
        <v>0</v>
      </c>
      <c r="G1155">
        <v>1.7554577175587619E-2</v>
      </c>
      <c r="H1155">
        <v>0.47880283301407511</v>
      </c>
      <c r="I1155">
        <v>4221.7680360000004</v>
      </c>
      <c r="J1155">
        <v>39.56151991210151</v>
      </c>
      <c r="K1155">
        <v>0.26307847967806319</v>
      </c>
      <c r="L1155">
        <v>0.9162762946720111</v>
      </c>
      <c r="M1155">
        <v>93.91</v>
      </c>
      <c r="N1155">
        <v>58.62</v>
      </c>
    </row>
    <row r="1156" spans="1:14" x14ac:dyDescent="0.25">
      <c r="A1156" s="1" t="s">
        <v>1168</v>
      </c>
      <c r="B1156" t="str">
        <f>HYPERLINK("https://www.suredividend.com/sure-analysis-ORC/","Orchid Island Capital Inc")</f>
        <v>Orchid Island Capital Inc</v>
      </c>
      <c r="C1156" t="s">
        <v>1799</v>
      </c>
      <c r="D1156">
        <v>8.8000000000000007</v>
      </c>
      <c r="E1156">
        <v>0.16363636363636361</v>
      </c>
      <c r="F1156">
        <v>-0.25</v>
      </c>
      <c r="G1156">
        <v>0.2167286837864115</v>
      </c>
      <c r="H1156">
        <v>1.639821537268056</v>
      </c>
      <c r="I1156">
        <v>460.524293</v>
      </c>
      <c r="J1156" t="s">
        <v>1797</v>
      </c>
      <c r="K1156" t="s">
        <v>1797</v>
      </c>
      <c r="L1156">
        <v>1.423938862460405</v>
      </c>
      <c r="M1156">
        <v>10.63</v>
      </c>
      <c r="N1156">
        <v>5.7</v>
      </c>
    </row>
    <row r="1157" spans="1:14" x14ac:dyDescent="0.25">
      <c r="A1157" s="1" t="s">
        <v>1169</v>
      </c>
      <c r="B1157" t="str">
        <f>HYPERLINK("https://www.suredividend.com/sure-analysis-research-database/","Origin Materials Inc")</f>
        <v>Origin Materials Inc</v>
      </c>
      <c r="C1157" t="s">
        <v>1797</v>
      </c>
      <c r="D1157">
        <v>0.66680000000000006</v>
      </c>
      <c r="E1157">
        <v>0</v>
      </c>
      <c r="F1157" t="s">
        <v>1797</v>
      </c>
      <c r="G1157" t="s">
        <v>1797</v>
      </c>
      <c r="H1157">
        <v>0</v>
      </c>
      <c r="I1157">
        <v>96.205375000000004</v>
      </c>
      <c r="J1157">
        <v>0</v>
      </c>
      <c r="K1157" t="s">
        <v>1797</v>
      </c>
      <c r="L1157">
        <v>1.724508862044517</v>
      </c>
      <c r="M1157">
        <v>6.26</v>
      </c>
      <c r="N1157">
        <v>0.65100000000000002</v>
      </c>
    </row>
    <row r="1158" spans="1:14" x14ac:dyDescent="0.25">
      <c r="A1158" s="1" t="s">
        <v>1170</v>
      </c>
      <c r="B1158" t="str">
        <f>HYPERLINK("https://www.suredividend.com/sure-analysis-research-database/","Organogenesis Holdings Inc")</f>
        <v>Organogenesis Holdings Inc</v>
      </c>
      <c r="C1158" t="s">
        <v>1802</v>
      </c>
      <c r="D1158">
        <v>3.915</v>
      </c>
      <c r="E1158">
        <v>0</v>
      </c>
      <c r="F1158" t="s">
        <v>1797</v>
      </c>
      <c r="G1158" t="s">
        <v>1797</v>
      </c>
      <c r="H1158">
        <v>0</v>
      </c>
      <c r="I1158">
        <v>516.94115699999998</v>
      </c>
      <c r="J1158">
        <v>43.078429755000002</v>
      </c>
      <c r="K1158">
        <v>0</v>
      </c>
      <c r="L1158">
        <v>2.077209227010401</v>
      </c>
      <c r="M1158">
        <v>4.71</v>
      </c>
      <c r="N1158">
        <v>1.8</v>
      </c>
    </row>
    <row r="1159" spans="1:14" x14ac:dyDescent="0.25">
      <c r="A1159" s="1" t="s">
        <v>1171</v>
      </c>
      <c r="B1159" t="str">
        <f>HYPERLINK("https://www.suredividend.com/sure-analysis-research-database/","Orrstown Financial Services, Inc.")</f>
        <v>Orrstown Financial Services, Inc.</v>
      </c>
      <c r="C1159" t="s">
        <v>1800</v>
      </c>
      <c r="D1159">
        <v>28.45</v>
      </c>
      <c r="E1159">
        <v>2.7346683379114001E-2</v>
      </c>
      <c r="F1159" t="s">
        <v>1797</v>
      </c>
      <c r="G1159" t="s">
        <v>1797</v>
      </c>
      <c r="H1159">
        <v>0.77801314213581907</v>
      </c>
      <c r="I1159">
        <v>301.97032000000002</v>
      </c>
      <c r="J1159">
        <v>8.0213122230781497</v>
      </c>
      <c r="K1159">
        <v>0.2173221067418489</v>
      </c>
      <c r="L1159">
        <v>0.89471342172229207</v>
      </c>
      <c r="M1159">
        <v>29.79</v>
      </c>
      <c r="N1159">
        <v>14.99</v>
      </c>
    </row>
    <row r="1160" spans="1:14" x14ac:dyDescent="0.25">
      <c r="A1160" s="1" t="s">
        <v>1172</v>
      </c>
      <c r="B1160" t="str">
        <f>HYPERLINK("https://www.suredividend.com/sure-analysis-research-database/","Old Second Bancorporation Inc.")</f>
        <v>Old Second Bancorporation Inc.</v>
      </c>
      <c r="C1160" t="s">
        <v>1800</v>
      </c>
      <c r="D1160">
        <v>15.01</v>
      </c>
      <c r="E1160">
        <v>1.3202484405185001E-2</v>
      </c>
      <c r="F1160">
        <v>0</v>
      </c>
      <c r="G1160">
        <v>0.3797296614612149</v>
      </c>
      <c r="H1160">
        <v>0.198169290921832</v>
      </c>
      <c r="I1160">
        <v>670.91573400000004</v>
      </c>
      <c r="J1160">
        <v>6.9081820670517624</v>
      </c>
      <c r="K1160">
        <v>9.2602472393379445E-2</v>
      </c>
      <c r="L1160">
        <v>1.278683200229084</v>
      </c>
      <c r="M1160">
        <v>17.37</v>
      </c>
      <c r="N1160">
        <v>10.68</v>
      </c>
    </row>
    <row r="1161" spans="1:14" x14ac:dyDescent="0.25">
      <c r="A1161" s="1" t="s">
        <v>1173</v>
      </c>
      <c r="B1161" t="str">
        <f>HYPERLINK("https://www.suredividend.com/sure-analysis-research-database/","Oscar Health Inc")</f>
        <v>Oscar Health Inc</v>
      </c>
      <c r="C1161" t="s">
        <v>1797</v>
      </c>
      <c r="D1161">
        <v>11.45</v>
      </c>
      <c r="E1161">
        <v>0</v>
      </c>
      <c r="F1161" t="s">
        <v>1797</v>
      </c>
      <c r="G1161" t="s">
        <v>1797</v>
      </c>
      <c r="H1161">
        <v>0</v>
      </c>
      <c r="I1161">
        <v>2184.832723</v>
      </c>
      <c r="J1161" t="s">
        <v>1797</v>
      </c>
      <c r="K1161">
        <v>0</v>
      </c>
      <c r="L1161">
        <v>1.874007892618349</v>
      </c>
      <c r="M1161">
        <v>12.12</v>
      </c>
      <c r="N1161">
        <v>2.88</v>
      </c>
    </row>
    <row r="1162" spans="1:14" x14ac:dyDescent="0.25">
      <c r="A1162" s="1" t="s">
        <v>1174</v>
      </c>
      <c r="B1162" t="str">
        <f>HYPERLINK("https://www.suredividend.com/sure-analysis-research-database/","OSI Systems, Inc.")</f>
        <v>OSI Systems, Inc.</v>
      </c>
      <c r="C1162" t="s">
        <v>1803</v>
      </c>
      <c r="D1162">
        <v>124.36</v>
      </c>
      <c r="E1162">
        <v>0</v>
      </c>
      <c r="F1162" t="s">
        <v>1797</v>
      </c>
      <c r="G1162" t="s">
        <v>1797</v>
      </c>
      <c r="H1162">
        <v>0</v>
      </c>
      <c r="I1162">
        <v>2112.6276800000001</v>
      </c>
      <c r="J1162">
        <v>22.613813448652351</v>
      </c>
      <c r="K1162">
        <v>0</v>
      </c>
      <c r="L1162">
        <v>0.73688222663563308</v>
      </c>
      <c r="M1162">
        <v>139.9</v>
      </c>
      <c r="N1162">
        <v>87.65</v>
      </c>
    </row>
    <row r="1163" spans="1:14" x14ac:dyDescent="0.25">
      <c r="A1163" s="1" t="s">
        <v>1175</v>
      </c>
      <c r="B1163" t="str">
        <f>HYPERLINK("https://www.suredividend.com/sure-analysis-research-database/","OneSpan Inc")</f>
        <v>OneSpan Inc</v>
      </c>
      <c r="C1163" t="s">
        <v>1803</v>
      </c>
      <c r="D1163">
        <v>10.4</v>
      </c>
      <c r="E1163">
        <v>0</v>
      </c>
      <c r="F1163" t="s">
        <v>1797</v>
      </c>
      <c r="G1163" t="s">
        <v>1797</v>
      </c>
      <c r="H1163">
        <v>0</v>
      </c>
      <c r="I1163">
        <v>414.82829400000003</v>
      </c>
      <c r="J1163" t="s">
        <v>1797</v>
      </c>
      <c r="K1163">
        <v>0</v>
      </c>
      <c r="L1163">
        <v>1.322503462276881</v>
      </c>
      <c r="M1163">
        <v>19.25</v>
      </c>
      <c r="N1163">
        <v>7.64</v>
      </c>
    </row>
    <row r="1164" spans="1:14" x14ac:dyDescent="0.25">
      <c r="A1164" s="1" t="s">
        <v>1176</v>
      </c>
      <c r="B1164" t="str">
        <f>HYPERLINK("https://www.suredividend.com/sure-analysis-research-database/","Beyond Inc")</f>
        <v>Beyond Inc</v>
      </c>
      <c r="C1164" t="s">
        <v>1801</v>
      </c>
      <c r="D1164">
        <v>16.78</v>
      </c>
      <c r="E1164">
        <v>0</v>
      </c>
      <c r="F1164" t="s">
        <v>1797</v>
      </c>
      <c r="G1164" t="s">
        <v>1797</v>
      </c>
      <c r="H1164">
        <v>0</v>
      </c>
      <c r="I1164">
        <v>1027.9692250000001</v>
      </c>
      <c r="J1164">
        <v>0</v>
      </c>
      <c r="K1164">
        <v>0</v>
      </c>
    </row>
    <row r="1165" spans="1:14" x14ac:dyDescent="0.25">
      <c r="A1165" s="1" t="s">
        <v>1177</v>
      </c>
      <c r="B1165" t="str">
        <f>HYPERLINK("https://www.suredividend.com/sure-analysis-research-database/","Orasure Technologies Inc.")</f>
        <v>Orasure Technologies Inc.</v>
      </c>
      <c r="C1165" t="s">
        <v>1802</v>
      </c>
      <c r="D1165">
        <v>8.1</v>
      </c>
      <c r="E1165">
        <v>0</v>
      </c>
      <c r="F1165" t="s">
        <v>1797</v>
      </c>
      <c r="G1165" t="s">
        <v>1797</v>
      </c>
      <c r="H1165">
        <v>0</v>
      </c>
      <c r="I1165">
        <v>595.22260300000005</v>
      </c>
      <c r="J1165">
        <v>12.111806185902649</v>
      </c>
      <c r="K1165">
        <v>0</v>
      </c>
      <c r="L1165">
        <v>1.0209968172843</v>
      </c>
      <c r="M1165">
        <v>8.4499999999999993</v>
      </c>
      <c r="N1165">
        <v>4.38</v>
      </c>
    </row>
    <row r="1166" spans="1:14" x14ac:dyDescent="0.25">
      <c r="A1166" s="1" t="s">
        <v>1178</v>
      </c>
      <c r="B1166" t="str">
        <f>HYPERLINK("https://www.suredividend.com/sure-analysis-research-database/","OneSpaWorld Holdings Limited")</f>
        <v>OneSpaWorld Holdings Limited</v>
      </c>
      <c r="C1166" t="s">
        <v>1801</v>
      </c>
      <c r="D1166">
        <v>13.525</v>
      </c>
      <c r="E1166">
        <v>0</v>
      </c>
      <c r="F1166" t="s">
        <v>1797</v>
      </c>
      <c r="G1166" t="s">
        <v>1797</v>
      </c>
      <c r="H1166">
        <v>0</v>
      </c>
      <c r="I1166">
        <v>1351.29403</v>
      </c>
      <c r="J1166">
        <v>0</v>
      </c>
      <c r="K1166" t="s">
        <v>1797</v>
      </c>
      <c r="L1166">
        <v>0.74823971665377709</v>
      </c>
      <c r="M1166">
        <v>14.67</v>
      </c>
      <c r="N1166">
        <v>9.82</v>
      </c>
    </row>
    <row r="1167" spans="1:14" x14ac:dyDescent="0.25">
      <c r="A1167" s="1" t="s">
        <v>1179</v>
      </c>
      <c r="B1167" t="str">
        <f>HYPERLINK("https://www.suredividend.com/sure-analysis-research-database/","Outlook Therapeutics Inc")</f>
        <v>Outlook Therapeutics Inc</v>
      </c>
      <c r="C1167" t="s">
        <v>1802</v>
      </c>
      <c r="D1167">
        <v>0.36820000000000003</v>
      </c>
      <c r="E1167">
        <v>0</v>
      </c>
      <c r="F1167" t="s">
        <v>1797</v>
      </c>
      <c r="G1167" t="s">
        <v>1797</v>
      </c>
      <c r="H1167">
        <v>0</v>
      </c>
      <c r="I1167">
        <v>95.826818000000003</v>
      </c>
      <c r="J1167" t="s">
        <v>1797</v>
      </c>
      <c r="K1167">
        <v>0</v>
      </c>
      <c r="L1167">
        <v>0.47125438283701099</v>
      </c>
      <c r="M1167">
        <v>2.0299999999999998</v>
      </c>
      <c r="N1167">
        <v>0.20019999999999999</v>
      </c>
    </row>
    <row r="1168" spans="1:14" x14ac:dyDescent="0.25">
      <c r="A1168" s="1" t="s">
        <v>1180</v>
      </c>
      <c r="B1168" t="str">
        <f>HYPERLINK("https://www.suredividend.com/sure-analysis-OTTR/","Otter Tail Corporation")</f>
        <v>Otter Tail Corporation</v>
      </c>
      <c r="C1168" t="s">
        <v>1805</v>
      </c>
      <c r="D1168">
        <v>83.01</v>
      </c>
      <c r="E1168">
        <v>2.1081797373810381E-2</v>
      </c>
      <c r="F1168">
        <v>6.0606060606060552E-2</v>
      </c>
      <c r="G1168">
        <v>4.5639552591273169E-2</v>
      </c>
      <c r="H1168">
        <v>1.724519006035355</v>
      </c>
      <c r="I1168">
        <v>3462.3903479999999</v>
      </c>
      <c r="J1168">
        <v>12.43545158086981</v>
      </c>
      <c r="K1168">
        <v>0.26010844736581518</v>
      </c>
      <c r="L1168">
        <v>0.62428373663516001</v>
      </c>
      <c r="M1168">
        <v>90.82</v>
      </c>
      <c r="N1168">
        <v>58.62</v>
      </c>
    </row>
    <row r="1169" spans="1:14" x14ac:dyDescent="0.25">
      <c r="A1169" s="1" t="s">
        <v>1181</v>
      </c>
      <c r="B1169" t="str">
        <f>HYPERLINK("https://www.suredividend.com/sure-analysis-research-database/","Ouster Inc")</f>
        <v>Ouster Inc</v>
      </c>
      <c r="C1169" t="s">
        <v>1797</v>
      </c>
      <c r="D1169">
        <v>6.63</v>
      </c>
      <c r="E1169">
        <v>0</v>
      </c>
      <c r="F1169" t="s">
        <v>1797</v>
      </c>
      <c r="G1169" t="s">
        <v>1797</v>
      </c>
      <c r="H1169">
        <v>0</v>
      </c>
      <c r="I1169">
        <v>269.78988299999997</v>
      </c>
      <c r="J1169" t="s">
        <v>1797</v>
      </c>
      <c r="K1169">
        <v>0</v>
      </c>
      <c r="L1169">
        <v>3.1020883061997799</v>
      </c>
      <c r="M1169">
        <v>19.2</v>
      </c>
      <c r="N1169">
        <v>3.21</v>
      </c>
    </row>
    <row r="1170" spans="1:14" x14ac:dyDescent="0.25">
      <c r="A1170" s="1" t="s">
        <v>1182</v>
      </c>
      <c r="B1170" t="str">
        <f>HYPERLINK("https://www.suredividend.com/sure-analysis-research-database/","Outfront Media Inc")</f>
        <v>Outfront Media Inc</v>
      </c>
      <c r="C1170" t="s">
        <v>1799</v>
      </c>
      <c r="D1170">
        <v>14.2</v>
      </c>
      <c r="E1170">
        <v>8.1538315391029001E-2</v>
      </c>
      <c r="F1170" t="s">
        <v>1797</v>
      </c>
      <c r="G1170" t="s">
        <v>1797</v>
      </c>
      <c r="H1170">
        <v>1.1578440785526141</v>
      </c>
      <c r="I1170">
        <v>2343.703837</v>
      </c>
      <c r="J1170" t="s">
        <v>1797</v>
      </c>
      <c r="K1170" t="s">
        <v>1797</v>
      </c>
      <c r="L1170">
        <v>1.8301490393315569</v>
      </c>
      <c r="M1170">
        <v>19.82</v>
      </c>
      <c r="N1170">
        <v>7.99</v>
      </c>
    </row>
    <row r="1171" spans="1:14" x14ac:dyDescent="0.25">
      <c r="A1171" s="1" t="s">
        <v>1183</v>
      </c>
      <c r="B1171" t="str">
        <f>HYPERLINK("https://www.suredividend.com/sure-analysis-research-database/","Oxford Industries, Inc.")</f>
        <v>Oxford Industries, Inc.</v>
      </c>
      <c r="C1171" t="s">
        <v>1801</v>
      </c>
      <c r="D1171">
        <v>95.64</v>
      </c>
      <c r="E1171">
        <v>2.0251942288494001E-2</v>
      </c>
      <c r="F1171">
        <v>0.18181818181818171</v>
      </c>
      <c r="G1171">
        <v>0.13837903230220411</v>
      </c>
      <c r="H1171">
        <v>1.936895760471633</v>
      </c>
      <c r="I1171">
        <v>1494.3841809999999</v>
      </c>
      <c r="J1171">
        <v>9.7785932747902784</v>
      </c>
      <c r="K1171">
        <v>0.20239245145994081</v>
      </c>
      <c r="L1171">
        <v>1.113035175210233</v>
      </c>
      <c r="M1171">
        <v>120.96</v>
      </c>
      <c r="N1171">
        <v>82.33</v>
      </c>
    </row>
    <row r="1172" spans="1:14" x14ac:dyDescent="0.25">
      <c r="A1172" s="1" t="s">
        <v>1184</v>
      </c>
      <c r="B1172" t="str">
        <f>HYPERLINK("https://www.suredividend.com/sure-analysis-research-database/","Pacific Biosciences of California Inc")</f>
        <v>Pacific Biosciences of California Inc</v>
      </c>
      <c r="C1172" t="s">
        <v>1802</v>
      </c>
      <c r="D1172">
        <v>6.71</v>
      </c>
      <c r="E1172">
        <v>0</v>
      </c>
      <c r="F1172" t="s">
        <v>1797</v>
      </c>
      <c r="G1172" t="s">
        <v>1797</v>
      </c>
      <c r="H1172">
        <v>0</v>
      </c>
      <c r="I1172">
        <v>1794.5484819999999</v>
      </c>
      <c r="J1172" t="s">
        <v>1797</v>
      </c>
      <c r="K1172">
        <v>0</v>
      </c>
      <c r="L1172">
        <v>2.2928246679858968</v>
      </c>
      <c r="M1172">
        <v>14.55</v>
      </c>
      <c r="N1172">
        <v>5.74</v>
      </c>
    </row>
    <row r="1173" spans="1:14" x14ac:dyDescent="0.25">
      <c r="A1173" s="1" t="s">
        <v>1185</v>
      </c>
      <c r="B1173" t="str">
        <f>HYPERLINK("https://www.suredividend.com/sure-analysis-research-database/","Ranpak Holdings Corp")</f>
        <v>Ranpak Holdings Corp</v>
      </c>
      <c r="C1173" t="s">
        <v>1801</v>
      </c>
      <c r="D1173">
        <v>4.78</v>
      </c>
      <c r="E1173">
        <v>0</v>
      </c>
      <c r="F1173" t="s">
        <v>1797</v>
      </c>
      <c r="G1173" t="s">
        <v>1797</v>
      </c>
      <c r="H1173">
        <v>0</v>
      </c>
      <c r="I1173">
        <v>380.890333</v>
      </c>
      <c r="J1173">
        <v>0</v>
      </c>
      <c r="K1173" t="s">
        <v>1797</v>
      </c>
      <c r="L1173">
        <v>2.1150590721221949</v>
      </c>
      <c r="M1173">
        <v>8.24</v>
      </c>
      <c r="N1173">
        <v>2.63</v>
      </c>
    </row>
    <row r="1174" spans="1:14" x14ac:dyDescent="0.25">
      <c r="A1174" s="1" t="s">
        <v>1186</v>
      </c>
      <c r="B1174" t="str">
        <f>HYPERLINK("https://www.suredividend.com/sure-analysis-research-database/","Phibro Animal Health Corp.")</f>
        <v>Phibro Animal Health Corp.</v>
      </c>
      <c r="C1174" t="s">
        <v>1802</v>
      </c>
      <c r="D1174">
        <v>11.4</v>
      </c>
      <c r="E1174">
        <v>4.0945937700715002E-2</v>
      </c>
      <c r="F1174">
        <v>0</v>
      </c>
      <c r="G1174">
        <v>0</v>
      </c>
      <c r="H1174">
        <v>0.46678368978816098</v>
      </c>
      <c r="I1174">
        <v>231.848344</v>
      </c>
      <c r="J1174">
        <v>11.181497159392331</v>
      </c>
      <c r="K1174">
        <v>0.91186499274889821</v>
      </c>
      <c r="L1174">
        <v>0.99666237914762001</v>
      </c>
      <c r="M1174">
        <v>15.73</v>
      </c>
      <c r="N1174">
        <v>9.18</v>
      </c>
    </row>
    <row r="1175" spans="1:14" x14ac:dyDescent="0.25">
      <c r="A1175" s="1" t="s">
        <v>1187</v>
      </c>
      <c r="B1175" t="str">
        <f>HYPERLINK("https://www.suredividend.com/sure-analysis-research-database/","Par Technology Corp.")</f>
        <v>Par Technology Corp.</v>
      </c>
      <c r="C1175" t="s">
        <v>1803</v>
      </c>
      <c r="D1175">
        <v>40.119999999999997</v>
      </c>
      <c r="E1175">
        <v>0</v>
      </c>
      <c r="F1175" t="s">
        <v>1797</v>
      </c>
      <c r="G1175" t="s">
        <v>1797</v>
      </c>
      <c r="H1175">
        <v>0</v>
      </c>
      <c r="I1175">
        <v>1124.220734</v>
      </c>
      <c r="J1175" t="s">
        <v>1797</v>
      </c>
      <c r="K1175">
        <v>0</v>
      </c>
      <c r="L1175">
        <v>2.0205115922335728</v>
      </c>
      <c r="M1175">
        <v>46.63</v>
      </c>
      <c r="N1175">
        <v>24.76</v>
      </c>
    </row>
    <row r="1176" spans="1:14" x14ac:dyDescent="0.25">
      <c r="A1176" s="1" t="s">
        <v>1188</v>
      </c>
      <c r="B1176" t="str">
        <f>HYPERLINK("https://www.suredividend.com/sure-analysis-research-database/","Par Pacific Holdings Inc")</f>
        <v>Par Pacific Holdings Inc</v>
      </c>
      <c r="C1176" t="s">
        <v>1807</v>
      </c>
      <c r="D1176">
        <v>34.72</v>
      </c>
      <c r="E1176">
        <v>0</v>
      </c>
      <c r="F1176" t="s">
        <v>1797</v>
      </c>
      <c r="G1176" t="s">
        <v>1797</v>
      </c>
      <c r="H1176">
        <v>0</v>
      </c>
      <c r="I1176">
        <v>2100.54882</v>
      </c>
      <c r="J1176">
        <v>4.0083979187729106</v>
      </c>
      <c r="K1176">
        <v>0</v>
      </c>
      <c r="L1176">
        <v>0.84175304158700703</v>
      </c>
      <c r="M1176">
        <v>37.5</v>
      </c>
      <c r="N1176">
        <v>20.3</v>
      </c>
    </row>
    <row r="1177" spans="1:14" x14ac:dyDescent="0.25">
      <c r="A1177" s="1" t="s">
        <v>1189</v>
      </c>
      <c r="B1177" t="str">
        <f>HYPERLINK("https://www.suredividend.com/sure-analysis-research-database/","Patrick Industries, Inc.")</f>
        <v>Patrick Industries, Inc.</v>
      </c>
      <c r="C1177" t="s">
        <v>1798</v>
      </c>
      <c r="D1177">
        <v>97.7</v>
      </c>
      <c r="E1177">
        <v>1.9140179485844001E-2</v>
      </c>
      <c r="F1177" t="s">
        <v>1797</v>
      </c>
      <c r="G1177" t="s">
        <v>1797</v>
      </c>
      <c r="H1177">
        <v>1.8699955357669911</v>
      </c>
      <c r="I1177">
        <v>2162.5254089999999</v>
      </c>
      <c r="J1177">
        <v>14.20284650466308</v>
      </c>
      <c r="K1177">
        <v>0.27744740886750607</v>
      </c>
      <c r="L1177">
        <v>1.4759207335351381</v>
      </c>
      <c r="M1177">
        <v>103.36</v>
      </c>
      <c r="N1177">
        <v>60.03</v>
      </c>
    </row>
    <row r="1178" spans="1:14" x14ac:dyDescent="0.25">
      <c r="A1178" s="1" t="s">
        <v>1190</v>
      </c>
      <c r="B1178" t="str">
        <f>HYPERLINK("https://www.suredividend.com/sure-analysis-research-database/","Payoneer Global Inc")</f>
        <v>Payoneer Global Inc</v>
      </c>
      <c r="C1178" t="s">
        <v>1797</v>
      </c>
      <c r="D1178">
        <v>4.82</v>
      </c>
      <c r="E1178">
        <v>0</v>
      </c>
      <c r="F1178" t="s">
        <v>1797</v>
      </c>
      <c r="G1178" t="s">
        <v>1797</v>
      </c>
      <c r="H1178">
        <v>0</v>
      </c>
      <c r="I1178">
        <v>1743.916821</v>
      </c>
      <c r="J1178">
        <v>31.05209701714713</v>
      </c>
      <c r="K1178">
        <v>0</v>
      </c>
      <c r="L1178">
        <v>1.4425668690073861</v>
      </c>
      <c r="M1178">
        <v>7.05</v>
      </c>
      <c r="N1178">
        <v>4.0199999999999996</v>
      </c>
    </row>
    <row r="1179" spans="1:14" x14ac:dyDescent="0.25">
      <c r="A1179" s="1" t="s">
        <v>1191</v>
      </c>
      <c r="B1179" t="str">
        <f>HYPERLINK("https://www.suredividend.com/sure-analysis-research-database/","PBF Energy Inc")</f>
        <v>PBF Energy Inc</v>
      </c>
      <c r="C1179" t="s">
        <v>1807</v>
      </c>
      <c r="D1179">
        <v>42.86</v>
      </c>
      <c r="E1179">
        <v>1.9688213529706001E-2</v>
      </c>
      <c r="F1179" t="s">
        <v>1797</v>
      </c>
      <c r="G1179" t="s">
        <v>1797</v>
      </c>
      <c r="H1179">
        <v>0.84383683188321912</v>
      </c>
      <c r="I1179">
        <v>5237.5402599999998</v>
      </c>
      <c r="J1179">
        <v>1.8528815439770761</v>
      </c>
      <c r="K1179">
        <v>3.9523973390314708E-2</v>
      </c>
      <c r="L1179">
        <v>0.80298497012072811</v>
      </c>
      <c r="M1179">
        <v>56.06</v>
      </c>
      <c r="N1179">
        <v>30.78</v>
      </c>
    </row>
    <row r="1180" spans="1:14" x14ac:dyDescent="0.25">
      <c r="A1180" s="1" t="s">
        <v>1192</v>
      </c>
      <c r="B1180" t="str">
        <f>HYPERLINK("https://www.suredividend.com/sure-analysis-research-database/","Pioneer Bancorp Inc")</f>
        <v>Pioneer Bancorp Inc</v>
      </c>
      <c r="C1180" t="s">
        <v>1800</v>
      </c>
      <c r="D1180">
        <v>9.81</v>
      </c>
      <c r="E1180">
        <v>0</v>
      </c>
      <c r="F1180" t="s">
        <v>1797</v>
      </c>
      <c r="G1180" t="s">
        <v>1797</v>
      </c>
      <c r="H1180">
        <v>0</v>
      </c>
      <c r="I1180">
        <v>254.84103099999999</v>
      </c>
      <c r="J1180">
        <v>0</v>
      </c>
      <c r="K1180" t="s">
        <v>1797</v>
      </c>
      <c r="L1180">
        <v>0.53662865975087803</v>
      </c>
      <c r="M1180">
        <v>11.88</v>
      </c>
      <c r="N1180">
        <v>7.81</v>
      </c>
    </row>
    <row r="1181" spans="1:14" x14ac:dyDescent="0.25">
      <c r="A1181" s="1" t="s">
        <v>1193</v>
      </c>
      <c r="B1181" t="str">
        <f>HYPERLINK("https://www.suredividend.com/sure-analysis-research-database/","Prestige Consumer Healthcare Inc")</f>
        <v>Prestige Consumer Healthcare Inc</v>
      </c>
      <c r="C1181" t="s">
        <v>1802</v>
      </c>
      <c r="D1181">
        <v>59.55</v>
      </c>
      <c r="E1181">
        <v>0</v>
      </c>
      <c r="F1181" t="s">
        <v>1797</v>
      </c>
      <c r="G1181" t="s">
        <v>1797</v>
      </c>
      <c r="H1181">
        <v>0</v>
      </c>
      <c r="I1181">
        <v>2954.7867369999999</v>
      </c>
      <c r="J1181" t="s">
        <v>1797</v>
      </c>
      <c r="K1181">
        <v>0</v>
      </c>
      <c r="L1181">
        <v>0.357284206604354</v>
      </c>
      <c r="M1181">
        <v>68.540000000000006</v>
      </c>
      <c r="N1181">
        <v>55.96</v>
      </c>
    </row>
    <row r="1182" spans="1:14" x14ac:dyDescent="0.25">
      <c r="A1182" s="1" t="s">
        <v>1194</v>
      </c>
      <c r="B1182" t="str">
        <f>HYPERLINK("https://www.suredividend.com/sure-analysis-research-database/","Pitney Bowes, Inc.")</f>
        <v>Pitney Bowes, Inc.</v>
      </c>
      <c r="C1182" t="s">
        <v>1798</v>
      </c>
      <c r="D1182">
        <v>4.17</v>
      </c>
      <c r="E1182">
        <v>4.6992745470795003E-2</v>
      </c>
      <c r="F1182">
        <v>0</v>
      </c>
      <c r="G1182">
        <v>0</v>
      </c>
      <c r="H1182">
        <v>0.19595974861321799</v>
      </c>
      <c r="I1182">
        <v>735.30125399999997</v>
      </c>
      <c r="J1182" t="s">
        <v>1797</v>
      </c>
      <c r="K1182" t="s">
        <v>1797</v>
      </c>
      <c r="L1182">
        <v>1.5525666937137941</v>
      </c>
      <c r="M1182">
        <v>4.58</v>
      </c>
      <c r="N1182">
        <v>2.71</v>
      </c>
    </row>
    <row r="1183" spans="1:14" x14ac:dyDescent="0.25">
      <c r="A1183" s="1" t="s">
        <v>1195</v>
      </c>
      <c r="B1183" t="str">
        <f>HYPERLINK("https://www.suredividend.com/sure-analysis-research-database/","PCB Bancorp.")</f>
        <v>PCB Bancorp.</v>
      </c>
      <c r="C1183" t="s">
        <v>1800</v>
      </c>
      <c r="D1183">
        <v>17.745000000000001</v>
      </c>
      <c r="E1183">
        <v>3.8041892488046E-2</v>
      </c>
      <c r="F1183">
        <v>0.2</v>
      </c>
      <c r="G1183">
        <v>0.29199400995563329</v>
      </c>
      <c r="H1183">
        <v>0.67505338220038102</v>
      </c>
      <c r="I1183">
        <v>253.03198800000001</v>
      </c>
      <c r="J1183">
        <v>7.5534191557956953</v>
      </c>
      <c r="K1183">
        <v>0.29350147052190478</v>
      </c>
      <c r="L1183">
        <v>0.9596590705804191</v>
      </c>
      <c r="M1183">
        <v>19.04</v>
      </c>
      <c r="N1183">
        <v>12.27</v>
      </c>
    </row>
    <row r="1184" spans="1:14" x14ac:dyDescent="0.25">
      <c r="A1184" s="1" t="s">
        <v>1196</v>
      </c>
      <c r="B1184" t="str">
        <f>HYPERLINK("https://www.suredividend.com/sure-analysis-research-database/","PotlatchDeltic Corp")</f>
        <v>PotlatchDeltic Corp</v>
      </c>
      <c r="C1184" t="s">
        <v>1799</v>
      </c>
      <c r="D1184">
        <v>47.72</v>
      </c>
      <c r="E1184">
        <v>3.6721690665030997E-2</v>
      </c>
      <c r="F1184">
        <v>-0.52631578947368429</v>
      </c>
      <c r="G1184">
        <v>2.383625553960966E-2</v>
      </c>
      <c r="H1184">
        <v>1.75235907853532</v>
      </c>
      <c r="I1184">
        <v>3813.3661860000002</v>
      </c>
      <c r="J1184">
        <v>57.704833033109367</v>
      </c>
      <c r="K1184">
        <v>2.1320830740179102</v>
      </c>
      <c r="L1184">
        <v>0.9849196036202531</v>
      </c>
      <c r="M1184">
        <v>52.34</v>
      </c>
      <c r="N1184">
        <v>40.5</v>
      </c>
    </row>
    <row r="1185" spans="1:14" x14ac:dyDescent="0.25">
      <c r="A1185" s="1" t="s">
        <v>1197</v>
      </c>
      <c r="B1185" t="str">
        <f>HYPERLINK("https://www.suredividend.com/sure-analysis-research-database/","Pacira BioSciences Inc")</f>
        <v>Pacira BioSciences Inc</v>
      </c>
      <c r="C1185" t="s">
        <v>1802</v>
      </c>
      <c r="D1185">
        <v>32.225000000000001</v>
      </c>
      <c r="E1185">
        <v>0</v>
      </c>
      <c r="F1185" t="s">
        <v>1797</v>
      </c>
      <c r="G1185" t="s">
        <v>1797</v>
      </c>
      <c r="H1185">
        <v>0</v>
      </c>
      <c r="I1185">
        <v>1496.455011</v>
      </c>
      <c r="J1185">
        <v>214.29972954317631</v>
      </c>
      <c r="K1185">
        <v>0</v>
      </c>
      <c r="L1185">
        <v>0.78147687996724202</v>
      </c>
      <c r="M1185">
        <v>48.6</v>
      </c>
      <c r="N1185">
        <v>25.93</v>
      </c>
    </row>
    <row r="1186" spans="1:14" x14ac:dyDescent="0.25">
      <c r="A1186" s="1" t="s">
        <v>1198</v>
      </c>
      <c r="B1186" t="str">
        <f>HYPERLINK("https://www.suredividend.com/sure-analysis-research-database/","PureCycle Technologies Inc")</f>
        <v>PureCycle Technologies Inc</v>
      </c>
      <c r="C1186" t="s">
        <v>1797</v>
      </c>
      <c r="D1186">
        <v>2.4</v>
      </c>
      <c r="E1186">
        <v>0</v>
      </c>
      <c r="F1186" t="s">
        <v>1797</v>
      </c>
      <c r="G1186" t="s">
        <v>1797</v>
      </c>
      <c r="H1186">
        <v>0</v>
      </c>
      <c r="I1186">
        <v>393.742346</v>
      </c>
      <c r="J1186">
        <v>0</v>
      </c>
      <c r="K1186" t="s">
        <v>1797</v>
      </c>
      <c r="L1186">
        <v>2.3107781590273282</v>
      </c>
      <c r="M1186">
        <v>11.89</v>
      </c>
      <c r="N1186">
        <v>2.38</v>
      </c>
    </row>
    <row r="1187" spans="1:14" x14ac:dyDescent="0.25">
      <c r="A1187" s="1" t="s">
        <v>1199</v>
      </c>
      <c r="B1187" t="str">
        <f>HYPERLINK("https://www.suredividend.com/sure-analysis-research-database/","Vaxcyte Inc")</f>
        <v>Vaxcyte Inc</v>
      </c>
      <c r="C1187" t="s">
        <v>1797</v>
      </c>
      <c r="D1187">
        <v>60.72</v>
      </c>
      <c r="E1187">
        <v>0</v>
      </c>
      <c r="F1187" t="s">
        <v>1797</v>
      </c>
      <c r="G1187" t="s">
        <v>1797</v>
      </c>
      <c r="H1187">
        <v>0</v>
      </c>
      <c r="I1187">
        <v>5777.7453539999997</v>
      </c>
      <c r="J1187">
        <v>0</v>
      </c>
      <c r="K1187" t="s">
        <v>1797</v>
      </c>
      <c r="L1187">
        <v>0.74420450879761402</v>
      </c>
      <c r="M1187">
        <v>65.97</v>
      </c>
      <c r="N1187">
        <v>34.11</v>
      </c>
    </row>
    <row r="1188" spans="1:14" x14ac:dyDescent="0.25">
      <c r="A1188" s="1" t="s">
        <v>1200</v>
      </c>
      <c r="B1188" t="str">
        <f>HYPERLINK("https://www.suredividend.com/sure-analysis-research-database/","Pure Cycle Corp.")</f>
        <v>Pure Cycle Corp.</v>
      </c>
      <c r="C1188" t="s">
        <v>1805</v>
      </c>
      <c r="D1188">
        <v>9.99</v>
      </c>
      <c r="E1188">
        <v>0</v>
      </c>
      <c r="F1188" t="s">
        <v>1797</v>
      </c>
      <c r="G1188" t="s">
        <v>1797</v>
      </c>
      <c r="H1188">
        <v>0</v>
      </c>
      <c r="I1188">
        <v>240.616343</v>
      </c>
      <c r="J1188">
        <v>0</v>
      </c>
      <c r="K1188" t="s">
        <v>1797</v>
      </c>
      <c r="L1188">
        <v>0.77142455667010901</v>
      </c>
      <c r="M1188">
        <v>13.07</v>
      </c>
      <c r="N1188">
        <v>8.4700000000000006</v>
      </c>
    </row>
    <row r="1189" spans="1:14" x14ac:dyDescent="0.25">
      <c r="A1189" s="1" t="s">
        <v>1201</v>
      </c>
      <c r="B1189" t="str">
        <f>HYPERLINK("https://www.suredividend.com/sure-analysis-research-database/","Pagerduty Inc")</f>
        <v>Pagerduty Inc</v>
      </c>
      <c r="C1189" t="s">
        <v>1803</v>
      </c>
      <c r="D1189">
        <v>26.23</v>
      </c>
      <c r="E1189">
        <v>0</v>
      </c>
      <c r="F1189" t="s">
        <v>1797</v>
      </c>
      <c r="G1189" t="s">
        <v>1797</v>
      </c>
      <c r="H1189">
        <v>0</v>
      </c>
      <c r="I1189">
        <v>2436.5656060000001</v>
      </c>
      <c r="J1189" t="s">
        <v>1797</v>
      </c>
      <c r="K1189">
        <v>0</v>
      </c>
      <c r="L1189">
        <v>1.8578039475208501</v>
      </c>
      <c r="M1189">
        <v>35.33</v>
      </c>
      <c r="N1189">
        <v>19.18</v>
      </c>
    </row>
    <row r="1190" spans="1:14" x14ac:dyDescent="0.25">
      <c r="A1190" s="1" t="s">
        <v>1202</v>
      </c>
      <c r="B1190" t="str">
        <f>HYPERLINK("https://www.suredividend.com/sure-analysis-PDCO/","Patterson Companies Inc.")</f>
        <v>Patterson Companies Inc.</v>
      </c>
      <c r="C1190" t="s">
        <v>1802</v>
      </c>
      <c r="D1190">
        <v>29.63</v>
      </c>
      <c r="E1190">
        <v>3.5099561255484309E-2</v>
      </c>
      <c r="F1190" t="s">
        <v>1797</v>
      </c>
      <c r="G1190" t="s">
        <v>1797</v>
      </c>
      <c r="H1190">
        <v>1.016324364645391</v>
      </c>
      <c r="I1190">
        <v>2745.5454300000001</v>
      </c>
      <c r="J1190">
        <v>13.72182676449127</v>
      </c>
      <c r="K1190">
        <v>0.49097795393497151</v>
      </c>
      <c r="L1190">
        <v>0.72015951532801403</v>
      </c>
      <c r="M1190">
        <v>33.950000000000003</v>
      </c>
      <c r="N1190">
        <v>24.1</v>
      </c>
    </row>
    <row r="1191" spans="1:14" x14ac:dyDescent="0.25">
      <c r="A1191" s="1" t="s">
        <v>1203</v>
      </c>
      <c r="B1191" t="str">
        <f>HYPERLINK("https://www.suredividend.com/sure-analysis-research-database/","PDF Solutions Inc.")</f>
        <v>PDF Solutions Inc.</v>
      </c>
      <c r="C1191" t="s">
        <v>1803</v>
      </c>
      <c r="D1191">
        <v>30.2</v>
      </c>
      <c r="E1191">
        <v>0</v>
      </c>
      <c r="F1191" t="s">
        <v>1797</v>
      </c>
      <c r="G1191" t="s">
        <v>1797</v>
      </c>
      <c r="H1191">
        <v>0</v>
      </c>
      <c r="I1191">
        <v>1156.6600000000001</v>
      </c>
      <c r="J1191">
        <v>428.23398741206961</v>
      </c>
      <c r="K1191">
        <v>0</v>
      </c>
      <c r="L1191">
        <v>1.2069693944868769</v>
      </c>
      <c r="M1191">
        <v>48.02</v>
      </c>
      <c r="N1191">
        <v>26.12</v>
      </c>
    </row>
    <row r="1192" spans="1:14" x14ac:dyDescent="0.25">
      <c r="A1192" s="1" t="s">
        <v>1204</v>
      </c>
      <c r="B1192" t="str">
        <f>HYPERLINK("https://www.suredividend.com/sure-analysis-research-database/","PDL Biopharma Inc")</f>
        <v>PDL Biopharma Inc</v>
      </c>
      <c r="C1192" t="s">
        <v>1802</v>
      </c>
      <c r="D1192">
        <v>2.4700000000000002</v>
      </c>
      <c r="E1192">
        <v>0</v>
      </c>
      <c r="F1192" t="s">
        <v>1797</v>
      </c>
      <c r="G1192" t="s">
        <v>1797</v>
      </c>
      <c r="H1192">
        <v>7.5879000127315008E-2</v>
      </c>
      <c r="I1192">
        <v>0</v>
      </c>
      <c r="J1192">
        <v>0</v>
      </c>
      <c r="K1192" t="s">
        <v>1797</v>
      </c>
    </row>
    <row r="1193" spans="1:14" x14ac:dyDescent="0.25">
      <c r="A1193" s="1" t="s">
        <v>1205</v>
      </c>
      <c r="B1193" t="str">
        <f>HYPERLINK("https://www.suredividend.com/sure-analysis-PDM/","Piedmont Office Realty Trust Inc")</f>
        <v>Piedmont Office Realty Trust Inc</v>
      </c>
      <c r="C1193" t="s">
        <v>1799</v>
      </c>
      <c r="D1193">
        <v>7.31</v>
      </c>
      <c r="E1193">
        <v>6.8399452804377564E-2</v>
      </c>
      <c r="F1193">
        <v>-0.40476190476190482</v>
      </c>
      <c r="G1193">
        <v>-9.85572635745805E-2</v>
      </c>
      <c r="H1193">
        <v>0.64454043645413406</v>
      </c>
      <c r="I1193">
        <v>904.34512199999995</v>
      </c>
      <c r="J1193">
        <v>16.37950304517134</v>
      </c>
      <c r="K1193">
        <v>1.4422475642294339</v>
      </c>
      <c r="L1193">
        <v>1.7435515178547381</v>
      </c>
      <c r="M1193">
        <v>10.34</v>
      </c>
      <c r="N1193">
        <v>4.8099999999999996</v>
      </c>
    </row>
    <row r="1194" spans="1:14" x14ac:dyDescent="0.25">
      <c r="A1194" s="1" t="s">
        <v>1206</v>
      </c>
      <c r="B1194" t="str">
        <f>HYPERLINK("https://www.suredividend.com/sure-analysis-research-database/","Pebblebrook Hotel Trust")</f>
        <v>Pebblebrook Hotel Trust</v>
      </c>
      <c r="C1194" t="s">
        <v>1799</v>
      </c>
      <c r="D1194">
        <v>15.46</v>
      </c>
      <c r="E1194">
        <v>2.5847007575800001E-3</v>
      </c>
      <c r="F1194">
        <v>0</v>
      </c>
      <c r="G1194">
        <v>-0.51689305515738582</v>
      </c>
      <c r="H1194">
        <v>3.9959473712191003E-2</v>
      </c>
      <c r="I1194">
        <v>1862.9587710000001</v>
      </c>
      <c r="J1194" t="s">
        <v>1797</v>
      </c>
      <c r="K1194" t="s">
        <v>1797</v>
      </c>
      <c r="L1194">
        <v>1.519472740884495</v>
      </c>
      <c r="M1194">
        <v>17.329999999999998</v>
      </c>
      <c r="N1194">
        <v>11.38</v>
      </c>
    </row>
    <row r="1195" spans="1:14" x14ac:dyDescent="0.25">
      <c r="A1195" s="1" t="s">
        <v>1207</v>
      </c>
      <c r="B1195" t="str">
        <f>HYPERLINK("https://www.suredividend.com/sure-analysis-research-database/","Peoples Bancorp, Inc. (Marietta, OH)")</f>
        <v>Peoples Bancorp, Inc. (Marietta, OH)</v>
      </c>
      <c r="C1195" t="s">
        <v>1800</v>
      </c>
      <c r="D1195">
        <v>31.44</v>
      </c>
      <c r="E1195">
        <v>4.7268950682800001E-2</v>
      </c>
      <c r="F1195" t="s">
        <v>1797</v>
      </c>
      <c r="G1195" t="s">
        <v>1797</v>
      </c>
      <c r="H1195">
        <v>1.4861358094672339</v>
      </c>
      <c r="I1195">
        <v>1111.85202</v>
      </c>
      <c r="J1195">
        <v>10.534088945313981</v>
      </c>
      <c r="K1195">
        <v>0.43454263434714452</v>
      </c>
      <c r="L1195">
        <v>0.91287096525923606</v>
      </c>
      <c r="M1195">
        <v>34.85</v>
      </c>
      <c r="N1195">
        <v>21.61</v>
      </c>
    </row>
    <row r="1196" spans="1:14" x14ac:dyDescent="0.25">
      <c r="A1196" s="1" t="s">
        <v>1208</v>
      </c>
      <c r="B1196" t="str">
        <f>HYPERLINK("https://www.suredividend.com/sure-analysis-PECO/","Phillips Edison &amp; Company Inc")</f>
        <v>Phillips Edison &amp; Company Inc</v>
      </c>
      <c r="C1196" t="s">
        <v>1797</v>
      </c>
      <c r="D1196">
        <v>35.61</v>
      </c>
      <c r="E1196">
        <v>3.285593934288121E-2</v>
      </c>
      <c r="F1196">
        <v>0</v>
      </c>
      <c r="G1196">
        <v>1.6137364741595661E-2</v>
      </c>
      <c r="H1196">
        <v>1.114392220336045</v>
      </c>
      <c r="I1196">
        <v>4258.9560000000001</v>
      </c>
      <c r="J1196">
        <v>74.727703402172196</v>
      </c>
      <c r="K1196">
        <v>2.326497328467735</v>
      </c>
      <c r="L1196">
        <v>0.91499787134748012</v>
      </c>
      <c r="M1196">
        <v>37.82</v>
      </c>
      <c r="N1196">
        <v>26.87</v>
      </c>
    </row>
    <row r="1197" spans="1:14" x14ac:dyDescent="0.25">
      <c r="A1197" s="1" t="s">
        <v>1209</v>
      </c>
      <c r="B1197" t="str">
        <f>HYPERLINK("https://www.suredividend.com/sure-analysis-research-database/","PepGen Inc")</f>
        <v>PepGen Inc</v>
      </c>
      <c r="C1197" t="s">
        <v>1797</v>
      </c>
      <c r="D1197">
        <v>6.87</v>
      </c>
      <c r="E1197">
        <v>0</v>
      </c>
      <c r="F1197" t="s">
        <v>1797</v>
      </c>
      <c r="G1197" t="s">
        <v>1797</v>
      </c>
      <c r="H1197">
        <v>0</v>
      </c>
      <c r="I1197">
        <v>163.59906799999999</v>
      </c>
      <c r="J1197">
        <v>0</v>
      </c>
      <c r="K1197" t="s">
        <v>1797</v>
      </c>
      <c r="L1197">
        <v>1.076435600600065</v>
      </c>
      <c r="M1197">
        <v>20</v>
      </c>
      <c r="N1197">
        <v>3.72</v>
      </c>
    </row>
    <row r="1198" spans="1:14" x14ac:dyDescent="0.25">
      <c r="A1198" s="1" t="s">
        <v>1210</v>
      </c>
      <c r="B1198" t="str">
        <f>HYPERLINK("https://www.suredividend.com/sure-analysis-research-database/","PetIQ Inc")</f>
        <v>PetIQ Inc</v>
      </c>
      <c r="C1198" t="s">
        <v>1802</v>
      </c>
      <c r="D1198">
        <v>18.34</v>
      </c>
      <c r="E1198">
        <v>0</v>
      </c>
      <c r="F1198" t="s">
        <v>1797</v>
      </c>
      <c r="G1198" t="s">
        <v>1797</v>
      </c>
      <c r="H1198">
        <v>0</v>
      </c>
      <c r="I1198">
        <v>535.30344500000001</v>
      </c>
      <c r="J1198">
        <v>41.876198469842763</v>
      </c>
      <c r="K1198">
        <v>0</v>
      </c>
      <c r="L1198">
        <v>1.2293797973561149</v>
      </c>
      <c r="M1198">
        <v>22.98</v>
      </c>
      <c r="N1198">
        <v>9.08</v>
      </c>
    </row>
    <row r="1199" spans="1:14" x14ac:dyDescent="0.25">
      <c r="A1199" s="1" t="s">
        <v>1211</v>
      </c>
      <c r="B1199" t="str">
        <f>HYPERLINK("https://www.suredividend.com/sure-analysis-PETS/","Petmed Express, Inc.")</f>
        <v>Petmed Express, Inc.</v>
      </c>
      <c r="C1199" t="s">
        <v>1802</v>
      </c>
      <c r="D1199">
        <v>7.25</v>
      </c>
      <c r="E1199">
        <v>9.3793103448275864E-2</v>
      </c>
      <c r="F1199" t="s">
        <v>1797</v>
      </c>
      <c r="G1199" t="s">
        <v>1797</v>
      </c>
      <c r="H1199">
        <v>0.88603659442755411</v>
      </c>
      <c r="I1199">
        <v>153.31579400000001</v>
      </c>
      <c r="J1199" t="s">
        <v>1797</v>
      </c>
      <c r="K1199" t="s">
        <v>1797</v>
      </c>
      <c r="L1199">
        <v>1.075704067214506</v>
      </c>
      <c r="M1199">
        <v>21.78</v>
      </c>
      <c r="N1199">
        <v>5.5</v>
      </c>
    </row>
    <row r="1200" spans="1:14" x14ac:dyDescent="0.25">
      <c r="A1200" s="1" t="s">
        <v>1212</v>
      </c>
      <c r="B1200" t="str">
        <f>HYPERLINK("https://www.suredividend.com/sure-analysis-research-database/","Preferred Bank (Los Angeles, CA)")</f>
        <v>Preferred Bank (Los Angeles, CA)</v>
      </c>
      <c r="C1200" t="s">
        <v>1800</v>
      </c>
      <c r="D1200">
        <v>72.540000000000006</v>
      </c>
      <c r="E1200">
        <v>3.1553806410552013E-2</v>
      </c>
      <c r="F1200">
        <v>0.27272727272727271</v>
      </c>
      <c r="G1200">
        <v>0.18466445254224409</v>
      </c>
      <c r="H1200">
        <v>2.2889131170214441</v>
      </c>
      <c r="I1200">
        <v>956.73005999999998</v>
      </c>
      <c r="J1200">
        <v>6.790617219107105</v>
      </c>
      <c r="K1200">
        <v>0.23917587429691159</v>
      </c>
      <c r="L1200">
        <v>1.2898188196970051</v>
      </c>
      <c r="M1200">
        <v>76.16</v>
      </c>
      <c r="N1200">
        <v>40.07</v>
      </c>
    </row>
    <row r="1201" spans="1:14" x14ac:dyDescent="0.25">
      <c r="A1201" s="1" t="s">
        <v>1213</v>
      </c>
      <c r="B1201" t="str">
        <f>HYPERLINK("https://www.suredividend.com/sure-analysis-research-database/","Premier Financial Corp")</f>
        <v>Premier Financial Corp</v>
      </c>
      <c r="C1201" t="s">
        <v>1797</v>
      </c>
      <c r="D1201">
        <v>22.62</v>
      </c>
      <c r="E1201">
        <v>5.2186465306624012E-2</v>
      </c>
      <c r="F1201">
        <v>3.3333333333333208E-2</v>
      </c>
      <c r="G1201">
        <v>0.10286313147853</v>
      </c>
      <c r="H1201">
        <v>1.180457845235843</v>
      </c>
      <c r="I1201">
        <v>808.27523499999995</v>
      </c>
      <c r="J1201">
        <v>6.9456160827346789</v>
      </c>
      <c r="K1201">
        <v>0.36321779853410552</v>
      </c>
      <c r="L1201">
        <v>1.384434348471913</v>
      </c>
      <c r="M1201">
        <v>24.92</v>
      </c>
      <c r="N1201">
        <v>12.77</v>
      </c>
    </row>
    <row r="1202" spans="1:14" x14ac:dyDescent="0.25">
      <c r="A1202" s="1" t="s">
        <v>1214</v>
      </c>
      <c r="B1202" t="str">
        <f>HYPERLINK("https://www.suredividend.com/sure-analysis-research-database/","Peoples Financial Services Corp")</f>
        <v>Peoples Financial Services Corp</v>
      </c>
      <c r="C1202" t="s">
        <v>1800</v>
      </c>
      <c r="D1202">
        <v>45.9</v>
      </c>
      <c r="E1202">
        <v>3.4716791722162001E-2</v>
      </c>
      <c r="F1202">
        <v>2.4999999999999911E-2</v>
      </c>
      <c r="G1202">
        <v>3.8152102716594083E-2</v>
      </c>
      <c r="H1202">
        <v>1.593500740047272</v>
      </c>
      <c r="I1202">
        <v>323.17506100000003</v>
      </c>
      <c r="J1202">
        <v>0</v>
      </c>
      <c r="K1202" t="s">
        <v>1797</v>
      </c>
      <c r="L1202">
        <v>1.0282630533197941</v>
      </c>
      <c r="M1202">
        <v>50.82</v>
      </c>
      <c r="N1202">
        <v>28.83</v>
      </c>
    </row>
    <row r="1203" spans="1:14" x14ac:dyDescent="0.25">
      <c r="A1203" s="1" t="s">
        <v>1215</v>
      </c>
      <c r="B1203" t="str">
        <f>HYPERLINK("https://www.suredividend.com/sure-analysis-research-database/","Provident Financial Services Inc")</f>
        <v>Provident Financial Services Inc</v>
      </c>
      <c r="C1203" t="s">
        <v>1800</v>
      </c>
      <c r="D1203">
        <v>16.98</v>
      </c>
      <c r="E1203">
        <v>5.5271476982709997E-2</v>
      </c>
      <c r="F1203">
        <v>0</v>
      </c>
      <c r="G1203">
        <v>3.7137289336648172E-2</v>
      </c>
      <c r="H1203">
        <v>0.93850967916643102</v>
      </c>
      <c r="I1203">
        <v>1283.934397</v>
      </c>
      <c r="J1203">
        <v>8.5525495545652568</v>
      </c>
      <c r="K1203">
        <v>0.46692023839125929</v>
      </c>
      <c r="L1203">
        <v>1.3644119905102321</v>
      </c>
      <c r="M1203">
        <v>23.25</v>
      </c>
      <c r="N1203">
        <v>13.21</v>
      </c>
    </row>
    <row r="1204" spans="1:14" x14ac:dyDescent="0.25">
      <c r="A1204" s="1" t="s">
        <v>1216</v>
      </c>
      <c r="B1204" t="str">
        <f>HYPERLINK("https://www.suredividend.com/sure-analysis-research-database/","PennyMac Financial Services Inc.")</f>
        <v>PennyMac Financial Services Inc.</v>
      </c>
      <c r="C1204" t="s">
        <v>1800</v>
      </c>
      <c r="D1204">
        <v>86.26</v>
      </c>
      <c r="E1204">
        <v>9.234510094903E-3</v>
      </c>
      <c r="F1204" t="s">
        <v>1797</v>
      </c>
      <c r="G1204" t="s">
        <v>1797</v>
      </c>
      <c r="H1204">
        <v>0.79656884078640611</v>
      </c>
      <c r="I1204">
        <v>4306.5953680000002</v>
      </c>
      <c r="J1204">
        <v>19.65449817456587</v>
      </c>
      <c r="K1204">
        <v>0.19194429898467619</v>
      </c>
      <c r="L1204">
        <v>1.414890306219039</v>
      </c>
      <c r="M1204">
        <v>93.5</v>
      </c>
      <c r="N1204">
        <v>53.52</v>
      </c>
    </row>
    <row r="1205" spans="1:14" x14ac:dyDescent="0.25">
      <c r="A1205" s="1" t="s">
        <v>1217</v>
      </c>
      <c r="B1205" t="str">
        <f>HYPERLINK("https://www.suredividend.com/sure-analysis-research-database/","PFSWEB Inc")</f>
        <v>PFSWEB Inc</v>
      </c>
      <c r="C1205" t="s">
        <v>1798</v>
      </c>
      <c r="D1205">
        <v>7.49</v>
      </c>
      <c r="E1205">
        <v>0</v>
      </c>
      <c r="F1205" t="s">
        <v>1797</v>
      </c>
      <c r="G1205" t="s">
        <v>1797</v>
      </c>
      <c r="H1205">
        <v>0</v>
      </c>
      <c r="I1205">
        <v>0</v>
      </c>
      <c r="J1205">
        <v>0</v>
      </c>
      <c r="K1205">
        <v>0</v>
      </c>
    </row>
    <row r="1206" spans="1:14" x14ac:dyDescent="0.25">
      <c r="A1206" s="1" t="s">
        <v>1218</v>
      </c>
      <c r="B1206" t="str">
        <f>HYPERLINK("https://www.suredividend.com/sure-analysis-research-database/","Peapack-Gladstone Financial Corp.")</f>
        <v>Peapack-Gladstone Financial Corp.</v>
      </c>
      <c r="C1206" t="s">
        <v>1800</v>
      </c>
      <c r="D1206">
        <v>27.84</v>
      </c>
      <c r="E1206">
        <v>7.1597188917020002E-3</v>
      </c>
      <c r="F1206">
        <v>0</v>
      </c>
      <c r="G1206">
        <v>0</v>
      </c>
      <c r="H1206">
        <v>0.199326573944997</v>
      </c>
      <c r="I1206">
        <v>496.06784699999997</v>
      </c>
      <c r="J1206">
        <v>8.154450592760627</v>
      </c>
      <c r="K1206">
        <v>5.9500469834327462E-2</v>
      </c>
      <c r="L1206">
        <v>1.4965646012716001</v>
      </c>
      <c r="M1206">
        <v>38.64</v>
      </c>
      <c r="N1206">
        <v>21.53</v>
      </c>
    </row>
    <row r="1207" spans="1:14" x14ac:dyDescent="0.25">
      <c r="A1207" s="1" t="s">
        <v>1219</v>
      </c>
      <c r="B1207" t="str">
        <f>HYPERLINK("https://www.suredividend.com/sure-analysis-research-database/","Precigen Inc")</f>
        <v>Precigen Inc</v>
      </c>
      <c r="C1207" t="s">
        <v>1802</v>
      </c>
      <c r="D1207">
        <v>1.37</v>
      </c>
      <c r="E1207">
        <v>0</v>
      </c>
      <c r="F1207" t="s">
        <v>1797</v>
      </c>
      <c r="G1207" t="s">
        <v>1797</v>
      </c>
      <c r="H1207">
        <v>0</v>
      </c>
      <c r="I1207">
        <v>341.01916199999999</v>
      </c>
      <c r="J1207" t="s">
        <v>1797</v>
      </c>
      <c r="K1207">
        <v>0</v>
      </c>
      <c r="L1207">
        <v>2.2202280745287819</v>
      </c>
      <c r="M1207">
        <v>2.29</v>
      </c>
      <c r="N1207">
        <v>0.80500000000000005</v>
      </c>
    </row>
    <row r="1208" spans="1:14" x14ac:dyDescent="0.25">
      <c r="A1208" s="1" t="s">
        <v>1220</v>
      </c>
      <c r="B1208" t="str">
        <f>HYPERLINK("https://www.suredividend.com/sure-analysis-research-database/","Progyny Inc")</f>
        <v>Progyny Inc</v>
      </c>
      <c r="C1208" t="s">
        <v>1802</v>
      </c>
      <c r="D1208">
        <v>38.99</v>
      </c>
      <c r="E1208">
        <v>0</v>
      </c>
      <c r="F1208" t="s">
        <v>1797</v>
      </c>
      <c r="G1208" t="s">
        <v>1797</v>
      </c>
      <c r="H1208">
        <v>0</v>
      </c>
      <c r="I1208">
        <v>3736.6545299999998</v>
      </c>
      <c r="J1208">
        <v>71.893305045117856</v>
      </c>
      <c r="K1208">
        <v>0</v>
      </c>
      <c r="L1208">
        <v>1.103043559509175</v>
      </c>
      <c r="M1208">
        <v>44.95</v>
      </c>
      <c r="N1208">
        <v>29.44</v>
      </c>
    </row>
    <row r="1209" spans="1:14" x14ac:dyDescent="0.25">
      <c r="A1209" s="1" t="s">
        <v>1221</v>
      </c>
      <c r="B1209" t="str">
        <f>HYPERLINK("https://www.suredividend.com/sure-analysis-PGRE/","Paramount Group Inc")</f>
        <v>Paramount Group Inc</v>
      </c>
      <c r="C1209" t="s">
        <v>1799</v>
      </c>
      <c r="D1209">
        <v>4.8600000000000003</v>
      </c>
      <c r="E1209">
        <v>2.8806584362139918E-2</v>
      </c>
      <c r="F1209">
        <v>-0.54838709677419351</v>
      </c>
      <c r="G1209">
        <v>-0.18938691690105089</v>
      </c>
      <c r="H1209">
        <v>0.180073489985624</v>
      </c>
      <c r="I1209">
        <v>1056.3380440000001</v>
      </c>
      <c r="J1209" t="s">
        <v>1797</v>
      </c>
      <c r="K1209" t="s">
        <v>1797</v>
      </c>
      <c r="L1209">
        <v>1.4823634260365171</v>
      </c>
      <c r="M1209">
        <v>6.48</v>
      </c>
      <c r="N1209">
        <v>3.75</v>
      </c>
    </row>
    <row r="1210" spans="1:14" x14ac:dyDescent="0.25">
      <c r="A1210" s="1" t="s">
        <v>1222</v>
      </c>
      <c r="B1210" t="str">
        <f>HYPERLINK("https://www.suredividend.com/sure-analysis-research-database/","PGT Innovations Inc")</f>
        <v>PGT Innovations Inc</v>
      </c>
      <c r="C1210" t="s">
        <v>1798</v>
      </c>
      <c r="D1210">
        <v>41.5</v>
      </c>
      <c r="E1210">
        <v>0</v>
      </c>
      <c r="F1210" t="s">
        <v>1797</v>
      </c>
      <c r="G1210" t="s">
        <v>1797</v>
      </c>
      <c r="H1210">
        <v>0</v>
      </c>
      <c r="I1210">
        <v>2367.570643</v>
      </c>
      <c r="J1210">
        <v>20.8275402903013</v>
      </c>
      <c r="K1210">
        <v>0</v>
      </c>
      <c r="L1210">
        <v>1.2571152965199299</v>
      </c>
      <c r="M1210">
        <v>41.97</v>
      </c>
      <c r="N1210">
        <v>19.18</v>
      </c>
    </row>
    <row r="1211" spans="1:14" x14ac:dyDescent="0.25">
      <c r="A1211" s="1" t="s">
        <v>1223</v>
      </c>
      <c r="B1211" t="str">
        <f>HYPERLINK("https://www.suredividend.com/sure-analysis-research-database/","Phathom Pharmaceuticals Inc")</f>
        <v>Phathom Pharmaceuticals Inc</v>
      </c>
      <c r="C1211" t="s">
        <v>1802</v>
      </c>
      <c r="D1211">
        <v>7.56</v>
      </c>
      <c r="E1211">
        <v>0</v>
      </c>
      <c r="F1211" t="s">
        <v>1797</v>
      </c>
      <c r="G1211" t="s">
        <v>1797</v>
      </c>
      <c r="H1211">
        <v>0</v>
      </c>
      <c r="I1211">
        <v>432.82904400000001</v>
      </c>
      <c r="J1211">
        <v>0</v>
      </c>
      <c r="K1211" t="s">
        <v>1797</v>
      </c>
      <c r="L1211">
        <v>1.169712198844544</v>
      </c>
      <c r="M1211">
        <v>17.02</v>
      </c>
      <c r="N1211">
        <v>5.84</v>
      </c>
    </row>
    <row r="1212" spans="1:14" x14ac:dyDescent="0.25">
      <c r="A1212" s="1" t="s">
        <v>1224</v>
      </c>
      <c r="B1212" t="str">
        <f>HYPERLINK("https://www.suredividend.com/sure-analysis-research-database/","Phreesia Inc")</f>
        <v>Phreesia Inc</v>
      </c>
      <c r="C1212" t="s">
        <v>1802</v>
      </c>
      <c r="D1212">
        <v>24.15</v>
      </c>
      <c r="E1212">
        <v>0</v>
      </c>
      <c r="F1212" t="s">
        <v>1797</v>
      </c>
      <c r="G1212" t="s">
        <v>1797</v>
      </c>
      <c r="H1212">
        <v>0</v>
      </c>
      <c r="I1212">
        <v>1343.5838490000001</v>
      </c>
      <c r="J1212" t="s">
        <v>1797</v>
      </c>
      <c r="K1212">
        <v>0</v>
      </c>
      <c r="L1212">
        <v>2.250627032448385</v>
      </c>
      <c r="M1212">
        <v>40</v>
      </c>
      <c r="N1212">
        <v>12.05</v>
      </c>
    </row>
    <row r="1213" spans="1:14" x14ac:dyDescent="0.25">
      <c r="A1213" s="1" t="s">
        <v>1225</v>
      </c>
      <c r="B1213" t="str">
        <f>HYPERLINK("https://www.suredividend.com/sure-analysis-research-database/","Impinj Inc")</f>
        <v>Impinj Inc</v>
      </c>
      <c r="C1213" t="s">
        <v>1803</v>
      </c>
      <c r="D1213">
        <v>79.8</v>
      </c>
      <c r="E1213">
        <v>0</v>
      </c>
      <c r="F1213" t="s">
        <v>1797</v>
      </c>
      <c r="G1213" t="s">
        <v>1797</v>
      </c>
      <c r="H1213">
        <v>0</v>
      </c>
      <c r="I1213">
        <v>2159.0577880000001</v>
      </c>
      <c r="J1213" t="s">
        <v>1797</v>
      </c>
      <c r="K1213">
        <v>0</v>
      </c>
      <c r="L1213">
        <v>1.4730828926689099</v>
      </c>
      <c r="M1213">
        <v>144.9</v>
      </c>
      <c r="N1213">
        <v>48.39</v>
      </c>
    </row>
    <row r="1214" spans="1:14" x14ac:dyDescent="0.25">
      <c r="A1214" s="1" t="s">
        <v>1226</v>
      </c>
      <c r="B1214" t="str">
        <f>HYPERLINK("https://www.suredividend.com/sure-analysis-research-database/","P3 Health Partners Inc")</f>
        <v>P3 Health Partners Inc</v>
      </c>
      <c r="C1214" t="s">
        <v>1797</v>
      </c>
      <c r="D1214">
        <v>1.31</v>
      </c>
      <c r="E1214">
        <v>0</v>
      </c>
      <c r="F1214" t="s">
        <v>1797</v>
      </c>
      <c r="G1214" t="s">
        <v>1797</v>
      </c>
      <c r="H1214">
        <v>0</v>
      </c>
      <c r="I1214">
        <v>150.96705700000001</v>
      </c>
      <c r="J1214" t="s">
        <v>1797</v>
      </c>
      <c r="K1214">
        <v>0</v>
      </c>
      <c r="L1214">
        <v>0.51361297218845003</v>
      </c>
      <c r="M1214">
        <v>5.56</v>
      </c>
      <c r="N1214">
        <v>0.70030000000000003</v>
      </c>
    </row>
    <row r="1215" spans="1:14" x14ac:dyDescent="0.25">
      <c r="A1215" s="1" t="s">
        <v>1227</v>
      </c>
      <c r="B1215" t="str">
        <f>HYPERLINK("https://www.suredividend.com/sure-analysis-research-database/","Piper Sandler Co`s")</f>
        <v>Piper Sandler Co`s</v>
      </c>
      <c r="C1215" t="s">
        <v>1800</v>
      </c>
      <c r="D1215">
        <v>165.54</v>
      </c>
      <c r="E1215">
        <v>2.1861456341580002E-2</v>
      </c>
      <c r="F1215">
        <v>-0.51999999999999991</v>
      </c>
      <c r="G1215">
        <v>9.8560543306117854E-2</v>
      </c>
      <c r="H1215">
        <v>3.6189454827852439</v>
      </c>
      <c r="I1215">
        <v>2931.6418870000002</v>
      </c>
      <c r="J1215">
        <v>0</v>
      </c>
      <c r="K1215" t="s">
        <v>1797</v>
      </c>
      <c r="L1215">
        <v>1.2821416685645171</v>
      </c>
      <c r="M1215">
        <v>182.87</v>
      </c>
      <c r="N1215">
        <v>119.41</v>
      </c>
    </row>
    <row r="1216" spans="1:14" x14ac:dyDescent="0.25">
      <c r="A1216" s="1" t="s">
        <v>1228</v>
      </c>
      <c r="B1216" t="str">
        <f>HYPERLINK("https://www.suredividend.com/sure-analysis-research-database/","PJT Partners Inc")</f>
        <v>PJT Partners Inc</v>
      </c>
      <c r="C1216" t="s">
        <v>1800</v>
      </c>
      <c r="D1216">
        <v>95.07</v>
      </c>
      <c r="E1216">
        <v>1.0472177619666999E-2</v>
      </c>
      <c r="F1216">
        <v>0</v>
      </c>
      <c r="G1216">
        <v>0.3797296614612149</v>
      </c>
      <c r="H1216">
        <v>0.99558992630181409</v>
      </c>
      <c r="I1216">
        <v>2304.537965</v>
      </c>
      <c r="J1216">
        <v>28.290077034531858</v>
      </c>
      <c r="K1216">
        <v>0.32642292665633249</v>
      </c>
      <c r="L1216">
        <v>0.68527423277020505</v>
      </c>
      <c r="M1216">
        <v>104.16</v>
      </c>
      <c r="N1216">
        <v>59.05</v>
      </c>
    </row>
    <row r="1217" spans="1:14" x14ac:dyDescent="0.25">
      <c r="A1217" s="1" t="s">
        <v>1229</v>
      </c>
      <c r="B1217" t="str">
        <f>HYPERLINK("https://www.suredividend.com/sure-analysis-research-database/","Parke Bancorp Inc")</f>
        <v>Parke Bancorp Inc</v>
      </c>
      <c r="C1217" t="s">
        <v>1800</v>
      </c>
      <c r="D1217">
        <v>18.02</v>
      </c>
      <c r="E1217">
        <v>3.8788915896505002E-2</v>
      </c>
      <c r="F1217">
        <v>0</v>
      </c>
      <c r="G1217">
        <v>2.383625553960966E-2</v>
      </c>
      <c r="H1217">
        <v>0.69897626445503502</v>
      </c>
      <c r="I1217">
        <v>215.279011</v>
      </c>
      <c r="J1217">
        <v>0</v>
      </c>
      <c r="K1217" t="s">
        <v>1797</v>
      </c>
      <c r="L1217">
        <v>1.0922801242885829</v>
      </c>
      <c r="M1217">
        <v>20.54</v>
      </c>
      <c r="N1217">
        <v>13.97</v>
      </c>
    </row>
    <row r="1218" spans="1:14" x14ac:dyDescent="0.25">
      <c r="A1218" s="1" t="s">
        <v>1230</v>
      </c>
      <c r="B1218" t="str">
        <f>HYPERLINK("https://www.suredividend.com/sure-analysis-research-database/","Park Aerospace Corp")</f>
        <v>Park Aerospace Corp</v>
      </c>
      <c r="C1218" t="s">
        <v>1798</v>
      </c>
      <c r="D1218">
        <v>14.33</v>
      </c>
      <c r="E1218">
        <v>3.4455507119481997E-2</v>
      </c>
      <c r="F1218">
        <v>-0.875</v>
      </c>
      <c r="G1218">
        <v>4.5639552591273169E-2</v>
      </c>
      <c r="H1218">
        <v>0.49374741702217911</v>
      </c>
      <c r="I1218">
        <v>290.23066299999999</v>
      </c>
      <c r="J1218">
        <v>30.521680842359871</v>
      </c>
      <c r="K1218">
        <v>1.061137797167804</v>
      </c>
      <c r="L1218">
        <v>0.75501862317399904</v>
      </c>
      <c r="M1218">
        <v>15.96</v>
      </c>
      <c r="N1218">
        <v>11.61</v>
      </c>
    </row>
    <row r="1219" spans="1:14" x14ac:dyDescent="0.25">
      <c r="A1219" s="1" t="s">
        <v>1231</v>
      </c>
      <c r="B1219" t="str">
        <f>HYPERLINK("https://www.suredividend.com/sure-analysis-research-database/","Planet Labs PBC")</f>
        <v>Planet Labs PBC</v>
      </c>
      <c r="C1219" t="s">
        <v>1797</v>
      </c>
      <c r="D1219">
        <v>2.2000000000000002</v>
      </c>
      <c r="E1219">
        <v>0</v>
      </c>
      <c r="F1219" t="s">
        <v>1797</v>
      </c>
      <c r="G1219" t="s">
        <v>1797</v>
      </c>
      <c r="H1219">
        <v>0</v>
      </c>
      <c r="I1219">
        <v>544.56600000000003</v>
      </c>
      <c r="J1219" t="s">
        <v>1797</v>
      </c>
      <c r="K1219">
        <v>0</v>
      </c>
      <c r="L1219">
        <v>1.9525161695603399</v>
      </c>
      <c r="M1219">
        <v>5.18</v>
      </c>
      <c r="N1219">
        <v>2.04</v>
      </c>
    </row>
    <row r="1220" spans="1:14" x14ac:dyDescent="0.25">
      <c r="A1220" s="1" t="s">
        <v>1232</v>
      </c>
      <c r="B1220" t="str">
        <f>HYPERLINK("https://www.suredividend.com/sure-analysis-research-database/","Photronics, Inc.")</f>
        <v>Photronics, Inc.</v>
      </c>
      <c r="C1220" t="s">
        <v>1803</v>
      </c>
      <c r="D1220">
        <v>28.99</v>
      </c>
      <c r="E1220">
        <v>0</v>
      </c>
      <c r="F1220" t="s">
        <v>1797</v>
      </c>
      <c r="G1220" t="s">
        <v>1797</v>
      </c>
      <c r="H1220">
        <v>0</v>
      </c>
      <c r="I1220">
        <v>1814.9185440000001</v>
      </c>
      <c r="J1220">
        <v>14.463231016774911</v>
      </c>
      <c r="K1220">
        <v>0</v>
      </c>
      <c r="L1220">
        <v>1.865297444414606</v>
      </c>
      <c r="M1220">
        <v>32.6</v>
      </c>
      <c r="N1220">
        <v>13.86</v>
      </c>
    </row>
    <row r="1221" spans="1:14" x14ac:dyDescent="0.25">
      <c r="A1221" s="1" t="s">
        <v>1233</v>
      </c>
      <c r="B1221" t="str">
        <f>HYPERLINK("https://www.suredividend.com/sure-analysis-research-database/","Dave &amp; Buster`s Entertainment Inc")</f>
        <v>Dave &amp; Buster`s Entertainment Inc</v>
      </c>
      <c r="C1221" t="s">
        <v>1801</v>
      </c>
      <c r="D1221">
        <v>49.24</v>
      </c>
      <c r="E1221">
        <v>0</v>
      </c>
      <c r="F1221" t="s">
        <v>1797</v>
      </c>
      <c r="G1221" t="s">
        <v>1797</v>
      </c>
      <c r="H1221">
        <v>0</v>
      </c>
      <c r="I1221">
        <v>1978.9126630000001</v>
      </c>
      <c r="J1221">
        <v>15.22884807203048</v>
      </c>
      <c r="K1221">
        <v>0</v>
      </c>
      <c r="L1221">
        <v>1.2786588321525181</v>
      </c>
      <c r="M1221">
        <v>55.98</v>
      </c>
      <c r="N1221">
        <v>31.65</v>
      </c>
    </row>
    <row r="1222" spans="1:14" x14ac:dyDescent="0.25">
      <c r="A1222" s="1" t="s">
        <v>1234</v>
      </c>
      <c r="B1222" t="str">
        <f>HYPERLINK("https://www.suredividend.com/sure-analysis-research-database/","PLBY Group Inc")</f>
        <v>PLBY Group Inc</v>
      </c>
      <c r="C1222" t="s">
        <v>1797</v>
      </c>
      <c r="D1222">
        <v>1.24</v>
      </c>
      <c r="E1222">
        <v>0</v>
      </c>
      <c r="F1222" t="s">
        <v>1797</v>
      </c>
      <c r="G1222" t="s">
        <v>1797</v>
      </c>
      <c r="H1222">
        <v>0</v>
      </c>
      <c r="I1222">
        <v>91.836616000000006</v>
      </c>
      <c r="J1222">
        <v>0</v>
      </c>
      <c r="K1222" t="s">
        <v>1797</v>
      </c>
      <c r="L1222">
        <v>1.612452208105031</v>
      </c>
      <c r="M1222">
        <v>3.8</v>
      </c>
      <c r="N1222">
        <v>0.43</v>
      </c>
    </row>
    <row r="1223" spans="1:14" x14ac:dyDescent="0.25">
      <c r="A1223" s="1" t="s">
        <v>1235</v>
      </c>
      <c r="B1223" t="str">
        <f>HYPERLINK("https://www.suredividend.com/sure-analysis-research-database/","Childrens Place Inc")</f>
        <v>Childrens Place Inc</v>
      </c>
      <c r="C1223" t="s">
        <v>1801</v>
      </c>
      <c r="D1223">
        <v>21.06</v>
      </c>
      <c r="E1223">
        <v>0</v>
      </c>
      <c r="F1223" t="s">
        <v>1797</v>
      </c>
      <c r="G1223" t="s">
        <v>1797</v>
      </c>
      <c r="H1223">
        <v>0</v>
      </c>
      <c r="I1223">
        <v>262.77246500000001</v>
      </c>
      <c r="J1223" t="s">
        <v>1797</v>
      </c>
      <c r="K1223">
        <v>0</v>
      </c>
      <c r="L1223">
        <v>1.871143594540857</v>
      </c>
      <c r="M1223">
        <v>48.88</v>
      </c>
      <c r="N1223">
        <v>14.27</v>
      </c>
    </row>
    <row r="1224" spans="1:14" x14ac:dyDescent="0.25">
      <c r="A1224" s="1" t="s">
        <v>1236</v>
      </c>
      <c r="B1224" t="str">
        <f>HYPERLINK("https://www.suredividend.com/sure-analysis-research-database/","Piedmont Lithium Inc")</f>
        <v>Piedmont Lithium Inc</v>
      </c>
      <c r="C1224" t="s">
        <v>1808</v>
      </c>
      <c r="D1224">
        <v>22.77</v>
      </c>
      <c r="E1224">
        <v>0</v>
      </c>
      <c r="F1224" t="s">
        <v>1797</v>
      </c>
      <c r="G1224" t="s">
        <v>1797</v>
      </c>
      <c r="H1224">
        <v>0</v>
      </c>
      <c r="I1224">
        <v>437.39637599999998</v>
      </c>
      <c r="J1224">
        <v>0</v>
      </c>
      <c r="K1224" t="s">
        <v>1797</v>
      </c>
      <c r="L1224">
        <v>2.320071162205307</v>
      </c>
      <c r="M1224">
        <v>76.78</v>
      </c>
      <c r="N1224">
        <v>22.52</v>
      </c>
    </row>
    <row r="1225" spans="1:14" x14ac:dyDescent="0.25">
      <c r="A1225" s="1" t="s">
        <v>1237</v>
      </c>
      <c r="B1225" t="str">
        <f>HYPERLINK("https://www.suredividend.com/sure-analysis-research-database/","Polymet Mining Corp")</f>
        <v>Polymet Mining Corp</v>
      </c>
      <c r="C1225" t="s">
        <v>1808</v>
      </c>
      <c r="D1225">
        <v>2.1</v>
      </c>
      <c r="E1225">
        <v>0</v>
      </c>
      <c r="F1225" t="s">
        <v>1797</v>
      </c>
      <c r="G1225" t="s">
        <v>1797</v>
      </c>
      <c r="H1225">
        <v>0</v>
      </c>
      <c r="I1225">
        <v>408.36652700000002</v>
      </c>
      <c r="J1225">
        <v>0</v>
      </c>
      <c r="K1225" t="s">
        <v>1797</v>
      </c>
      <c r="M1225">
        <v>3.22</v>
      </c>
      <c r="N1225">
        <v>0.751</v>
      </c>
    </row>
    <row r="1226" spans="1:14" x14ac:dyDescent="0.25">
      <c r="A1226" s="1" t="s">
        <v>1238</v>
      </c>
      <c r="B1226" t="str">
        <f>HYPERLINK("https://www.suredividend.com/sure-analysis-research-database/","Palomar Holdings Inc")</f>
        <v>Palomar Holdings Inc</v>
      </c>
      <c r="C1226" t="s">
        <v>1800</v>
      </c>
      <c r="D1226">
        <v>62.72</v>
      </c>
      <c r="E1226">
        <v>0</v>
      </c>
      <c r="F1226" t="s">
        <v>1797</v>
      </c>
      <c r="G1226" t="s">
        <v>1797</v>
      </c>
      <c r="H1226">
        <v>0</v>
      </c>
      <c r="I1226">
        <v>1549.184</v>
      </c>
      <c r="J1226">
        <v>21.49703739679456</v>
      </c>
      <c r="K1226">
        <v>0</v>
      </c>
      <c r="L1226">
        <v>0.81474274234943611</v>
      </c>
      <c r="M1226">
        <v>64.41</v>
      </c>
      <c r="N1226">
        <v>46.09</v>
      </c>
    </row>
    <row r="1227" spans="1:14" x14ac:dyDescent="0.25">
      <c r="A1227" s="1" t="s">
        <v>1239</v>
      </c>
      <c r="B1227" t="str">
        <f>HYPERLINK("https://www.suredividend.com/sure-analysis-research-database/","Douglas Dynamics Inc")</f>
        <v>Douglas Dynamics Inc</v>
      </c>
      <c r="C1227" t="s">
        <v>1801</v>
      </c>
      <c r="D1227">
        <v>25.73</v>
      </c>
      <c r="E1227">
        <v>4.5206181059716001E-2</v>
      </c>
      <c r="F1227">
        <v>1.7241379310344751E-2</v>
      </c>
      <c r="G1227">
        <v>1.5993903297962579E-2</v>
      </c>
      <c r="H1227">
        <v>1.1631550386665039</v>
      </c>
      <c r="I1227">
        <v>591.37741900000003</v>
      </c>
      <c r="J1227">
        <v>21.620203248272581</v>
      </c>
      <c r="K1227">
        <v>0.97744120896344877</v>
      </c>
      <c r="L1227">
        <v>1.0340431558325101</v>
      </c>
      <c r="M1227">
        <v>39.85</v>
      </c>
      <c r="N1227">
        <v>22.93</v>
      </c>
    </row>
    <row r="1228" spans="1:14" x14ac:dyDescent="0.25">
      <c r="A1228" s="1" t="s">
        <v>1240</v>
      </c>
      <c r="B1228" t="str">
        <f>HYPERLINK("https://www.suredividend.com/sure-analysis-research-database/","Preformed Line Products Co.")</f>
        <v>Preformed Line Products Co.</v>
      </c>
      <c r="C1228" t="s">
        <v>1798</v>
      </c>
      <c r="D1228">
        <v>124.99</v>
      </c>
      <c r="E1228">
        <v>6.3735012891900002E-3</v>
      </c>
      <c r="F1228">
        <v>0</v>
      </c>
      <c r="G1228">
        <v>0</v>
      </c>
      <c r="H1228">
        <v>0.79662392613586808</v>
      </c>
      <c r="I1228">
        <v>611.63468999999998</v>
      </c>
      <c r="J1228">
        <v>8.3203151951408625</v>
      </c>
      <c r="K1228">
        <v>5.4377059804496107E-2</v>
      </c>
      <c r="L1228">
        <v>0.87941155503709811</v>
      </c>
      <c r="M1228">
        <v>183.79</v>
      </c>
      <c r="N1228">
        <v>82.47</v>
      </c>
    </row>
    <row r="1229" spans="1:14" x14ac:dyDescent="0.25">
      <c r="A1229" s="1" t="s">
        <v>1241</v>
      </c>
      <c r="B1229" t="str">
        <f>HYPERLINK("https://www.suredividend.com/sure-analysis-research-database/","ePlus Inc")</f>
        <v>ePlus Inc</v>
      </c>
      <c r="C1229" t="s">
        <v>1803</v>
      </c>
      <c r="D1229">
        <v>76.819999999999993</v>
      </c>
      <c r="E1229">
        <v>0</v>
      </c>
      <c r="F1229" t="s">
        <v>1797</v>
      </c>
      <c r="G1229" t="s">
        <v>1797</v>
      </c>
      <c r="H1229">
        <v>0</v>
      </c>
      <c r="I1229">
        <v>2067.0803190000001</v>
      </c>
      <c r="J1229">
        <v>15.305017205961841</v>
      </c>
      <c r="K1229">
        <v>0</v>
      </c>
      <c r="L1229">
        <v>0.90788911979772902</v>
      </c>
      <c r="M1229">
        <v>81.45</v>
      </c>
      <c r="N1229">
        <v>41.71</v>
      </c>
    </row>
    <row r="1230" spans="1:14" x14ac:dyDescent="0.25">
      <c r="A1230" s="1" t="s">
        <v>1242</v>
      </c>
      <c r="B1230" t="str">
        <f>HYPERLINK("https://www.suredividend.com/sure-analysis-research-database/","Plexus Corp.")</f>
        <v>Plexus Corp.</v>
      </c>
      <c r="C1230" t="s">
        <v>1803</v>
      </c>
      <c r="D1230">
        <v>102.93</v>
      </c>
      <c r="E1230">
        <v>0</v>
      </c>
      <c r="F1230" t="s">
        <v>1797</v>
      </c>
      <c r="G1230" t="s">
        <v>1797</v>
      </c>
      <c r="H1230">
        <v>0</v>
      </c>
      <c r="I1230">
        <v>2831.0060709999998</v>
      </c>
      <c r="J1230">
        <v>20.353186124778929</v>
      </c>
      <c r="K1230">
        <v>0</v>
      </c>
      <c r="L1230">
        <v>0.82949790000188706</v>
      </c>
      <c r="M1230">
        <v>115.36</v>
      </c>
      <c r="N1230">
        <v>83.84</v>
      </c>
    </row>
    <row r="1231" spans="1:14" x14ac:dyDescent="0.25">
      <c r="A1231" s="1" t="s">
        <v>1243</v>
      </c>
      <c r="B1231" t="str">
        <f>HYPERLINK("https://www.suredividend.com/sure-analysis-PLYM/","Plymouth Industrial Reit Inc")</f>
        <v>Plymouth Industrial Reit Inc</v>
      </c>
      <c r="C1231" t="s">
        <v>1799</v>
      </c>
      <c r="D1231">
        <v>22.97</v>
      </c>
      <c r="E1231">
        <v>3.9181541140618198E-2</v>
      </c>
      <c r="F1231">
        <v>2.2727272727272711E-2</v>
      </c>
      <c r="G1231">
        <v>-9.7119548552565771E-2</v>
      </c>
      <c r="H1231">
        <v>0.88679780847327805</v>
      </c>
      <c r="I1231">
        <v>1039.3967259999999</v>
      </c>
      <c r="J1231">
        <v>0</v>
      </c>
      <c r="K1231" t="s">
        <v>1797</v>
      </c>
      <c r="L1231">
        <v>1.1134449035711209</v>
      </c>
      <c r="M1231">
        <v>25.31</v>
      </c>
      <c r="N1231">
        <v>18.440000000000001</v>
      </c>
    </row>
    <row r="1232" spans="1:14" x14ac:dyDescent="0.25">
      <c r="A1232" s="1" t="s">
        <v>1244</v>
      </c>
      <c r="B1232" t="str">
        <f>HYPERLINK("https://www.suredividend.com/sure-analysis-PMT/","Pennymac Mortgage Investment Trust")</f>
        <v>Pennymac Mortgage Investment Trust</v>
      </c>
      <c r="C1232" t="s">
        <v>1799</v>
      </c>
      <c r="D1232">
        <v>14.62</v>
      </c>
      <c r="E1232">
        <v>0.1094391244870041</v>
      </c>
      <c r="F1232">
        <v>0</v>
      </c>
      <c r="G1232">
        <v>-3.1739028631201038E-2</v>
      </c>
      <c r="H1232">
        <v>1.53357038060818</v>
      </c>
      <c r="I1232">
        <v>1266.4435229999999</v>
      </c>
      <c r="J1232">
        <v>11.60682164454872</v>
      </c>
      <c r="K1232">
        <v>1.3220434315587759</v>
      </c>
      <c r="L1232">
        <v>1.2279727604219099</v>
      </c>
      <c r="M1232">
        <v>15.49</v>
      </c>
      <c r="N1232">
        <v>9.74</v>
      </c>
    </row>
    <row r="1233" spans="1:14" x14ac:dyDescent="0.25">
      <c r="A1233" s="1" t="s">
        <v>1245</v>
      </c>
      <c r="B1233" t="str">
        <f>HYPERLINK("https://www.suredividend.com/sure-analysis-research-database/","PMV Pharmaceuticals Inc")</f>
        <v>PMV Pharmaceuticals Inc</v>
      </c>
      <c r="C1233" t="s">
        <v>1797</v>
      </c>
      <c r="D1233">
        <v>2.25</v>
      </c>
      <c r="E1233">
        <v>0</v>
      </c>
      <c r="F1233" t="s">
        <v>1797</v>
      </c>
      <c r="G1233" t="s">
        <v>1797</v>
      </c>
      <c r="H1233">
        <v>0</v>
      </c>
      <c r="I1233">
        <v>115.104681</v>
      </c>
      <c r="J1233">
        <v>0</v>
      </c>
      <c r="K1233" t="s">
        <v>1797</v>
      </c>
      <c r="L1233">
        <v>1.777068062665635</v>
      </c>
      <c r="M1233">
        <v>9.7200000000000006</v>
      </c>
      <c r="N1233">
        <v>1.18</v>
      </c>
    </row>
    <row r="1234" spans="1:14" x14ac:dyDescent="0.25">
      <c r="A1234" s="1" t="s">
        <v>1246</v>
      </c>
      <c r="B1234" t="str">
        <f>HYPERLINK("https://www.suredividend.com/sure-analysis-PNM/","PNM Resources Inc")</f>
        <v>PNM Resources Inc</v>
      </c>
      <c r="C1234" t="s">
        <v>1805</v>
      </c>
      <c r="D1234">
        <v>37.17</v>
      </c>
      <c r="E1234">
        <v>4.1700295937584071E-2</v>
      </c>
      <c r="F1234">
        <v>5.7553956834532238E-2</v>
      </c>
      <c r="G1234">
        <v>4.8508291334489639E-2</v>
      </c>
      <c r="H1234">
        <v>1.452088005021966</v>
      </c>
      <c r="I1234">
        <v>3190.4822669999999</v>
      </c>
      <c r="J1234">
        <v>20.74584181300353</v>
      </c>
      <c r="K1234">
        <v>0.81122234917428271</v>
      </c>
      <c r="L1234">
        <v>0.18149302847319199</v>
      </c>
      <c r="M1234">
        <v>48.29</v>
      </c>
      <c r="N1234">
        <v>37.090000000000003</v>
      </c>
    </row>
    <row r="1235" spans="1:14" x14ac:dyDescent="0.25">
      <c r="A1235" s="1" t="s">
        <v>1247</v>
      </c>
      <c r="B1235" t="str">
        <f>HYPERLINK("https://www.suredividend.com/sure-analysis-research-database/","POINT Biopharma Global Inc")</f>
        <v>POINT Biopharma Global Inc</v>
      </c>
      <c r="C1235" t="s">
        <v>1797</v>
      </c>
      <c r="D1235">
        <v>13.68</v>
      </c>
      <c r="E1235">
        <v>0</v>
      </c>
      <c r="F1235" t="s">
        <v>1797</v>
      </c>
      <c r="G1235" t="s">
        <v>1797</v>
      </c>
      <c r="H1235">
        <v>0</v>
      </c>
      <c r="I1235">
        <v>0</v>
      </c>
      <c r="J1235">
        <v>0</v>
      </c>
      <c r="K1235">
        <v>0</v>
      </c>
    </row>
    <row r="1236" spans="1:14" x14ac:dyDescent="0.25">
      <c r="A1236" s="1" t="s">
        <v>1248</v>
      </c>
      <c r="B1236" t="str">
        <f>HYPERLINK("https://www.suredividend.com/sure-analysis-research-database/","Pennant Group Inc")</f>
        <v>Pennant Group Inc</v>
      </c>
      <c r="C1236" t="s">
        <v>1802</v>
      </c>
      <c r="D1236">
        <v>15.15</v>
      </c>
      <c r="E1236">
        <v>0</v>
      </c>
      <c r="F1236" t="s">
        <v>1797</v>
      </c>
      <c r="G1236" t="s">
        <v>1797</v>
      </c>
      <c r="H1236">
        <v>0</v>
      </c>
      <c r="I1236">
        <v>453.38648999999998</v>
      </c>
      <c r="J1236">
        <v>36.259316230806142</v>
      </c>
      <c r="K1236">
        <v>0</v>
      </c>
      <c r="L1236">
        <v>0.695489200862626</v>
      </c>
      <c r="M1236">
        <v>16.39</v>
      </c>
      <c r="N1236">
        <v>10.31</v>
      </c>
    </row>
    <row r="1237" spans="1:14" x14ac:dyDescent="0.25">
      <c r="A1237" s="1" t="s">
        <v>1249</v>
      </c>
      <c r="B1237" t="str">
        <f>HYPERLINK("https://www.suredividend.com/sure-analysis-POR/","Portland General Electric Co")</f>
        <v>Portland General Electric Co</v>
      </c>
      <c r="C1237" t="s">
        <v>1805</v>
      </c>
      <c r="D1237">
        <v>42.32</v>
      </c>
      <c r="E1237">
        <v>4.489603024574669E-2</v>
      </c>
      <c r="F1237">
        <v>4.9723756906077332E-2</v>
      </c>
      <c r="G1237">
        <v>5.5545891648483892E-2</v>
      </c>
      <c r="H1237">
        <v>1.847570898162556</v>
      </c>
      <c r="I1237">
        <v>4279.5635750000001</v>
      </c>
      <c r="J1237">
        <v>20.28229182445498</v>
      </c>
      <c r="K1237">
        <v>0.8360049312952742</v>
      </c>
      <c r="L1237">
        <v>0.65457489780357603</v>
      </c>
      <c r="M1237">
        <v>49.95</v>
      </c>
      <c r="N1237">
        <v>37.590000000000003</v>
      </c>
    </row>
    <row r="1238" spans="1:14" x14ac:dyDescent="0.25">
      <c r="A1238" s="1" t="s">
        <v>1250</v>
      </c>
      <c r="B1238" t="str">
        <f>HYPERLINK("https://www.suredividend.com/sure-analysis-research-database/","Power Integrations Inc.")</f>
        <v>Power Integrations Inc.</v>
      </c>
      <c r="C1238" t="s">
        <v>1803</v>
      </c>
      <c r="D1238">
        <v>77.099999999999994</v>
      </c>
      <c r="E1238">
        <v>9.9153881597720001E-3</v>
      </c>
      <c r="F1238">
        <v>0.1111111111111112</v>
      </c>
      <c r="G1238">
        <v>3.3037804113932312E-2</v>
      </c>
      <c r="H1238">
        <v>0.76447642711848507</v>
      </c>
      <c r="I1238">
        <v>4383.7196489999997</v>
      </c>
      <c r="J1238">
        <v>68.198317480047919</v>
      </c>
      <c r="K1238">
        <v>0.68256823849864734</v>
      </c>
      <c r="L1238">
        <v>1.521765032989711</v>
      </c>
      <c r="M1238">
        <v>98.62</v>
      </c>
      <c r="N1238">
        <v>66.55</v>
      </c>
    </row>
    <row r="1239" spans="1:14" x14ac:dyDescent="0.25">
      <c r="A1239" s="1" t="s">
        <v>1251</v>
      </c>
      <c r="B1239" t="str">
        <f>HYPERLINK("https://www.suredividend.com/sure-analysis-research-database/","Powell Industries, Inc.")</f>
        <v>Powell Industries, Inc.</v>
      </c>
      <c r="C1239" t="s">
        <v>1798</v>
      </c>
      <c r="D1239">
        <v>81.14</v>
      </c>
      <c r="E1239">
        <v>1.2808214843390999E-2</v>
      </c>
      <c r="F1239">
        <v>9.6153846153845812E-3</v>
      </c>
      <c r="G1239">
        <v>1.9157228600665821E-3</v>
      </c>
      <c r="H1239">
        <v>1.039258552392774</v>
      </c>
      <c r="I1239">
        <v>970.42774699999995</v>
      </c>
      <c r="J1239">
        <v>17.797849546446582</v>
      </c>
      <c r="K1239">
        <v>0.230946344976172</v>
      </c>
      <c r="L1239">
        <v>0.84235996630669707</v>
      </c>
      <c r="M1239">
        <v>97.63</v>
      </c>
      <c r="N1239">
        <v>36.32</v>
      </c>
    </row>
    <row r="1240" spans="1:14" x14ac:dyDescent="0.25">
      <c r="A1240" s="1" t="s">
        <v>1252</v>
      </c>
      <c r="B1240" t="str">
        <f>HYPERLINK("https://www.suredividend.com/sure-analysis-research-database/","AMMO Inc")</f>
        <v>AMMO Inc</v>
      </c>
      <c r="C1240" t="s">
        <v>1801</v>
      </c>
      <c r="D1240">
        <v>2.12</v>
      </c>
      <c r="E1240">
        <v>0</v>
      </c>
      <c r="F1240" t="s">
        <v>1797</v>
      </c>
      <c r="G1240" t="s">
        <v>1797</v>
      </c>
      <c r="H1240">
        <v>0</v>
      </c>
      <c r="I1240">
        <v>251.136775</v>
      </c>
      <c r="J1240">
        <v>0</v>
      </c>
      <c r="K1240" t="s">
        <v>1797</v>
      </c>
      <c r="L1240">
        <v>1.4800096090332819</v>
      </c>
      <c r="M1240">
        <v>3.15</v>
      </c>
      <c r="N1240">
        <v>1.57</v>
      </c>
    </row>
    <row r="1241" spans="1:14" x14ac:dyDescent="0.25">
      <c r="A1241" s="1" t="s">
        <v>1253</v>
      </c>
      <c r="B1241" t="str">
        <f>HYPERLINK("https://www.suredividend.com/sure-analysis-research-database/","Pacific Premier Bancorp, Inc.")</f>
        <v>Pacific Premier Bancorp, Inc.</v>
      </c>
      <c r="C1241" t="s">
        <v>1800</v>
      </c>
      <c r="D1241">
        <v>27.65</v>
      </c>
      <c r="E1241">
        <v>4.5551953017859012E-2</v>
      </c>
      <c r="F1241">
        <v>0</v>
      </c>
      <c r="G1241">
        <v>8.4471771197698553E-2</v>
      </c>
      <c r="H1241">
        <v>1.2595115009438169</v>
      </c>
      <c r="I1241">
        <v>2651.6342260000001</v>
      </c>
      <c r="J1241">
        <v>11.220334057480409</v>
      </c>
      <c r="K1241">
        <v>0.5017974107345885</v>
      </c>
      <c r="L1241">
        <v>1.9199031245433209</v>
      </c>
      <c r="M1241">
        <v>32.39</v>
      </c>
      <c r="N1241">
        <v>16.04</v>
      </c>
    </row>
    <row r="1242" spans="1:14" x14ac:dyDescent="0.25">
      <c r="A1242" s="1" t="s">
        <v>1254</v>
      </c>
      <c r="B1242" t="str">
        <f>HYPERLINK("https://www.suredividend.com/sure-analysis-research-database/","Permian Resources Corp")</f>
        <v>Permian Resources Corp</v>
      </c>
      <c r="C1242" t="s">
        <v>1797</v>
      </c>
      <c r="D1242">
        <v>13.36</v>
      </c>
      <c r="E1242">
        <v>2.0099203825461001E-2</v>
      </c>
      <c r="F1242" t="s">
        <v>1797</v>
      </c>
      <c r="G1242" t="s">
        <v>1797</v>
      </c>
      <c r="H1242">
        <v>0.268525363108163</v>
      </c>
      <c r="I1242">
        <v>6800.5968190000003</v>
      </c>
      <c r="J1242">
        <v>22.370237100019079</v>
      </c>
      <c r="K1242">
        <v>0.3054896053562719</v>
      </c>
      <c r="L1242">
        <v>1.1959609562970761</v>
      </c>
      <c r="M1242">
        <v>15.41</v>
      </c>
      <c r="N1242">
        <v>8.84</v>
      </c>
    </row>
    <row r="1243" spans="1:14" x14ac:dyDescent="0.25">
      <c r="A1243" s="1" t="s">
        <v>1255</v>
      </c>
      <c r="B1243" t="str">
        <f>HYPERLINK("https://www.suredividend.com/sure-analysis-research-database/","Proassurance Corporation")</f>
        <v>Proassurance Corporation</v>
      </c>
      <c r="C1243" t="s">
        <v>1800</v>
      </c>
      <c r="D1243">
        <v>12.31</v>
      </c>
      <c r="E1243">
        <v>4.0617384845700001E-3</v>
      </c>
      <c r="F1243" t="s">
        <v>1797</v>
      </c>
      <c r="G1243" t="s">
        <v>1797</v>
      </c>
      <c r="H1243">
        <v>5.0000000745057997E-2</v>
      </c>
      <c r="I1243">
        <v>627.43261199999995</v>
      </c>
      <c r="J1243" t="s">
        <v>1797</v>
      </c>
      <c r="K1243" t="s">
        <v>1797</v>
      </c>
      <c r="L1243">
        <v>0.63318959647140005</v>
      </c>
      <c r="M1243">
        <v>20</v>
      </c>
      <c r="N1243">
        <v>11.87</v>
      </c>
    </row>
    <row r="1244" spans="1:14" x14ac:dyDescent="0.25">
      <c r="A1244" s="1" t="s">
        <v>1256</v>
      </c>
      <c r="B1244" t="str">
        <f>HYPERLINK("https://www.suredividend.com/sure-analysis-research-database/","PRA Group Inc")</f>
        <v>PRA Group Inc</v>
      </c>
      <c r="C1244" t="s">
        <v>1800</v>
      </c>
      <c r="D1244">
        <v>22.9</v>
      </c>
      <c r="E1244">
        <v>0</v>
      </c>
      <c r="F1244" t="s">
        <v>1797</v>
      </c>
      <c r="G1244" t="s">
        <v>1797</v>
      </c>
      <c r="H1244">
        <v>0</v>
      </c>
      <c r="I1244">
        <v>898.690921</v>
      </c>
      <c r="J1244" t="s">
        <v>1797</v>
      </c>
      <c r="K1244">
        <v>0</v>
      </c>
      <c r="L1244">
        <v>1.4085134108498729</v>
      </c>
      <c r="M1244">
        <v>43.34</v>
      </c>
      <c r="N1244">
        <v>11.85</v>
      </c>
    </row>
    <row r="1245" spans="1:14" x14ac:dyDescent="0.25">
      <c r="A1245" s="1" t="s">
        <v>1257</v>
      </c>
      <c r="B1245" t="str">
        <f>HYPERLINK("https://www.suredividend.com/sure-analysis-research-database/","Praxis Precision Medicines Inc")</f>
        <v>Praxis Precision Medicines Inc</v>
      </c>
      <c r="C1245" t="s">
        <v>1797</v>
      </c>
      <c r="D1245">
        <v>43.37</v>
      </c>
      <c r="E1245">
        <v>0</v>
      </c>
      <c r="F1245" t="s">
        <v>1797</v>
      </c>
      <c r="G1245" t="s">
        <v>1797</v>
      </c>
      <c r="H1245">
        <v>0</v>
      </c>
      <c r="I1245">
        <v>381.30370499999998</v>
      </c>
      <c r="J1245">
        <v>0</v>
      </c>
      <c r="K1245" t="s">
        <v>1797</v>
      </c>
      <c r="L1245">
        <v>0.551128608849628</v>
      </c>
      <c r="M1245">
        <v>76.8</v>
      </c>
      <c r="N1245">
        <v>11.85</v>
      </c>
    </row>
    <row r="1246" spans="1:14" x14ac:dyDescent="0.25">
      <c r="A1246" s="1" t="s">
        <v>1258</v>
      </c>
      <c r="B1246" t="str">
        <f>HYPERLINK("https://www.suredividend.com/sure-analysis-research-database/","Porch Group Inc")</f>
        <v>Porch Group Inc</v>
      </c>
      <c r="C1246" t="s">
        <v>1797</v>
      </c>
      <c r="D1246">
        <v>2.64</v>
      </c>
      <c r="E1246">
        <v>0</v>
      </c>
      <c r="F1246" t="s">
        <v>1797</v>
      </c>
      <c r="G1246" t="s">
        <v>1797</v>
      </c>
      <c r="H1246">
        <v>0</v>
      </c>
      <c r="I1246">
        <v>261.02898599999997</v>
      </c>
      <c r="J1246" t="s">
        <v>1797</v>
      </c>
      <c r="K1246">
        <v>0</v>
      </c>
      <c r="L1246">
        <v>3.069374674499266</v>
      </c>
      <c r="M1246">
        <v>3.99</v>
      </c>
      <c r="N1246">
        <v>0.495</v>
      </c>
    </row>
    <row r="1247" spans="1:14" x14ac:dyDescent="0.25">
      <c r="A1247" s="1" t="s">
        <v>1259</v>
      </c>
      <c r="B1247" t="str">
        <f>HYPERLINK("https://www.suredividend.com/sure-analysis-research-database/","Procept BioRobotics Corp")</f>
        <v>Procept BioRobotics Corp</v>
      </c>
      <c r="C1247" t="s">
        <v>1797</v>
      </c>
      <c r="D1247">
        <v>46.82</v>
      </c>
      <c r="E1247">
        <v>0</v>
      </c>
      <c r="F1247" t="s">
        <v>1797</v>
      </c>
      <c r="G1247" t="s">
        <v>1797</v>
      </c>
      <c r="H1247">
        <v>0</v>
      </c>
      <c r="I1247">
        <v>2364.3454350000002</v>
      </c>
      <c r="J1247" t="s">
        <v>1797</v>
      </c>
      <c r="K1247">
        <v>0</v>
      </c>
      <c r="L1247">
        <v>1.1129395954770109</v>
      </c>
      <c r="M1247">
        <v>49.39</v>
      </c>
      <c r="N1247">
        <v>24.83</v>
      </c>
    </row>
    <row r="1248" spans="1:14" x14ac:dyDescent="0.25">
      <c r="A1248" s="1" t="s">
        <v>1260</v>
      </c>
      <c r="B1248" t="str">
        <f>HYPERLINK("https://www.suredividend.com/sure-analysis-research-database/","Perdoceo Education Corporation")</f>
        <v>Perdoceo Education Corporation</v>
      </c>
      <c r="C1248" t="s">
        <v>1804</v>
      </c>
      <c r="D1248">
        <v>17.309999999999999</v>
      </c>
      <c r="E1248">
        <v>1.2629455278644E-2</v>
      </c>
      <c r="F1248" t="s">
        <v>1797</v>
      </c>
      <c r="G1248" t="s">
        <v>1797</v>
      </c>
      <c r="H1248">
        <v>0.218615870873343</v>
      </c>
      <c r="I1248">
        <v>1137.2670000000001</v>
      </c>
      <c r="J1248">
        <v>7.7672091736728159</v>
      </c>
      <c r="K1248">
        <v>0.1016818004062061</v>
      </c>
      <c r="L1248">
        <v>0.33032924269530201</v>
      </c>
      <c r="M1248">
        <v>19.37</v>
      </c>
      <c r="N1248">
        <v>11.2</v>
      </c>
    </row>
    <row r="1249" spans="1:14" x14ac:dyDescent="0.25">
      <c r="A1249" s="1" t="s">
        <v>1261</v>
      </c>
      <c r="B1249" t="str">
        <f>HYPERLINK("https://www.suredividend.com/sure-analysis-research-database/","Pardes Biosciences Inc")</f>
        <v>Pardes Biosciences Inc</v>
      </c>
      <c r="C1249" t="s">
        <v>1797</v>
      </c>
      <c r="D1249">
        <v>2.16</v>
      </c>
      <c r="E1249">
        <v>0</v>
      </c>
      <c r="F1249" t="s">
        <v>1797</v>
      </c>
      <c r="G1249" t="s">
        <v>1797</v>
      </c>
      <c r="H1249">
        <v>0</v>
      </c>
      <c r="I1249">
        <v>0</v>
      </c>
      <c r="J1249">
        <v>0</v>
      </c>
      <c r="K1249" t="s">
        <v>1797</v>
      </c>
    </row>
    <row r="1250" spans="1:14" x14ac:dyDescent="0.25">
      <c r="A1250" s="1" t="s">
        <v>1262</v>
      </c>
      <c r="B1250" t="str">
        <f>HYPERLINK("https://www.suredividend.com/sure-analysis-research-database/","Perficient Inc.")</f>
        <v>Perficient Inc.</v>
      </c>
      <c r="C1250" t="s">
        <v>1803</v>
      </c>
      <c r="D1250">
        <v>66.78</v>
      </c>
      <c r="E1250">
        <v>0</v>
      </c>
      <c r="F1250" t="s">
        <v>1797</v>
      </c>
      <c r="G1250" t="s">
        <v>1797</v>
      </c>
      <c r="H1250">
        <v>0</v>
      </c>
      <c r="I1250">
        <v>2322.0485829999998</v>
      </c>
      <c r="J1250">
        <v>22.716853197217681</v>
      </c>
      <c r="K1250">
        <v>0</v>
      </c>
      <c r="L1250">
        <v>1.4582407500039849</v>
      </c>
      <c r="M1250">
        <v>96.93</v>
      </c>
      <c r="N1250">
        <v>51.23</v>
      </c>
    </row>
    <row r="1251" spans="1:14" x14ac:dyDescent="0.25">
      <c r="A1251" s="1" t="s">
        <v>1263</v>
      </c>
      <c r="B1251" t="str">
        <f>HYPERLINK("https://www.suredividend.com/sure-analysis-research-database/","PROG Holdings Inc")</f>
        <v>PROG Holdings Inc</v>
      </c>
      <c r="C1251" t="s">
        <v>1797</v>
      </c>
      <c r="D1251">
        <v>29.66</v>
      </c>
      <c r="E1251">
        <v>0</v>
      </c>
      <c r="F1251" t="s">
        <v>1797</v>
      </c>
      <c r="G1251" t="s">
        <v>1797</v>
      </c>
      <c r="H1251">
        <v>0</v>
      </c>
      <c r="I1251">
        <v>1326.4622910000001</v>
      </c>
      <c r="J1251">
        <v>8.4840374735845678</v>
      </c>
      <c r="K1251">
        <v>0</v>
      </c>
      <c r="L1251">
        <v>1.4682265664631069</v>
      </c>
      <c r="M1251">
        <v>44.81</v>
      </c>
      <c r="N1251">
        <v>18.850000000000001</v>
      </c>
    </row>
    <row r="1252" spans="1:14" x14ac:dyDescent="0.25">
      <c r="A1252" s="1" t="s">
        <v>1264</v>
      </c>
      <c r="B1252" t="str">
        <f>HYPERLINK("https://www.suredividend.com/sure-analysis-research-database/","Progress Software Corp.")</f>
        <v>Progress Software Corp.</v>
      </c>
      <c r="C1252" t="s">
        <v>1803</v>
      </c>
      <c r="D1252">
        <v>54</v>
      </c>
      <c r="E1252">
        <v>1.2844811431252001E-2</v>
      </c>
      <c r="F1252">
        <v>0</v>
      </c>
      <c r="G1252">
        <v>2.4569138363080611E-2</v>
      </c>
      <c r="H1252">
        <v>0.69361981728761501</v>
      </c>
      <c r="I1252">
        <v>2352.5286839999999</v>
      </c>
      <c r="J1252">
        <v>29.94181855670103</v>
      </c>
      <c r="K1252">
        <v>0.39187560298735308</v>
      </c>
      <c r="L1252">
        <v>0.80238200396281412</v>
      </c>
      <c r="M1252">
        <v>61.58</v>
      </c>
      <c r="N1252">
        <v>48.7</v>
      </c>
    </row>
    <row r="1253" spans="1:14" x14ac:dyDescent="0.25">
      <c r="A1253" s="1" t="s">
        <v>1265</v>
      </c>
      <c r="B1253" t="str">
        <f>HYPERLINK("https://www.suredividend.com/sure-analysis-research-database/","Primoris Services Corp")</f>
        <v>Primoris Services Corp</v>
      </c>
      <c r="C1253" t="s">
        <v>1798</v>
      </c>
      <c r="D1253">
        <v>33.58</v>
      </c>
      <c r="E1253">
        <v>5.35063921409E-3</v>
      </c>
      <c r="F1253">
        <v>0</v>
      </c>
      <c r="G1253">
        <v>0</v>
      </c>
      <c r="H1253">
        <v>0.179674464809159</v>
      </c>
      <c r="I1253">
        <v>1791.8426010000001</v>
      </c>
      <c r="J1253">
        <v>13.78478310431043</v>
      </c>
      <c r="K1253">
        <v>7.4864360337149591E-2</v>
      </c>
      <c r="L1253">
        <v>1.085050115779618</v>
      </c>
      <c r="M1253">
        <v>36.06</v>
      </c>
      <c r="N1253">
        <v>22.67</v>
      </c>
    </row>
    <row r="1254" spans="1:14" x14ac:dyDescent="0.25">
      <c r="A1254" s="1" t="s">
        <v>1266</v>
      </c>
      <c r="B1254" t="str">
        <f>HYPERLINK("https://www.suredividend.com/sure-analysis-research-database/","Park National Corp.")</f>
        <v>Park National Corp.</v>
      </c>
      <c r="C1254" t="s">
        <v>1800</v>
      </c>
      <c r="D1254">
        <v>127.44</v>
      </c>
      <c r="E1254">
        <v>3.2263192319766001E-2</v>
      </c>
      <c r="F1254">
        <v>1.1000000000000001</v>
      </c>
      <c r="G1254">
        <v>5.8143454444143927E-3</v>
      </c>
      <c r="H1254">
        <v>4.1116212292310284</v>
      </c>
      <c r="I1254">
        <v>2053.8840839999998</v>
      </c>
      <c r="J1254">
        <v>15.17820307542234</v>
      </c>
      <c r="K1254">
        <v>0.49537605171458171</v>
      </c>
      <c r="L1254">
        <v>1.216181948535908</v>
      </c>
      <c r="M1254">
        <v>137</v>
      </c>
      <c r="N1254">
        <v>87.74</v>
      </c>
    </row>
    <row r="1255" spans="1:14" x14ac:dyDescent="0.25">
      <c r="A1255" s="1" t="s">
        <v>1267</v>
      </c>
      <c r="B1255" t="str">
        <f>HYPERLINK("https://www.suredividend.com/sure-analysis-research-database/","Proto Labs Inc")</f>
        <v>Proto Labs Inc</v>
      </c>
      <c r="C1255" t="s">
        <v>1798</v>
      </c>
      <c r="D1255">
        <v>36.1</v>
      </c>
      <c r="E1255">
        <v>0</v>
      </c>
      <c r="F1255" t="s">
        <v>1797</v>
      </c>
      <c r="G1255" t="s">
        <v>1797</v>
      </c>
      <c r="H1255">
        <v>0</v>
      </c>
      <c r="I1255">
        <v>930.87109799999996</v>
      </c>
      <c r="J1255" t="s">
        <v>1797</v>
      </c>
      <c r="K1255">
        <v>0</v>
      </c>
      <c r="L1255">
        <v>1.562523202215248</v>
      </c>
      <c r="M1255">
        <v>40.47</v>
      </c>
      <c r="N1255">
        <v>23.01</v>
      </c>
    </row>
    <row r="1256" spans="1:14" x14ac:dyDescent="0.25">
      <c r="A1256" s="1" t="s">
        <v>1268</v>
      </c>
      <c r="B1256" t="str">
        <f>HYPERLINK("https://www.suredividend.com/sure-analysis-research-database/","Perimeter Solutions SA")</f>
        <v>Perimeter Solutions SA</v>
      </c>
      <c r="C1256" t="s">
        <v>1797</v>
      </c>
      <c r="D1256">
        <v>4.16</v>
      </c>
      <c r="E1256">
        <v>0</v>
      </c>
      <c r="F1256" t="s">
        <v>1797</v>
      </c>
      <c r="G1256" t="s">
        <v>1797</v>
      </c>
      <c r="H1256">
        <v>0</v>
      </c>
      <c r="I1256">
        <v>635.58267999999998</v>
      </c>
      <c r="J1256">
        <v>13.04026835617562</v>
      </c>
      <c r="K1256">
        <v>0</v>
      </c>
      <c r="L1256">
        <v>1.488848671939772</v>
      </c>
      <c r="M1256">
        <v>9.59</v>
      </c>
      <c r="N1256">
        <v>2.79</v>
      </c>
    </row>
    <row r="1257" spans="1:14" x14ac:dyDescent="0.25">
      <c r="A1257" s="1" t="s">
        <v>1269</v>
      </c>
      <c r="B1257" t="str">
        <f>HYPERLINK("https://www.suredividend.com/sure-analysis-research-database/","Prime Medicine Inc")</f>
        <v>Prime Medicine Inc</v>
      </c>
      <c r="C1257" t="s">
        <v>1797</v>
      </c>
      <c r="D1257">
        <v>7.99</v>
      </c>
      <c r="E1257">
        <v>0</v>
      </c>
      <c r="F1257" t="s">
        <v>1797</v>
      </c>
      <c r="G1257" t="s">
        <v>1797</v>
      </c>
      <c r="H1257">
        <v>0</v>
      </c>
      <c r="I1257">
        <v>777.62116500000002</v>
      </c>
      <c r="J1257">
        <v>0</v>
      </c>
      <c r="K1257" t="s">
        <v>1797</v>
      </c>
      <c r="L1257">
        <v>1.862946857061462</v>
      </c>
      <c r="M1257">
        <v>21.48</v>
      </c>
      <c r="N1257">
        <v>5.54</v>
      </c>
    </row>
    <row r="1258" spans="1:14" x14ac:dyDescent="0.25">
      <c r="A1258" s="1" t="s">
        <v>1270</v>
      </c>
      <c r="B1258" t="str">
        <f>HYPERLINK("https://www.suredividend.com/sure-analysis-research-database/","Primo Water Corporation")</f>
        <v>Primo Water Corporation</v>
      </c>
      <c r="C1258" t="s">
        <v>1804</v>
      </c>
      <c r="D1258">
        <v>14.81</v>
      </c>
      <c r="E1258">
        <v>2.3422973763412E-2</v>
      </c>
      <c r="F1258">
        <v>0.56548571428571415</v>
      </c>
      <c r="G1258">
        <v>6.4243340774588598E-2</v>
      </c>
      <c r="H1258">
        <v>0.34689424143613201</v>
      </c>
      <c r="I1258">
        <v>2381.3616579999998</v>
      </c>
      <c r="J1258">
        <v>20.181030997457629</v>
      </c>
      <c r="K1258">
        <v>0.47344648756125562</v>
      </c>
      <c r="L1258">
        <v>0.7231555116457401</v>
      </c>
      <c r="M1258">
        <v>16.100000000000001</v>
      </c>
      <c r="N1258">
        <v>12.13</v>
      </c>
    </row>
    <row r="1259" spans="1:14" x14ac:dyDescent="0.25">
      <c r="A1259" s="1" t="s">
        <v>1271</v>
      </c>
      <c r="B1259" t="str">
        <f>HYPERLINK("https://www.suredividend.com/sure-analysis-research-database/","Pros Holdings Inc")</f>
        <v>Pros Holdings Inc</v>
      </c>
      <c r="C1259" t="s">
        <v>1803</v>
      </c>
      <c r="D1259">
        <v>35.18</v>
      </c>
      <c r="E1259">
        <v>0</v>
      </c>
      <c r="F1259" t="s">
        <v>1797</v>
      </c>
      <c r="G1259" t="s">
        <v>1797</v>
      </c>
      <c r="H1259">
        <v>0</v>
      </c>
      <c r="I1259">
        <v>1627.4770370000001</v>
      </c>
      <c r="J1259" t="s">
        <v>1797</v>
      </c>
      <c r="K1259">
        <v>0</v>
      </c>
      <c r="L1259">
        <v>1.5247112213756731</v>
      </c>
      <c r="M1259">
        <v>40.99</v>
      </c>
      <c r="N1259">
        <v>22.76</v>
      </c>
    </row>
    <row r="1260" spans="1:14" x14ac:dyDescent="0.25">
      <c r="A1260" s="1" t="s">
        <v>1272</v>
      </c>
      <c r="B1260" t="str">
        <f>HYPERLINK("https://www.suredividend.com/sure-analysis-research-database/","Purple Innovation Inc")</f>
        <v>Purple Innovation Inc</v>
      </c>
      <c r="C1260" t="s">
        <v>1801</v>
      </c>
      <c r="D1260">
        <v>0.84560000000000002</v>
      </c>
      <c r="E1260">
        <v>0</v>
      </c>
      <c r="F1260" t="s">
        <v>1797</v>
      </c>
      <c r="G1260" t="s">
        <v>1797</v>
      </c>
      <c r="H1260">
        <v>0</v>
      </c>
      <c r="I1260">
        <v>89.060795999999996</v>
      </c>
      <c r="J1260" t="s">
        <v>1797</v>
      </c>
      <c r="K1260">
        <v>0</v>
      </c>
      <c r="L1260">
        <v>1.5071176481232671</v>
      </c>
      <c r="M1260">
        <v>6.76</v>
      </c>
      <c r="N1260">
        <v>0.54510000000000003</v>
      </c>
    </row>
    <row r="1261" spans="1:14" x14ac:dyDescent="0.25">
      <c r="A1261" s="1" t="s">
        <v>1273</v>
      </c>
      <c r="B1261" t="str">
        <f>HYPERLINK("https://www.suredividend.com/sure-analysis-research-database/","Prothena Corporation plc")</f>
        <v>Prothena Corporation plc</v>
      </c>
      <c r="C1261" t="s">
        <v>1802</v>
      </c>
      <c r="D1261">
        <v>34.67</v>
      </c>
      <c r="E1261">
        <v>0</v>
      </c>
      <c r="F1261" t="s">
        <v>1797</v>
      </c>
      <c r="G1261" t="s">
        <v>1797</v>
      </c>
      <c r="H1261">
        <v>0</v>
      </c>
      <c r="I1261">
        <v>1860.5776499999999</v>
      </c>
      <c r="J1261" t="s">
        <v>1797</v>
      </c>
      <c r="K1261">
        <v>0</v>
      </c>
      <c r="L1261">
        <v>1.102941659490952</v>
      </c>
      <c r="M1261">
        <v>79.650000000000006</v>
      </c>
      <c r="N1261">
        <v>28.51</v>
      </c>
    </row>
    <row r="1262" spans="1:14" x14ac:dyDescent="0.25">
      <c r="A1262" s="1" t="s">
        <v>1274</v>
      </c>
      <c r="B1262" t="str">
        <f>HYPERLINK("https://www.suredividend.com/sure-analysis-research-database/","Priority Technology Holdings Inc")</f>
        <v>Priority Technology Holdings Inc</v>
      </c>
      <c r="C1262" t="s">
        <v>1803</v>
      </c>
      <c r="D1262">
        <v>3.67</v>
      </c>
      <c r="E1262">
        <v>0</v>
      </c>
      <c r="F1262" t="s">
        <v>1797</v>
      </c>
      <c r="G1262" t="s">
        <v>1797</v>
      </c>
      <c r="H1262">
        <v>0</v>
      </c>
      <c r="I1262">
        <v>281.57187199999998</v>
      </c>
      <c r="J1262">
        <v>0</v>
      </c>
      <c r="K1262" t="s">
        <v>1797</v>
      </c>
      <c r="L1262">
        <v>1.558094877108577</v>
      </c>
      <c r="M1262">
        <v>5.32</v>
      </c>
      <c r="N1262">
        <v>2.62</v>
      </c>
    </row>
    <row r="1263" spans="1:14" x14ac:dyDescent="0.25">
      <c r="A1263" s="1" t="s">
        <v>1275</v>
      </c>
      <c r="B1263" t="str">
        <f>HYPERLINK("https://www.suredividend.com/sure-analysis-research-database/","CarParts.com Inc")</f>
        <v>CarParts.com Inc</v>
      </c>
      <c r="C1263" t="s">
        <v>1801</v>
      </c>
      <c r="D1263">
        <v>3.06</v>
      </c>
      <c r="E1263">
        <v>0</v>
      </c>
      <c r="F1263" t="s">
        <v>1797</v>
      </c>
      <c r="G1263" t="s">
        <v>1797</v>
      </c>
      <c r="H1263">
        <v>0</v>
      </c>
      <c r="I1263">
        <v>175.94573700000001</v>
      </c>
      <c r="J1263" t="s">
        <v>1797</v>
      </c>
      <c r="K1263">
        <v>0</v>
      </c>
      <c r="L1263">
        <v>1.6817118188683291</v>
      </c>
      <c r="M1263">
        <v>7.44</v>
      </c>
      <c r="N1263">
        <v>2.5</v>
      </c>
    </row>
    <row r="1264" spans="1:14" x14ac:dyDescent="0.25">
      <c r="A1264" s="1" t="s">
        <v>1276</v>
      </c>
      <c r="B1264" t="str">
        <f>HYPERLINK("https://www.suredividend.com/sure-analysis-research-database/","Privia Health Group Inc")</f>
        <v>Privia Health Group Inc</v>
      </c>
      <c r="C1264" t="s">
        <v>1797</v>
      </c>
      <c r="D1264">
        <v>21.25</v>
      </c>
      <c r="E1264">
        <v>0</v>
      </c>
      <c r="F1264" t="s">
        <v>1797</v>
      </c>
      <c r="G1264" t="s">
        <v>1797</v>
      </c>
      <c r="H1264">
        <v>0</v>
      </c>
      <c r="I1264">
        <v>2508.868054</v>
      </c>
      <c r="J1264">
        <v>65.993320192282397</v>
      </c>
      <c r="K1264">
        <v>0</v>
      </c>
      <c r="L1264">
        <v>1.2322614973750661</v>
      </c>
      <c r="M1264">
        <v>30.15</v>
      </c>
      <c r="N1264">
        <v>19.68</v>
      </c>
    </row>
    <row r="1265" spans="1:14" x14ac:dyDescent="0.25">
      <c r="A1265" s="1" t="s">
        <v>1277</v>
      </c>
      <c r="B1265" t="str">
        <f>HYPERLINK("https://www.suredividend.com/sure-analysis-research-database/","Paysafe Limited")</f>
        <v>Paysafe Limited</v>
      </c>
      <c r="C1265" t="s">
        <v>1797</v>
      </c>
      <c r="D1265">
        <v>13.58</v>
      </c>
      <c r="E1265">
        <v>0</v>
      </c>
      <c r="F1265" t="s">
        <v>1797</v>
      </c>
      <c r="G1265" t="s">
        <v>1797</v>
      </c>
      <c r="H1265">
        <v>0</v>
      </c>
      <c r="I1265">
        <v>825.51212099999998</v>
      </c>
      <c r="J1265">
        <v>0</v>
      </c>
      <c r="K1265" t="s">
        <v>1797</v>
      </c>
      <c r="L1265">
        <v>1.941610878752827</v>
      </c>
      <c r="M1265">
        <v>24.25</v>
      </c>
      <c r="N1265">
        <v>9.25</v>
      </c>
    </row>
    <row r="1266" spans="1:14" x14ac:dyDescent="0.25">
      <c r="A1266" s="1" t="s">
        <v>1278</v>
      </c>
      <c r="B1266" t="str">
        <f>HYPERLINK("https://www.suredividend.com/sure-analysis-research-database/","Pricesmart Inc.")</f>
        <v>Pricesmart Inc.</v>
      </c>
      <c r="C1266" t="s">
        <v>1804</v>
      </c>
      <c r="D1266">
        <v>77</v>
      </c>
      <c r="E1266">
        <v>1.191253092863E-2</v>
      </c>
      <c r="F1266" t="s">
        <v>1797</v>
      </c>
      <c r="G1266" t="s">
        <v>1797</v>
      </c>
      <c r="H1266">
        <v>0.9172648815045481</v>
      </c>
      <c r="I1266">
        <v>2349.7144440000002</v>
      </c>
      <c r="J1266">
        <v>20.557072002239678</v>
      </c>
      <c r="K1266">
        <v>0.24591551782963761</v>
      </c>
      <c r="L1266">
        <v>0.79601666717436603</v>
      </c>
      <c r="M1266">
        <v>83.71</v>
      </c>
      <c r="N1266">
        <v>61.82</v>
      </c>
    </row>
    <row r="1267" spans="1:14" x14ac:dyDescent="0.25">
      <c r="A1267" s="1" t="s">
        <v>1279</v>
      </c>
      <c r="B1267" t="str">
        <f>HYPERLINK("https://www.suredividend.com/sure-analysis-research-database/","Parsons Corp")</f>
        <v>Parsons Corp</v>
      </c>
      <c r="C1267" t="s">
        <v>1798</v>
      </c>
      <c r="D1267">
        <v>65.22</v>
      </c>
      <c r="E1267">
        <v>0</v>
      </c>
      <c r="F1267" t="s">
        <v>1797</v>
      </c>
      <c r="G1267" t="s">
        <v>1797</v>
      </c>
      <c r="H1267">
        <v>0</v>
      </c>
      <c r="I1267">
        <v>6840.8564710000001</v>
      </c>
      <c r="J1267">
        <v>47.383540237303627</v>
      </c>
      <c r="K1267">
        <v>0</v>
      </c>
      <c r="L1267">
        <v>0.49358826075294798</v>
      </c>
      <c r="M1267">
        <v>65.27</v>
      </c>
      <c r="N1267">
        <v>40.61</v>
      </c>
    </row>
    <row r="1268" spans="1:14" x14ac:dyDescent="0.25">
      <c r="A1268" s="1" t="s">
        <v>1280</v>
      </c>
      <c r="B1268" t="str">
        <f>HYPERLINK("https://www.suredividend.com/sure-analysis-PSTL/","Postal Realty Trust Inc")</f>
        <v>Postal Realty Trust Inc</v>
      </c>
      <c r="C1268" t="s">
        <v>1799</v>
      </c>
      <c r="D1268">
        <v>14.29</v>
      </c>
      <c r="E1268">
        <v>6.6480055983205041E-2</v>
      </c>
      <c r="F1268" t="s">
        <v>1797</v>
      </c>
      <c r="G1268" t="s">
        <v>1797</v>
      </c>
      <c r="H1268">
        <v>0.92644837976675809</v>
      </c>
      <c r="I1268">
        <v>310.30006200000003</v>
      </c>
      <c r="J1268">
        <v>79.54372266085619</v>
      </c>
      <c r="K1268">
        <v>4.6299269353661074</v>
      </c>
      <c r="L1268">
        <v>0.73655583816756309</v>
      </c>
      <c r="M1268">
        <v>15.22</v>
      </c>
      <c r="N1268">
        <v>12.75</v>
      </c>
    </row>
    <row r="1269" spans="1:14" x14ac:dyDescent="0.25">
      <c r="A1269" s="1" t="s">
        <v>1281</v>
      </c>
      <c r="B1269" t="str">
        <f>HYPERLINK("https://www.suredividend.com/sure-analysis-research-database/","PTC Therapeutics Inc")</f>
        <v>PTC Therapeutics Inc</v>
      </c>
      <c r="C1269" t="s">
        <v>1802</v>
      </c>
      <c r="D1269">
        <v>27.33</v>
      </c>
      <c r="E1269">
        <v>0</v>
      </c>
      <c r="F1269" t="s">
        <v>1797</v>
      </c>
      <c r="G1269" t="s">
        <v>1797</v>
      </c>
      <c r="H1269">
        <v>0</v>
      </c>
      <c r="I1269">
        <v>2062.407753</v>
      </c>
      <c r="J1269" t="s">
        <v>1797</v>
      </c>
      <c r="K1269">
        <v>0</v>
      </c>
      <c r="L1269">
        <v>1.2953308454025909</v>
      </c>
      <c r="M1269">
        <v>59.84</v>
      </c>
      <c r="N1269">
        <v>17.53</v>
      </c>
    </row>
    <row r="1270" spans="1:14" x14ac:dyDescent="0.25">
      <c r="A1270" s="1" t="s">
        <v>1282</v>
      </c>
      <c r="B1270" t="str">
        <f>HYPERLINK("https://www.suredividend.com/sure-analysis-research-database/","Patterson-UTI Energy Inc")</f>
        <v>Patterson-UTI Energy Inc</v>
      </c>
      <c r="C1270" t="s">
        <v>1807</v>
      </c>
      <c r="D1270">
        <v>10.28</v>
      </c>
      <c r="E1270">
        <v>3.0611271427739999E-2</v>
      </c>
      <c r="F1270" t="s">
        <v>1797</v>
      </c>
      <c r="G1270" t="s">
        <v>1797</v>
      </c>
      <c r="H1270">
        <v>0.31468387027716999</v>
      </c>
      <c r="I1270">
        <v>4289.6383999999998</v>
      </c>
      <c r="J1270">
        <v>15.08104866069702</v>
      </c>
      <c r="K1270">
        <v>0.25793759858784432</v>
      </c>
      <c r="L1270">
        <v>1.157577262950868</v>
      </c>
      <c r="M1270">
        <v>16.920000000000002</v>
      </c>
      <c r="N1270">
        <v>9.52</v>
      </c>
    </row>
    <row r="1271" spans="1:14" x14ac:dyDescent="0.25">
      <c r="A1271" s="1" t="s">
        <v>1283</v>
      </c>
      <c r="B1271" t="str">
        <f>HYPERLINK("https://www.suredividend.com/sure-analysis-research-database/","Protagonist Therapeutics Inc")</f>
        <v>Protagonist Therapeutics Inc</v>
      </c>
      <c r="C1271" t="s">
        <v>1802</v>
      </c>
      <c r="D1271">
        <v>25.9</v>
      </c>
      <c r="E1271">
        <v>0</v>
      </c>
      <c r="F1271" t="s">
        <v>1797</v>
      </c>
      <c r="G1271" t="s">
        <v>1797</v>
      </c>
      <c r="H1271">
        <v>0</v>
      </c>
      <c r="I1271">
        <v>1493.8633600000001</v>
      </c>
      <c r="J1271">
        <v>0</v>
      </c>
      <c r="K1271" t="s">
        <v>1797</v>
      </c>
      <c r="L1271">
        <v>0.392136707997772</v>
      </c>
      <c r="M1271">
        <v>30.1</v>
      </c>
      <c r="N1271">
        <v>11.21</v>
      </c>
    </row>
    <row r="1272" spans="1:14" x14ac:dyDescent="0.25">
      <c r="A1272" s="1" t="s">
        <v>1284</v>
      </c>
      <c r="B1272" t="str">
        <f>HYPERLINK("https://www.suredividend.com/sure-analysis-research-database/","Portillos Inc")</f>
        <v>Portillos Inc</v>
      </c>
      <c r="C1272" t="s">
        <v>1797</v>
      </c>
      <c r="D1272">
        <v>14.32</v>
      </c>
      <c r="E1272">
        <v>0</v>
      </c>
      <c r="F1272" t="s">
        <v>1797</v>
      </c>
      <c r="G1272" t="s">
        <v>1797</v>
      </c>
      <c r="H1272">
        <v>0</v>
      </c>
      <c r="I1272">
        <v>793.93334900000002</v>
      </c>
      <c r="J1272">
        <v>0</v>
      </c>
      <c r="K1272" t="s">
        <v>1797</v>
      </c>
      <c r="L1272">
        <v>1.017338934506828</v>
      </c>
      <c r="M1272">
        <v>24.41</v>
      </c>
      <c r="N1272">
        <v>13.89</v>
      </c>
    </row>
    <row r="1273" spans="1:14" x14ac:dyDescent="0.25">
      <c r="A1273" s="1" t="s">
        <v>1285</v>
      </c>
      <c r="B1273" t="str">
        <f>HYPERLINK("https://www.suredividend.com/sure-analysis-research-database/","Proterra Inc")</f>
        <v>Proterra Inc</v>
      </c>
      <c r="C1273" t="s">
        <v>1797</v>
      </c>
      <c r="D1273">
        <v>6.7000000000000004E-2</v>
      </c>
      <c r="E1273">
        <v>0</v>
      </c>
      <c r="F1273" t="s">
        <v>1797</v>
      </c>
      <c r="G1273" t="s">
        <v>1797</v>
      </c>
      <c r="H1273">
        <v>0</v>
      </c>
      <c r="I1273">
        <v>0</v>
      </c>
      <c r="J1273">
        <v>0</v>
      </c>
      <c r="K1273" t="s">
        <v>1797</v>
      </c>
    </row>
    <row r="1274" spans="1:14" x14ac:dyDescent="0.25">
      <c r="A1274" s="1" t="s">
        <v>1286</v>
      </c>
      <c r="B1274" t="str">
        <f>HYPERLINK("https://www.suredividend.com/sure-analysis-research-database/","P.A.M. Transportation Services, Inc.")</f>
        <v>P.A.M. Transportation Services, Inc.</v>
      </c>
      <c r="C1274" t="s">
        <v>1798</v>
      </c>
      <c r="D1274">
        <v>21.44</v>
      </c>
      <c r="E1274">
        <v>0</v>
      </c>
      <c r="F1274" t="s">
        <v>1797</v>
      </c>
      <c r="G1274" t="s">
        <v>1797</v>
      </c>
      <c r="H1274">
        <v>0</v>
      </c>
      <c r="I1274">
        <v>472.13755099999997</v>
      </c>
      <c r="J1274">
        <v>12.22236017085609</v>
      </c>
      <c r="K1274">
        <v>0</v>
      </c>
      <c r="L1274">
        <v>1.0904797339425849</v>
      </c>
      <c r="M1274">
        <v>31.36</v>
      </c>
      <c r="N1274">
        <v>15.66</v>
      </c>
    </row>
    <row r="1275" spans="1:14" x14ac:dyDescent="0.25">
      <c r="A1275" s="1" t="s">
        <v>1287</v>
      </c>
      <c r="B1275" t="str">
        <f>HYPERLINK("https://www.suredividend.com/sure-analysis-research-database/","Pactiv Evergreen Inc")</f>
        <v>Pactiv Evergreen Inc</v>
      </c>
      <c r="C1275" t="s">
        <v>1797</v>
      </c>
      <c r="D1275">
        <v>14.08</v>
      </c>
      <c r="E1275">
        <v>2.7621866879958001E-2</v>
      </c>
      <c r="F1275" t="s">
        <v>1797</v>
      </c>
      <c r="G1275" t="s">
        <v>1797</v>
      </c>
      <c r="H1275">
        <v>0.38891588566981911</v>
      </c>
      <c r="I1275">
        <v>2512.6542279999999</v>
      </c>
      <c r="J1275" t="s">
        <v>1797</v>
      </c>
      <c r="K1275" t="s">
        <v>1797</v>
      </c>
      <c r="L1275">
        <v>1.4443110622985029</v>
      </c>
      <c r="M1275">
        <v>14.85</v>
      </c>
      <c r="N1275">
        <v>6.49</v>
      </c>
    </row>
    <row r="1276" spans="1:14" x14ac:dyDescent="0.25">
      <c r="A1276" s="1" t="s">
        <v>1288</v>
      </c>
      <c r="B1276" t="str">
        <f>HYPERLINK("https://www.suredividend.com/sure-analysis-research-database/","PubMatic Inc")</f>
        <v>PubMatic Inc</v>
      </c>
      <c r="C1276" t="s">
        <v>1797</v>
      </c>
      <c r="D1276">
        <v>14.95</v>
      </c>
      <c r="E1276">
        <v>0</v>
      </c>
      <c r="F1276" t="s">
        <v>1797</v>
      </c>
      <c r="G1276" t="s">
        <v>1797</v>
      </c>
      <c r="H1276">
        <v>0</v>
      </c>
      <c r="I1276">
        <v>621.97979999999995</v>
      </c>
      <c r="J1276">
        <v>210.1283108108108</v>
      </c>
      <c r="K1276">
        <v>0</v>
      </c>
      <c r="L1276">
        <v>1.7272136587384681</v>
      </c>
      <c r="M1276">
        <v>20.079999999999998</v>
      </c>
      <c r="N1276">
        <v>10.92</v>
      </c>
    </row>
    <row r="1277" spans="1:14" x14ac:dyDescent="0.25">
      <c r="A1277" s="1" t="s">
        <v>1289</v>
      </c>
      <c r="B1277" t="str">
        <f>HYPERLINK("https://www.suredividend.com/sure-analysis-research-database/","ProPetro Holding Corp")</f>
        <v>ProPetro Holding Corp</v>
      </c>
      <c r="C1277" t="s">
        <v>1807</v>
      </c>
      <c r="D1277">
        <v>7.91</v>
      </c>
      <c r="E1277">
        <v>0</v>
      </c>
      <c r="F1277" t="s">
        <v>1797</v>
      </c>
      <c r="G1277" t="s">
        <v>1797</v>
      </c>
      <c r="H1277">
        <v>0</v>
      </c>
      <c r="I1277">
        <v>871.980231</v>
      </c>
      <c r="J1277">
        <v>7.5310943716748433</v>
      </c>
      <c r="K1277">
        <v>0</v>
      </c>
      <c r="L1277">
        <v>1.2928544128428789</v>
      </c>
      <c r="M1277">
        <v>11.37</v>
      </c>
      <c r="N1277">
        <v>6.33</v>
      </c>
    </row>
    <row r="1278" spans="1:14" x14ac:dyDescent="0.25">
      <c r="A1278" s="1" t="s">
        <v>1290</v>
      </c>
      <c r="B1278" t="str">
        <f>HYPERLINK("https://www.suredividend.com/sure-analysis-research-database/","Provident Bancorp Inc")</f>
        <v>Provident Bancorp Inc</v>
      </c>
      <c r="C1278" t="s">
        <v>1800</v>
      </c>
      <c r="D1278">
        <v>10.65</v>
      </c>
      <c r="E1278">
        <v>0</v>
      </c>
      <c r="F1278" t="s">
        <v>1797</v>
      </c>
      <c r="G1278" t="s">
        <v>1797</v>
      </c>
      <c r="H1278">
        <v>0</v>
      </c>
      <c r="I1278">
        <v>188.35291799999999</v>
      </c>
      <c r="J1278">
        <v>17.5587692737951</v>
      </c>
      <c r="K1278">
        <v>0</v>
      </c>
      <c r="L1278">
        <v>0.99654138114164603</v>
      </c>
      <c r="M1278">
        <v>10.71</v>
      </c>
      <c r="N1278">
        <v>5.76</v>
      </c>
    </row>
    <row r="1279" spans="1:14" x14ac:dyDescent="0.25">
      <c r="A1279" s="1" t="s">
        <v>1291</v>
      </c>
      <c r="B1279" t="str">
        <f>HYPERLINK("https://www.suredividend.com/sure-analysis-research-database/","Perella Weinberg Partners")</f>
        <v>Perella Weinberg Partners</v>
      </c>
      <c r="C1279" t="s">
        <v>1797</v>
      </c>
      <c r="D1279">
        <v>10.95</v>
      </c>
      <c r="E1279">
        <v>2.5143338985803999E-2</v>
      </c>
      <c r="F1279" t="s">
        <v>1797</v>
      </c>
      <c r="G1279" t="s">
        <v>1797</v>
      </c>
      <c r="H1279">
        <v>0.27531956189456203</v>
      </c>
      <c r="I1279">
        <v>473.79132299999998</v>
      </c>
      <c r="J1279" t="s">
        <v>1797</v>
      </c>
      <c r="K1279" t="s">
        <v>1797</v>
      </c>
      <c r="L1279">
        <v>1.021646705515332</v>
      </c>
      <c r="M1279">
        <v>12.92</v>
      </c>
      <c r="N1279">
        <v>6.56</v>
      </c>
    </row>
    <row r="1280" spans="1:14" x14ac:dyDescent="0.25">
      <c r="A1280" s="1" t="s">
        <v>1292</v>
      </c>
      <c r="B1280" t="str">
        <f>HYPERLINK("https://www.suredividend.com/sure-analysis-research-database/","PowerSchool Holdings Inc")</f>
        <v>PowerSchool Holdings Inc</v>
      </c>
      <c r="C1280" t="s">
        <v>1797</v>
      </c>
      <c r="D1280">
        <v>24.31</v>
      </c>
      <c r="E1280">
        <v>0</v>
      </c>
      <c r="F1280" t="s">
        <v>1797</v>
      </c>
      <c r="G1280" t="s">
        <v>1797</v>
      </c>
      <c r="H1280">
        <v>0</v>
      </c>
      <c r="I1280">
        <v>4909.1749890000001</v>
      </c>
      <c r="J1280" t="s">
        <v>1797</v>
      </c>
      <c r="K1280">
        <v>0</v>
      </c>
      <c r="L1280">
        <v>1.0509322003669139</v>
      </c>
      <c r="M1280">
        <v>25.25</v>
      </c>
      <c r="N1280">
        <v>16.41</v>
      </c>
    </row>
    <row r="1281" spans="1:14" x14ac:dyDescent="0.25">
      <c r="A1281" s="1" t="s">
        <v>1293</v>
      </c>
      <c r="B1281" t="str">
        <f>HYPERLINK("https://www.suredividend.com/sure-analysis-research-database/","Papa John`s International, Inc.")</f>
        <v>Papa John`s International, Inc.</v>
      </c>
      <c r="C1281" t="s">
        <v>1801</v>
      </c>
      <c r="D1281">
        <v>71.89</v>
      </c>
      <c r="E1281">
        <v>2.4067012859905E-2</v>
      </c>
      <c r="F1281">
        <v>9.5238095238095344E-2</v>
      </c>
      <c r="G1281">
        <v>0.15375889616306759</v>
      </c>
      <c r="H1281">
        <v>1.7301775544985829</v>
      </c>
      <c r="I1281">
        <v>2354.818632</v>
      </c>
      <c r="J1281">
        <v>29.639747150589059</v>
      </c>
      <c r="K1281">
        <v>0.73624576787173734</v>
      </c>
      <c r="L1281">
        <v>0.81558095341808612</v>
      </c>
      <c r="M1281">
        <v>94.81</v>
      </c>
      <c r="N1281">
        <v>59.8</v>
      </c>
    </row>
    <row r="1282" spans="1:14" x14ac:dyDescent="0.25">
      <c r="A1282" s="1" t="s">
        <v>1294</v>
      </c>
      <c r="B1282" t="str">
        <f>HYPERLINK("https://www.suredividend.com/sure-analysis-research-database/","QCR Holding, Inc.")</f>
        <v>QCR Holding, Inc.</v>
      </c>
      <c r="C1282" t="s">
        <v>1800</v>
      </c>
      <c r="D1282">
        <v>55.47</v>
      </c>
      <c r="E1282">
        <v>4.3115603831180007E-3</v>
      </c>
      <c r="F1282">
        <v>0</v>
      </c>
      <c r="G1282">
        <v>0</v>
      </c>
      <c r="H1282">
        <v>0.239162254451559</v>
      </c>
      <c r="I1282">
        <v>928.14534000000003</v>
      </c>
      <c r="J1282">
        <v>0</v>
      </c>
      <c r="K1282" t="s">
        <v>1797</v>
      </c>
      <c r="L1282">
        <v>1.3737100416528261</v>
      </c>
      <c r="M1282">
        <v>61.03</v>
      </c>
      <c r="N1282">
        <v>34.880000000000003</v>
      </c>
    </row>
    <row r="1283" spans="1:14" x14ac:dyDescent="0.25">
      <c r="A1283" s="1" t="s">
        <v>1295</v>
      </c>
      <c r="B1283" t="str">
        <f>HYPERLINK("https://www.suredividend.com/sure-analysis-research-database/","Qualys Inc")</f>
        <v>Qualys Inc</v>
      </c>
      <c r="C1283" t="s">
        <v>1803</v>
      </c>
      <c r="D1283">
        <v>193.1</v>
      </c>
      <c r="E1283">
        <v>0</v>
      </c>
      <c r="F1283" t="s">
        <v>1797</v>
      </c>
      <c r="G1283" t="s">
        <v>1797</v>
      </c>
      <c r="H1283">
        <v>0</v>
      </c>
      <c r="I1283">
        <v>7103.2730979999997</v>
      </c>
      <c r="J1283">
        <v>50.982380414561327</v>
      </c>
      <c r="K1283">
        <v>0</v>
      </c>
      <c r="L1283">
        <v>1.301453037630669</v>
      </c>
      <c r="M1283">
        <v>206.35</v>
      </c>
      <c r="N1283">
        <v>102.97</v>
      </c>
    </row>
    <row r="1284" spans="1:14" x14ac:dyDescent="0.25">
      <c r="A1284" s="1" t="s">
        <v>1296</v>
      </c>
      <c r="B1284" t="str">
        <f>HYPERLINK("https://www.suredividend.com/sure-analysis-research-database/","QuinStreet Inc")</f>
        <v>QuinStreet Inc</v>
      </c>
      <c r="C1284" t="s">
        <v>1806</v>
      </c>
      <c r="D1284">
        <v>11.72</v>
      </c>
      <c r="E1284">
        <v>0</v>
      </c>
      <c r="F1284" t="s">
        <v>1797</v>
      </c>
      <c r="G1284" t="s">
        <v>1797</v>
      </c>
      <c r="H1284">
        <v>0</v>
      </c>
      <c r="I1284">
        <v>639.91200000000003</v>
      </c>
      <c r="J1284" t="s">
        <v>1797</v>
      </c>
      <c r="K1284">
        <v>0</v>
      </c>
      <c r="L1284">
        <v>1.0643901097224431</v>
      </c>
      <c r="M1284">
        <v>18.18</v>
      </c>
      <c r="N1284">
        <v>6.79</v>
      </c>
    </row>
    <row r="1285" spans="1:14" x14ac:dyDescent="0.25">
      <c r="A1285" s="1" t="s">
        <v>1297</v>
      </c>
      <c r="B1285" t="str">
        <f>HYPERLINK("https://www.suredividend.com/sure-analysis-research-database/","Qurate Retail Inc")</f>
        <v>Qurate Retail Inc</v>
      </c>
      <c r="C1285" t="s">
        <v>1801</v>
      </c>
      <c r="D1285">
        <v>0.85220000000000007</v>
      </c>
      <c r="E1285">
        <v>0</v>
      </c>
      <c r="F1285" t="s">
        <v>1797</v>
      </c>
      <c r="G1285" t="s">
        <v>1797</v>
      </c>
      <c r="H1285">
        <v>0</v>
      </c>
      <c r="I1285">
        <v>381.50450999999998</v>
      </c>
      <c r="J1285">
        <v>0</v>
      </c>
      <c r="K1285" t="s">
        <v>1797</v>
      </c>
      <c r="L1285">
        <v>3.52950360363418</v>
      </c>
      <c r="M1285">
        <v>2.84</v>
      </c>
      <c r="N1285">
        <v>0.4</v>
      </c>
    </row>
    <row r="1286" spans="1:14" x14ac:dyDescent="0.25">
      <c r="A1286" s="1" t="s">
        <v>1298</v>
      </c>
      <c r="B1286" t="str">
        <f>HYPERLINK("https://www.suredividend.com/sure-analysis-research-database/","Quantum-Si Incorporated")</f>
        <v>Quantum-Si Incorporated</v>
      </c>
      <c r="C1286" t="s">
        <v>1797</v>
      </c>
      <c r="D1286">
        <v>1.73</v>
      </c>
      <c r="E1286">
        <v>0</v>
      </c>
      <c r="F1286" t="s">
        <v>1797</v>
      </c>
      <c r="G1286" t="s">
        <v>1797</v>
      </c>
      <c r="H1286">
        <v>0</v>
      </c>
      <c r="I1286">
        <v>210.69762399999999</v>
      </c>
      <c r="J1286">
        <v>0</v>
      </c>
      <c r="K1286" t="s">
        <v>1797</v>
      </c>
      <c r="L1286">
        <v>2.8438822054553761</v>
      </c>
      <c r="M1286">
        <v>3.9</v>
      </c>
      <c r="N1286">
        <v>1.1200000000000001</v>
      </c>
    </row>
    <row r="1287" spans="1:14" x14ac:dyDescent="0.25">
      <c r="A1287" s="1" t="s">
        <v>1299</v>
      </c>
      <c r="B1287" t="str">
        <f>HYPERLINK("https://www.suredividend.com/sure-analysis-research-database/","Quanterix Corp")</f>
        <v>Quanterix Corp</v>
      </c>
      <c r="C1287" t="s">
        <v>1802</v>
      </c>
      <c r="D1287">
        <v>22.91</v>
      </c>
      <c r="E1287">
        <v>0</v>
      </c>
      <c r="F1287" t="s">
        <v>1797</v>
      </c>
      <c r="G1287" t="s">
        <v>1797</v>
      </c>
      <c r="H1287">
        <v>0</v>
      </c>
      <c r="I1287">
        <v>866.67948100000001</v>
      </c>
      <c r="J1287" t="s">
        <v>1797</v>
      </c>
      <c r="K1287">
        <v>0</v>
      </c>
      <c r="L1287">
        <v>1.549815361229276</v>
      </c>
      <c r="M1287">
        <v>28.78</v>
      </c>
      <c r="N1287">
        <v>10.02</v>
      </c>
    </row>
    <row r="1288" spans="1:14" x14ac:dyDescent="0.25">
      <c r="A1288" s="1" t="s">
        <v>1300</v>
      </c>
      <c r="B1288" t="str">
        <f>HYPERLINK("https://www.suredividend.com/sure-analysis-research-database/","Q2 Holdings Inc")</f>
        <v>Q2 Holdings Inc</v>
      </c>
      <c r="C1288" t="s">
        <v>1803</v>
      </c>
      <c r="D1288">
        <v>42.36</v>
      </c>
      <c r="E1288">
        <v>0</v>
      </c>
      <c r="F1288" t="s">
        <v>1797</v>
      </c>
      <c r="G1288" t="s">
        <v>1797</v>
      </c>
      <c r="H1288">
        <v>0</v>
      </c>
      <c r="I1288">
        <v>2483.778812</v>
      </c>
      <c r="J1288" t="s">
        <v>1797</v>
      </c>
      <c r="K1288">
        <v>0</v>
      </c>
      <c r="L1288">
        <v>2.3566885672004259</v>
      </c>
      <c r="M1288">
        <v>44.77</v>
      </c>
      <c r="N1288">
        <v>18.91</v>
      </c>
    </row>
    <row r="1289" spans="1:14" x14ac:dyDescent="0.25">
      <c r="A1289" s="1" t="s">
        <v>1301</v>
      </c>
      <c r="B1289" t="str">
        <f>HYPERLINK("https://www.suredividend.com/sure-analysis-research-database/","Quad/Graphics Inc")</f>
        <v>Quad/Graphics Inc</v>
      </c>
      <c r="C1289" t="s">
        <v>1798</v>
      </c>
      <c r="D1289">
        <v>5.08</v>
      </c>
      <c r="E1289">
        <v>0</v>
      </c>
      <c r="F1289" t="s">
        <v>1797</v>
      </c>
      <c r="G1289" t="s">
        <v>1797</v>
      </c>
      <c r="H1289">
        <v>0</v>
      </c>
      <c r="I1289">
        <v>191.77766600000001</v>
      </c>
      <c r="J1289">
        <v>0</v>
      </c>
      <c r="K1289" t="s">
        <v>1797</v>
      </c>
      <c r="L1289">
        <v>1.454420317108053</v>
      </c>
      <c r="M1289">
        <v>6.41</v>
      </c>
      <c r="N1289">
        <v>2.68</v>
      </c>
    </row>
    <row r="1290" spans="1:14" x14ac:dyDescent="0.25">
      <c r="A1290" s="1" t="s">
        <v>1302</v>
      </c>
      <c r="B1290" t="str">
        <f>HYPERLINK("https://www.suredividend.com/sure-analysis-research-database/","Quotient Technology Inc")</f>
        <v>Quotient Technology Inc</v>
      </c>
      <c r="C1290" t="s">
        <v>1806</v>
      </c>
      <c r="D1290">
        <v>3.99</v>
      </c>
      <c r="E1290">
        <v>0</v>
      </c>
      <c r="F1290" t="s">
        <v>1797</v>
      </c>
      <c r="G1290" t="s">
        <v>1797</v>
      </c>
      <c r="H1290">
        <v>0</v>
      </c>
      <c r="I1290">
        <v>397.92339399999997</v>
      </c>
      <c r="J1290" t="s">
        <v>1797</v>
      </c>
      <c r="K1290">
        <v>0</v>
      </c>
      <c r="L1290">
        <v>0.83124945151545204</v>
      </c>
      <c r="M1290">
        <v>4.25</v>
      </c>
      <c r="N1290">
        <v>1.71</v>
      </c>
    </row>
    <row r="1291" spans="1:14" x14ac:dyDescent="0.25">
      <c r="A1291" s="1" t="s">
        <v>1303</v>
      </c>
      <c r="B1291" t="str">
        <f>HYPERLINK("https://www.suredividend.com/sure-analysis-research-database/","Rite Aid Corp.")</f>
        <v>Rite Aid Corp.</v>
      </c>
      <c r="C1291" t="s">
        <v>1802</v>
      </c>
      <c r="D1291">
        <v>0.64829999999999999</v>
      </c>
      <c r="E1291">
        <v>0</v>
      </c>
      <c r="F1291" t="s">
        <v>1797</v>
      </c>
      <c r="G1291" t="s">
        <v>1797</v>
      </c>
      <c r="H1291">
        <v>0</v>
      </c>
      <c r="I1291">
        <v>36.756231999999997</v>
      </c>
      <c r="J1291" t="s">
        <v>1797</v>
      </c>
      <c r="K1291">
        <v>0</v>
      </c>
      <c r="L1291">
        <v>1.0503220926754131</v>
      </c>
      <c r="M1291">
        <v>7.37</v>
      </c>
      <c r="N1291">
        <v>0.37790000000000001</v>
      </c>
    </row>
    <row r="1292" spans="1:14" x14ac:dyDescent="0.25">
      <c r="A1292" s="1" t="s">
        <v>1304</v>
      </c>
      <c r="B1292" t="str">
        <f>HYPERLINK("https://www.suredividend.com/sure-analysis-research-database/","Radius Global Infrastructure Inc")</f>
        <v>Radius Global Infrastructure Inc</v>
      </c>
      <c r="C1292" t="s">
        <v>1797</v>
      </c>
      <c r="D1292">
        <v>15</v>
      </c>
      <c r="E1292">
        <v>0</v>
      </c>
      <c r="F1292" t="s">
        <v>1797</v>
      </c>
      <c r="G1292" t="s">
        <v>1797</v>
      </c>
      <c r="H1292">
        <v>0</v>
      </c>
      <c r="I1292">
        <v>0</v>
      </c>
      <c r="J1292">
        <v>0</v>
      </c>
      <c r="K1292">
        <v>0</v>
      </c>
    </row>
    <row r="1293" spans="1:14" x14ac:dyDescent="0.25">
      <c r="A1293" s="1" t="s">
        <v>1305</v>
      </c>
      <c r="B1293" t="str">
        <f>HYPERLINK("https://www.suredividend.com/sure-analysis-research-database/","LiveRamp Holdings Inc")</f>
        <v>LiveRamp Holdings Inc</v>
      </c>
      <c r="C1293" t="s">
        <v>1803</v>
      </c>
      <c r="D1293">
        <v>38.36</v>
      </c>
      <c r="E1293">
        <v>0</v>
      </c>
      <c r="F1293" t="s">
        <v>1797</v>
      </c>
      <c r="G1293" t="s">
        <v>1797</v>
      </c>
      <c r="H1293">
        <v>0</v>
      </c>
      <c r="I1293">
        <v>2512.9970119999998</v>
      </c>
      <c r="J1293" t="s">
        <v>1797</v>
      </c>
      <c r="K1293">
        <v>0</v>
      </c>
      <c r="L1293">
        <v>1.2617855106307441</v>
      </c>
      <c r="M1293">
        <v>38.78</v>
      </c>
      <c r="N1293">
        <v>20.260000000000002</v>
      </c>
    </row>
    <row r="1294" spans="1:14" x14ac:dyDescent="0.25">
      <c r="A1294" s="1" t="s">
        <v>1306</v>
      </c>
      <c r="B1294" t="str">
        <f>HYPERLINK("https://www.suredividend.com/sure-analysis-research-database/","RAPT Therapeutics Inc")</f>
        <v>RAPT Therapeutics Inc</v>
      </c>
      <c r="C1294" t="s">
        <v>1802</v>
      </c>
      <c r="D1294">
        <v>24.08</v>
      </c>
      <c r="E1294">
        <v>0</v>
      </c>
      <c r="F1294" t="s">
        <v>1797</v>
      </c>
      <c r="G1294" t="s">
        <v>1797</v>
      </c>
      <c r="H1294">
        <v>0</v>
      </c>
      <c r="I1294">
        <v>828.26078500000006</v>
      </c>
      <c r="J1294">
        <v>0</v>
      </c>
      <c r="K1294" t="s">
        <v>1797</v>
      </c>
      <c r="L1294">
        <v>1.4173177649617701</v>
      </c>
      <c r="M1294">
        <v>31.45</v>
      </c>
      <c r="N1294">
        <v>10.47</v>
      </c>
    </row>
    <row r="1295" spans="1:14" x14ac:dyDescent="0.25">
      <c r="A1295" s="1" t="s">
        <v>1307</v>
      </c>
      <c r="B1295" t="str">
        <f>HYPERLINK("https://www.suredividend.com/sure-analysis-research-database/","RBB Bancorp")</f>
        <v>RBB Bancorp</v>
      </c>
      <c r="C1295" t="s">
        <v>1800</v>
      </c>
      <c r="D1295">
        <v>17.600000000000001</v>
      </c>
      <c r="E1295">
        <v>3.5021753091756001E-2</v>
      </c>
      <c r="F1295">
        <v>0.14285714285714279</v>
      </c>
      <c r="G1295">
        <v>9.8560543306117632E-2</v>
      </c>
      <c r="H1295">
        <v>0.61638285441491103</v>
      </c>
      <c r="I1295">
        <v>334.31733300000002</v>
      </c>
      <c r="J1295">
        <v>6.9687191562096134</v>
      </c>
      <c r="K1295">
        <v>0.24459637079956789</v>
      </c>
      <c r="L1295">
        <v>1.928915277369885</v>
      </c>
      <c r="M1295">
        <v>20.22</v>
      </c>
      <c r="N1295">
        <v>8.2100000000000009</v>
      </c>
    </row>
    <row r="1296" spans="1:14" x14ac:dyDescent="0.25">
      <c r="A1296" s="1" t="s">
        <v>1308</v>
      </c>
      <c r="B1296" t="str">
        <f>HYPERLINK("https://www.suredividend.com/sure-analysis-research-database/","Ribbon Communications Inc")</f>
        <v>Ribbon Communications Inc</v>
      </c>
      <c r="C1296" t="s">
        <v>1806</v>
      </c>
      <c r="D1296">
        <v>2.9</v>
      </c>
      <c r="E1296">
        <v>0</v>
      </c>
      <c r="F1296" t="s">
        <v>1797</v>
      </c>
      <c r="G1296" t="s">
        <v>1797</v>
      </c>
      <c r="H1296">
        <v>0</v>
      </c>
      <c r="I1296">
        <v>498.01919500000002</v>
      </c>
      <c r="J1296">
        <v>0</v>
      </c>
      <c r="K1296" t="s">
        <v>1797</v>
      </c>
      <c r="L1296">
        <v>1.4764437201851921</v>
      </c>
      <c r="M1296">
        <v>4.84</v>
      </c>
      <c r="N1296">
        <v>1.78</v>
      </c>
    </row>
    <row r="1297" spans="1:14" x14ac:dyDescent="0.25">
      <c r="A1297" s="1" t="s">
        <v>1309</v>
      </c>
      <c r="B1297" t="str">
        <f>HYPERLINK("https://www.suredividend.com/sure-analysis-research-database/","RBC Bearings Inc.")</f>
        <v>RBC Bearings Inc.</v>
      </c>
      <c r="C1297" t="s">
        <v>1798</v>
      </c>
      <c r="D1297">
        <v>272.58</v>
      </c>
      <c r="E1297">
        <v>0</v>
      </c>
      <c r="F1297" t="s">
        <v>1797</v>
      </c>
      <c r="G1297" t="s">
        <v>1797</v>
      </c>
      <c r="H1297">
        <v>0</v>
      </c>
      <c r="I1297">
        <v>7927.9890269999996</v>
      </c>
      <c r="J1297">
        <v>48.264879017533183</v>
      </c>
      <c r="K1297">
        <v>0</v>
      </c>
      <c r="L1297">
        <v>1.1527148829046989</v>
      </c>
      <c r="M1297">
        <v>288.16000000000003</v>
      </c>
      <c r="N1297">
        <v>195.18</v>
      </c>
    </row>
    <row r="1298" spans="1:14" x14ac:dyDescent="0.25">
      <c r="A1298" s="1" t="s">
        <v>1310</v>
      </c>
      <c r="B1298" t="str">
        <f>HYPERLINK("https://www.suredividend.com/sure-analysis-RBCAA/","Republic Bancorp, Inc. (KY)")</f>
        <v>Republic Bancorp, Inc. (KY)</v>
      </c>
      <c r="C1298" t="s">
        <v>1800</v>
      </c>
      <c r="D1298">
        <v>51.41</v>
      </c>
      <c r="E1298">
        <v>2.9177202878817352E-2</v>
      </c>
      <c r="F1298">
        <v>9.6774193548387011E-2</v>
      </c>
      <c r="G1298">
        <v>7.2145025900850923E-2</v>
      </c>
      <c r="H1298">
        <v>1.461638297577498</v>
      </c>
      <c r="I1298">
        <v>885.38060399999995</v>
      </c>
      <c r="J1298">
        <v>9.7820221158754155</v>
      </c>
      <c r="K1298">
        <v>0.32194676158094671</v>
      </c>
      <c r="L1298">
        <v>0.8657234349633891</v>
      </c>
      <c r="M1298">
        <v>57.54</v>
      </c>
      <c r="N1298">
        <v>35.49</v>
      </c>
    </row>
    <row r="1299" spans="1:14" x14ac:dyDescent="0.25">
      <c r="A1299" s="1" t="s">
        <v>1311</v>
      </c>
      <c r="B1299" t="str">
        <f>HYPERLINK("https://www.suredividend.com/sure-analysis-research-database/","Vicarious Surgical Inc")</f>
        <v>Vicarious Surgical Inc</v>
      </c>
      <c r="C1299" t="s">
        <v>1797</v>
      </c>
      <c r="D1299">
        <v>0.56159999999999999</v>
      </c>
      <c r="E1299">
        <v>0</v>
      </c>
      <c r="F1299" t="s">
        <v>1797</v>
      </c>
      <c r="G1299" t="s">
        <v>1797</v>
      </c>
      <c r="H1299">
        <v>0</v>
      </c>
      <c r="I1299">
        <v>60.475681000000002</v>
      </c>
      <c r="J1299">
        <v>0</v>
      </c>
      <c r="K1299" t="s">
        <v>1797</v>
      </c>
      <c r="L1299">
        <v>1.278684573179707</v>
      </c>
      <c r="M1299">
        <v>3.56</v>
      </c>
      <c r="N1299">
        <v>0.2</v>
      </c>
    </row>
    <row r="1300" spans="1:14" x14ac:dyDescent="0.25">
      <c r="A1300" s="1" t="s">
        <v>1312</v>
      </c>
      <c r="B1300" t="str">
        <f>HYPERLINK("https://www.suredividend.com/sure-analysis-research-database/","Ready Capital Corp")</f>
        <v>Ready Capital Corp</v>
      </c>
      <c r="C1300" t="s">
        <v>1799</v>
      </c>
      <c r="D1300">
        <v>10.11</v>
      </c>
      <c r="E1300">
        <v>0.113091402489751</v>
      </c>
      <c r="F1300">
        <v>-0.24999999999999989</v>
      </c>
      <c r="G1300">
        <v>-5.5912488705098018E-2</v>
      </c>
      <c r="H1300">
        <v>1.143354079171387</v>
      </c>
      <c r="I1300">
        <v>1740.180404</v>
      </c>
      <c r="J1300">
        <v>5.2142892779257668</v>
      </c>
      <c r="K1300">
        <v>0.4783908281051828</v>
      </c>
      <c r="L1300">
        <v>1.4847033570243451</v>
      </c>
      <c r="M1300">
        <v>11.72</v>
      </c>
      <c r="N1300">
        <v>8.1300000000000008</v>
      </c>
    </row>
    <row r="1301" spans="1:14" x14ac:dyDescent="0.25">
      <c r="A1301" s="1" t="s">
        <v>1313</v>
      </c>
      <c r="B1301" t="str">
        <f>HYPERLINK("https://www.suredividend.com/sure-analysis-research-database/","Rocket Pharmaceuticals Inc")</f>
        <v>Rocket Pharmaceuticals Inc</v>
      </c>
      <c r="C1301" t="s">
        <v>1802</v>
      </c>
      <c r="D1301">
        <v>28.61</v>
      </c>
      <c r="E1301">
        <v>0</v>
      </c>
      <c r="F1301" t="s">
        <v>1797</v>
      </c>
      <c r="G1301" t="s">
        <v>1797</v>
      </c>
      <c r="H1301">
        <v>0</v>
      </c>
      <c r="I1301">
        <v>2579.4459860000002</v>
      </c>
      <c r="J1301">
        <v>0</v>
      </c>
      <c r="K1301" t="s">
        <v>1797</v>
      </c>
      <c r="L1301">
        <v>1.88020974364473</v>
      </c>
      <c r="M1301">
        <v>32.53</v>
      </c>
      <c r="N1301">
        <v>14.89</v>
      </c>
    </row>
    <row r="1302" spans="1:14" x14ac:dyDescent="0.25">
      <c r="A1302" s="1" t="s">
        <v>1314</v>
      </c>
      <c r="B1302" t="str">
        <f>HYPERLINK("https://www.suredividend.com/sure-analysis-research-database/","Rocky Brands, Inc")</f>
        <v>Rocky Brands, Inc</v>
      </c>
      <c r="C1302" t="s">
        <v>1801</v>
      </c>
      <c r="D1302">
        <v>26.23</v>
      </c>
      <c r="E1302">
        <v>2.3149745935969E-2</v>
      </c>
      <c r="F1302">
        <v>0</v>
      </c>
      <c r="G1302">
        <v>5.2519353814266312E-2</v>
      </c>
      <c r="H1302">
        <v>0.60721783590047507</v>
      </c>
      <c r="I1302">
        <v>193.66867999999999</v>
      </c>
      <c r="J1302">
        <v>0</v>
      </c>
      <c r="K1302" t="s">
        <v>1797</v>
      </c>
      <c r="L1302">
        <v>1.793777053235911</v>
      </c>
      <c r="M1302">
        <v>32.380000000000003</v>
      </c>
      <c r="N1302">
        <v>11.64</v>
      </c>
    </row>
    <row r="1303" spans="1:14" x14ac:dyDescent="0.25">
      <c r="A1303" s="1" t="s">
        <v>1315</v>
      </c>
      <c r="B1303" t="str">
        <f>HYPERLINK("https://www.suredividend.com/sure-analysis-research-database/","R1 RCM Inc.")</f>
        <v>R1 RCM Inc.</v>
      </c>
      <c r="C1303" t="s">
        <v>1802</v>
      </c>
      <c r="D1303">
        <v>9.25</v>
      </c>
      <c r="E1303">
        <v>0</v>
      </c>
      <c r="F1303" t="s">
        <v>1797</v>
      </c>
      <c r="G1303" t="s">
        <v>1797</v>
      </c>
      <c r="H1303">
        <v>0</v>
      </c>
      <c r="I1303">
        <v>2587.2249999999999</v>
      </c>
      <c r="J1303" t="s">
        <v>1797</v>
      </c>
      <c r="K1303">
        <v>0</v>
      </c>
      <c r="L1303">
        <v>1.07015567817708</v>
      </c>
      <c r="M1303">
        <v>18.7</v>
      </c>
      <c r="N1303">
        <v>8.8699999999999992</v>
      </c>
    </row>
    <row r="1304" spans="1:14" x14ac:dyDescent="0.25">
      <c r="A1304" s="1" t="s">
        <v>1316</v>
      </c>
      <c r="B1304" t="str">
        <f>HYPERLINK("https://www.suredividend.com/sure-analysis-research-database/","Arcus Biosciences Inc")</f>
        <v>Arcus Biosciences Inc</v>
      </c>
      <c r="C1304" t="s">
        <v>1802</v>
      </c>
      <c r="D1304">
        <v>17.510000000000002</v>
      </c>
      <c r="E1304">
        <v>0</v>
      </c>
      <c r="F1304" t="s">
        <v>1797</v>
      </c>
      <c r="G1304" t="s">
        <v>1797</v>
      </c>
      <c r="H1304">
        <v>0</v>
      </c>
      <c r="I1304">
        <v>1310.720943</v>
      </c>
      <c r="J1304" t="s">
        <v>1797</v>
      </c>
      <c r="K1304">
        <v>0</v>
      </c>
      <c r="L1304">
        <v>1.2916320329307029</v>
      </c>
      <c r="M1304">
        <v>25.47</v>
      </c>
      <c r="N1304">
        <v>12.95</v>
      </c>
    </row>
    <row r="1305" spans="1:14" x14ac:dyDescent="0.25">
      <c r="A1305" s="1" t="s">
        <v>1317</v>
      </c>
      <c r="B1305" t="str">
        <f>HYPERLINK("https://www.suredividend.com/sure-analysis-research-database/","Redfin Corp")</f>
        <v>Redfin Corp</v>
      </c>
      <c r="C1305" t="s">
        <v>1799</v>
      </c>
      <c r="D1305">
        <v>8.65</v>
      </c>
      <c r="E1305">
        <v>0</v>
      </c>
      <c r="F1305" t="s">
        <v>1797</v>
      </c>
      <c r="G1305" t="s">
        <v>1797</v>
      </c>
      <c r="H1305">
        <v>0</v>
      </c>
      <c r="I1305">
        <v>996.84016899999995</v>
      </c>
      <c r="J1305" t="s">
        <v>1797</v>
      </c>
      <c r="K1305">
        <v>0</v>
      </c>
      <c r="L1305">
        <v>3.8209960767135658</v>
      </c>
      <c r="M1305">
        <v>17.68</v>
      </c>
      <c r="N1305">
        <v>4.26</v>
      </c>
    </row>
    <row r="1306" spans="1:14" x14ac:dyDescent="0.25">
      <c r="A1306" s="1" t="s">
        <v>1318</v>
      </c>
      <c r="B1306" t="str">
        <f>HYPERLINK("https://www.suredividend.com/sure-analysis-research-database/","Radian Group, Inc.")</f>
        <v>Radian Group, Inc.</v>
      </c>
      <c r="C1306" t="s">
        <v>1800</v>
      </c>
      <c r="D1306">
        <v>28.87</v>
      </c>
      <c r="E1306">
        <v>3.0767975189412999E-2</v>
      </c>
      <c r="F1306">
        <v>0.125</v>
      </c>
      <c r="G1306">
        <v>1.459509485849364</v>
      </c>
      <c r="H1306">
        <v>0.88827144371837208</v>
      </c>
      <c r="I1306">
        <v>4421.7389579999999</v>
      </c>
      <c r="J1306">
        <v>7.1002751608334567</v>
      </c>
      <c r="K1306">
        <v>0.23012213567833481</v>
      </c>
      <c r="L1306">
        <v>0.9135678671989671</v>
      </c>
      <c r="M1306">
        <v>29.24</v>
      </c>
      <c r="N1306">
        <v>18.78</v>
      </c>
    </row>
    <row r="1307" spans="1:14" x14ac:dyDescent="0.25">
      <c r="A1307" s="1" t="s">
        <v>1319</v>
      </c>
      <c r="B1307" t="str">
        <f>HYPERLINK("https://www.suredividend.com/sure-analysis-research-database/","Radnet Inc")</f>
        <v>Radnet Inc</v>
      </c>
      <c r="C1307" t="s">
        <v>1802</v>
      </c>
      <c r="D1307">
        <v>36.24</v>
      </c>
      <c r="E1307">
        <v>0</v>
      </c>
      <c r="F1307" t="s">
        <v>1797</v>
      </c>
      <c r="G1307" t="s">
        <v>1797</v>
      </c>
      <c r="H1307">
        <v>0</v>
      </c>
      <c r="I1307">
        <v>2500.368109</v>
      </c>
      <c r="J1307">
        <v>630.13309203629035</v>
      </c>
      <c r="K1307">
        <v>0</v>
      </c>
      <c r="L1307">
        <v>1.2226856393274059</v>
      </c>
      <c r="M1307">
        <v>37.97</v>
      </c>
      <c r="N1307">
        <v>19.79</v>
      </c>
    </row>
    <row r="1308" spans="1:14" x14ac:dyDescent="0.25">
      <c r="A1308" s="1" t="s">
        <v>1320</v>
      </c>
      <c r="B1308" t="str">
        <f>HYPERLINK("https://www.suredividend.com/sure-analysis-research-database/","Red Violet Inc")</f>
        <v>Red Violet Inc</v>
      </c>
      <c r="C1308" t="s">
        <v>1803</v>
      </c>
      <c r="D1308">
        <v>18.350000000000001</v>
      </c>
      <c r="E1308">
        <v>0</v>
      </c>
      <c r="F1308" t="s">
        <v>1797</v>
      </c>
      <c r="G1308" t="s">
        <v>1797</v>
      </c>
      <c r="H1308">
        <v>0</v>
      </c>
      <c r="I1308">
        <v>255.788082</v>
      </c>
      <c r="J1308">
        <v>19.59311235158944</v>
      </c>
      <c r="K1308">
        <v>0</v>
      </c>
      <c r="L1308">
        <v>0.95425213690004407</v>
      </c>
      <c r="M1308">
        <v>24.44</v>
      </c>
      <c r="N1308">
        <v>15.2</v>
      </c>
    </row>
    <row r="1309" spans="1:14" x14ac:dyDescent="0.25">
      <c r="A1309" s="1" t="s">
        <v>1321</v>
      </c>
      <c r="B1309" t="str">
        <f>HYPERLINK("https://www.suredividend.com/sure-analysis-research-database/","Redwire Corporation")</f>
        <v>Redwire Corporation</v>
      </c>
      <c r="C1309" t="s">
        <v>1797</v>
      </c>
      <c r="D1309">
        <v>2.89</v>
      </c>
      <c r="E1309">
        <v>0</v>
      </c>
      <c r="F1309" t="s">
        <v>1797</v>
      </c>
      <c r="G1309" t="s">
        <v>1797</v>
      </c>
      <c r="H1309">
        <v>0</v>
      </c>
      <c r="I1309">
        <v>187.27153999999999</v>
      </c>
      <c r="J1309" t="s">
        <v>1797</v>
      </c>
      <c r="K1309">
        <v>0</v>
      </c>
      <c r="L1309">
        <v>2.1917722110348632</v>
      </c>
      <c r="M1309">
        <v>4.58</v>
      </c>
      <c r="N1309">
        <v>2.33</v>
      </c>
    </row>
    <row r="1310" spans="1:14" x14ac:dyDescent="0.25">
      <c r="A1310" s="1" t="s">
        <v>1322</v>
      </c>
      <c r="B1310" t="str">
        <f>HYPERLINK("https://www.suredividend.com/sure-analysis-research-database/","Therealreal Inc")</f>
        <v>Therealreal Inc</v>
      </c>
      <c r="C1310" t="s">
        <v>1801</v>
      </c>
      <c r="D1310">
        <v>1.75</v>
      </c>
      <c r="E1310">
        <v>0</v>
      </c>
      <c r="F1310" t="s">
        <v>1797</v>
      </c>
      <c r="G1310" t="s">
        <v>1797</v>
      </c>
      <c r="H1310">
        <v>0</v>
      </c>
      <c r="I1310">
        <v>178.67500000000001</v>
      </c>
      <c r="J1310" t="s">
        <v>1797</v>
      </c>
      <c r="K1310">
        <v>0</v>
      </c>
      <c r="L1310">
        <v>3.1843218546883438</v>
      </c>
      <c r="M1310">
        <v>2.94</v>
      </c>
      <c r="N1310">
        <v>1</v>
      </c>
    </row>
    <row r="1311" spans="1:14" x14ac:dyDescent="0.25">
      <c r="A1311" s="1" t="s">
        <v>1323</v>
      </c>
      <c r="B1311" t="str">
        <f>HYPERLINK("https://www.suredividend.com/sure-analysis-research-database/","Chicago Atlantic Real Estate Finance Inc")</f>
        <v>Chicago Atlantic Real Estate Finance Inc</v>
      </c>
      <c r="C1311" t="s">
        <v>1797</v>
      </c>
      <c r="D1311">
        <v>16.27</v>
      </c>
      <c r="E1311">
        <v>0.10609663652326</v>
      </c>
      <c r="F1311" t="s">
        <v>1797</v>
      </c>
      <c r="G1311" t="s">
        <v>1797</v>
      </c>
      <c r="H1311">
        <v>1.726192276233439</v>
      </c>
      <c r="I1311">
        <v>295.82506100000001</v>
      </c>
      <c r="J1311">
        <v>8.0896271454496187</v>
      </c>
      <c r="K1311">
        <v>0.85455063179873214</v>
      </c>
      <c r="L1311">
        <v>0.584283884610028</v>
      </c>
      <c r="M1311">
        <v>16.71</v>
      </c>
      <c r="N1311">
        <v>10.43</v>
      </c>
    </row>
    <row r="1312" spans="1:14" x14ac:dyDescent="0.25">
      <c r="A1312" s="1" t="s">
        <v>1324</v>
      </c>
      <c r="B1312" t="str">
        <f>HYPERLINK("https://www.suredividend.com/sure-analysis-research-database/","Ring Energy Inc")</f>
        <v>Ring Energy Inc</v>
      </c>
      <c r="C1312" t="s">
        <v>1807</v>
      </c>
      <c r="D1312">
        <v>1.4</v>
      </c>
      <c r="E1312">
        <v>0</v>
      </c>
      <c r="F1312" t="s">
        <v>1797</v>
      </c>
      <c r="G1312" t="s">
        <v>1797</v>
      </c>
      <c r="H1312">
        <v>0</v>
      </c>
      <c r="I1312">
        <v>273.88242100000002</v>
      </c>
      <c r="J1312">
        <v>0</v>
      </c>
      <c r="K1312" t="s">
        <v>1797</v>
      </c>
      <c r="L1312">
        <v>1.4310186964572069</v>
      </c>
      <c r="M1312">
        <v>2.54</v>
      </c>
      <c r="N1312">
        <v>1.37</v>
      </c>
    </row>
    <row r="1313" spans="1:14" x14ac:dyDescent="0.25">
      <c r="A1313" s="1" t="s">
        <v>1325</v>
      </c>
      <c r="B1313" t="str">
        <f>HYPERLINK("https://www.suredividend.com/sure-analysis-research-database/","Remitly Global Inc")</f>
        <v>Remitly Global Inc</v>
      </c>
      <c r="C1313" t="s">
        <v>1797</v>
      </c>
      <c r="D1313">
        <v>18.07</v>
      </c>
      <c r="E1313">
        <v>0</v>
      </c>
      <c r="F1313" t="s">
        <v>1797</v>
      </c>
      <c r="G1313" t="s">
        <v>1797</v>
      </c>
      <c r="H1313">
        <v>0</v>
      </c>
      <c r="I1313">
        <v>3345.8050600000001</v>
      </c>
      <c r="J1313" t="s">
        <v>1797</v>
      </c>
      <c r="K1313">
        <v>0</v>
      </c>
      <c r="L1313">
        <v>0.79950296147886701</v>
      </c>
      <c r="M1313">
        <v>27.95</v>
      </c>
      <c r="N1313">
        <v>11.25</v>
      </c>
    </row>
    <row r="1314" spans="1:14" x14ac:dyDescent="0.25">
      <c r="A1314" s="1" t="s">
        <v>1326</v>
      </c>
      <c r="B1314" t="str">
        <f>HYPERLINK("https://www.suredividend.com/sure-analysis-research-database/","Rent the Runway Inc")</f>
        <v>Rent the Runway Inc</v>
      </c>
      <c r="C1314" t="s">
        <v>1797</v>
      </c>
      <c r="D1314">
        <v>0.69000000000000006</v>
      </c>
      <c r="E1314">
        <v>0</v>
      </c>
      <c r="F1314" t="s">
        <v>1797</v>
      </c>
      <c r="G1314" t="s">
        <v>1797</v>
      </c>
      <c r="H1314">
        <v>0</v>
      </c>
      <c r="I1314">
        <v>46.383870000000002</v>
      </c>
      <c r="J1314">
        <v>0</v>
      </c>
      <c r="K1314" t="s">
        <v>1797</v>
      </c>
      <c r="L1314">
        <v>2.2362810911195168</v>
      </c>
      <c r="M1314">
        <v>4.82</v>
      </c>
      <c r="N1314">
        <v>0.42</v>
      </c>
    </row>
    <row r="1315" spans="1:14" x14ac:dyDescent="0.25">
      <c r="A1315" s="1" t="s">
        <v>1327</v>
      </c>
      <c r="B1315" t="str">
        <f>HYPERLINK("https://www.suredividend.com/sure-analysis-research-database/","Replimune Group Inc")</f>
        <v>Replimune Group Inc</v>
      </c>
      <c r="C1315" t="s">
        <v>1802</v>
      </c>
      <c r="D1315">
        <v>8.4700000000000006</v>
      </c>
      <c r="E1315">
        <v>0</v>
      </c>
      <c r="F1315" t="s">
        <v>1797</v>
      </c>
      <c r="G1315" t="s">
        <v>1797</v>
      </c>
      <c r="H1315">
        <v>0</v>
      </c>
      <c r="I1315">
        <v>500.23263500000002</v>
      </c>
      <c r="J1315">
        <v>0</v>
      </c>
      <c r="K1315" t="s">
        <v>1797</v>
      </c>
      <c r="L1315">
        <v>0.92427767555103713</v>
      </c>
      <c r="M1315">
        <v>29.52</v>
      </c>
      <c r="N1315">
        <v>5.89</v>
      </c>
    </row>
    <row r="1316" spans="1:14" x14ac:dyDescent="0.25">
      <c r="A1316" s="1" t="s">
        <v>1328</v>
      </c>
      <c r="B1316" t="str">
        <f>HYPERLINK("https://www.suredividend.com/sure-analysis-research-database/","Riley Exploration Permian Inc.")</f>
        <v>Riley Exploration Permian Inc.</v>
      </c>
      <c r="C1316" t="s">
        <v>1797</v>
      </c>
      <c r="D1316">
        <v>23.41</v>
      </c>
      <c r="E1316">
        <v>5.7216153709766002E-2</v>
      </c>
      <c r="F1316" t="s">
        <v>1797</v>
      </c>
      <c r="G1316" t="s">
        <v>1797</v>
      </c>
      <c r="H1316">
        <v>1.3394301583456441</v>
      </c>
      <c r="I1316">
        <v>478.17731900000001</v>
      </c>
      <c r="J1316">
        <v>4.0519724312987773</v>
      </c>
      <c r="K1316">
        <v>0.2236110447989389</v>
      </c>
      <c r="L1316">
        <v>1.039440444075685</v>
      </c>
      <c r="M1316">
        <v>45.15</v>
      </c>
      <c r="N1316">
        <v>23.05</v>
      </c>
    </row>
    <row r="1317" spans="1:14" x14ac:dyDescent="0.25">
      <c r="A1317" s="1" t="s">
        <v>1329</v>
      </c>
      <c r="B1317" t="str">
        <f>HYPERLINK("https://www.suredividend.com/sure-analysis-research-database/","RPC, Inc.")</f>
        <v>RPC, Inc.</v>
      </c>
      <c r="C1317" t="s">
        <v>1807</v>
      </c>
      <c r="D1317">
        <v>6.74</v>
      </c>
      <c r="E1317">
        <v>2.3551029414775E-2</v>
      </c>
      <c r="F1317" t="s">
        <v>1797</v>
      </c>
      <c r="G1317" t="s">
        <v>1797</v>
      </c>
      <c r="H1317">
        <v>0.15873393825558901</v>
      </c>
      <c r="I1317">
        <v>1458.596485</v>
      </c>
      <c r="J1317">
        <v>6.1115572850307132</v>
      </c>
      <c r="K1317">
        <v>0.14172673058534729</v>
      </c>
      <c r="L1317">
        <v>0.86352739835883208</v>
      </c>
      <c r="M1317">
        <v>9.9600000000000009</v>
      </c>
      <c r="N1317">
        <v>6.47</v>
      </c>
    </row>
    <row r="1318" spans="1:14" x14ac:dyDescent="0.25">
      <c r="A1318" s="1" t="s">
        <v>1330</v>
      </c>
      <c r="B1318" t="str">
        <f>HYPERLINK("https://www.suredividend.com/sure-analysis-research-database/","Reata Pharmaceuticals Inc")</f>
        <v>Reata Pharmaceuticals Inc</v>
      </c>
      <c r="C1318" t="s">
        <v>1802</v>
      </c>
      <c r="D1318">
        <v>172.36</v>
      </c>
      <c r="E1318">
        <v>0</v>
      </c>
      <c r="F1318" t="s">
        <v>1797</v>
      </c>
      <c r="G1318" t="s">
        <v>1797</v>
      </c>
      <c r="H1318">
        <v>0</v>
      </c>
      <c r="I1318">
        <v>0</v>
      </c>
      <c r="J1318">
        <v>0</v>
      </c>
      <c r="K1318">
        <v>0</v>
      </c>
    </row>
    <row r="1319" spans="1:14" x14ac:dyDescent="0.25">
      <c r="A1319" s="1" t="s">
        <v>1331</v>
      </c>
      <c r="B1319" t="str">
        <f>HYPERLINK("https://www.suredividend.com/sure-analysis-research-database/","REV Group Inc")</f>
        <v>REV Group Inc</v>
      </c>
      <c r="C1319" t="s">
        <v>1798</v>
      </c>
      <c r="D1319">
        <v>17.41</v>
      </c>
      <c r="E1319">
        <v>1.1435141339923001E-2</v>
      </c>
      <c r="F1319" t="s">
        <v>1797</v>
      </c>
      <c r="G1319" t="s">
        <v>1797</v>
      </c>
      <c r="H1319">
        <v>0.199085810728061</v>
      </c>
      <c r="I1319">
        <v>1035.9964829999999</v>
      </c>
      <c r="J1319" t="s">
        <v>1797</v>
      </c>
      <c r="K1319" t="s">
        <v>1797</v>
      </c>
      <c r="L1319">
        <v>1.219360249877649</v>
      </c>
      <c r="M1319">
        <v>19.23</v>
      </c>
      <c r="N1319">
        <v>9.75</v>
      </c>
    </row>
    <row r="1320" spans="1:14" x14ac:dyDescent="0.25">
      <c r="A1320" s="1" t="s">
        <v>1332</v>
      </c>
      <c r="B1320" t="str">
        <f>HYPERLINK("https://www.suredividend.com/sure-analysis-research-database/","REX American Resources Corp")</f>
        <v>REX American Resources Corp</v>
      </c>
      <c r="C1320" t="s">
        <v>1807</v>
      </c>
      <c r="D1320">
        <v>44.97</v>
      </c>
      <c r="E1320">
        <v>0</v>
      </c>
      <c r="F1320" t="s">
        <v>1797</v>
      </c>
      <c r="G1320" t="s">
        <v>1797</v>
      </c>
      <c r="H1320">
        <v>0</v>
      </c>
      <c r="I1320">
        <v>787.14341300000001</v>
      </c>
      <c r="J1320">
        <v>16.220396732814049</v>
      </c>
      <c r="K1320">
        <v>0</v>
      </c>
      <c r="L1320">
        <v>1.051734182162654</v>
      </c>
      <c r="M1320">
        <v>51.19</v>
      </c>
      <c r="N1320">
        <v>27.42</v>
      </c>
    </row>
    <row r="1321" spans="1:14" x14ac:dyDescent="0.25">
      <c r="A1321" s="1" t="s">
        <v>1333</v>
      </c>
      <c r="B1321" t="str">
        <f>HYPERLINK("https://www.suredividend.com/sure-analysis-research-database/","Resideo Technologies Inc")</f>
        <v>Resideo Technologies Inc</v>
      </c>
      <c r="C1321" t="s">
        <v>1798</v>
      </c>
      <c r="D1321">
        <v>17.03</v>
      </c>
      <c r="E1321">
        <v>0</v>
      </c>
      <c r="F1321" t="s">
        <v>1797</v>
      </c>
      <c r="G1321" t="s">
        <v>1797</v>
      </c>
      <c r="H1321">
        <v>0</v>
      </c>
      <c r="I1321">
        <v>2488.0830000000001</v>
      </c>
      <c r="J1321">
        <v>14.898700598802399</v>
      </c>
      <c r="K1321">
        <v>0</v>
      </c>
      <c r="L1321">
        <v>1.5413000205124769</v>
      </c>
      <c r="M1321">
        <v>20.16</v>
      </c>
      <c r="N1321">
        <v>14.2</v>
      </c>
    </row>
    <row r="1322" spans="1:14" x14ac:dyDescent="0.25">
      <c r="A1322" s="1" t="s">
        <v>1334</v>
      </c>
      <c r="B1322" t="str">
        <f>HYPERLINK("https://www.suredividend.com/sure-analysis-research-database/","Regenxbio Inc")</f>
        <v>Regenxbio Inc</v>
      </c>
      <c r="C1322" t="s">
        <v>1802</v>
      </c>
      <c r="D1322">
        <v>15.13</v>
      </c>
      <c r="E1322">
        <v>0</v>
      </c>
      <c r="F1322" t="s">
        <v>1797</v>
      </c>
      <c r="G1322" t="s">
        <v>1797</v>
      </c>
      <c r="H1322">
        <v>0</v>
      </c>
      <c r="I1322">
        <v>665.598657</v>
      </c>
      <c r="J1322" t="s">
        <v>1797</v>
      </c>
      <c r="K1322">
        <v>0</v>
      </c>
      <c r="L1322">
        <v>1.2596983435670071</v>
      </c>
      <c r="M1322">
        <v>25.32</v>
      </c>
      <c r="N1322">
        <v>12.76</v>
      </c>
    </row>
    <row r="1323" spans="1:14" x14ac:dyDescent="0.25">
      <c r="A1323" s="1" t="s">
        <v>1335</v>
      </c>
      <c r="B1323" t="str">
        <f>HYPERLINK("https://www.suredividend.com/sure-analysis-research-database/","Resources Connection Inc")</f>
        <v>Resources Connection Inc</v>
      </c>
      <c r="C1323" t="s">
        <v>1798</v>
      </c>
      <c r="D1323">
        <v>13.14</v>
      </c>
      <c r="E1323">
        <v>4.1531224898917002E-2</v>
      </c>
      <c r="F1323">
        <v>0</v>
      </c>
      <c r="G1323">
        <v>1.493197894539389E-2</v>
      </c>
      <c r="H1323">
        <v>0.54572029517177101</v>
      </c>
      <c r="I1323">
        <v>440.29781400000002</v>
      </c>
      <c r="J1323">
        <v>16.4296359453711</v>
      </c>
      <c r="K1323">
        <v>0.69297815259907425</v>
      </c>
      <c r="L1323">
        <v>0.83795483503510704</v>
      </c>
      <c r="M1323">
        <v>17.63</v>
      </c>
      <c r="N1323">
        <v>12.5</v>
      </c>
    </row>
    <row r="1324" spans="1:14" x14ac:dyDescent="0.25">
      <c r="A1324" s="1" t="s">
        <v>1336</v>
      </c>
      <c r="B1324" t="str">
        <f>HYPERLINK("https://www.suredividend.com/sure-analysis-research-database/","Sturm, Ruger &amp; Co., Inc.")</f>
        <v>Sturm, Ruger &amp; Co., Inc.</v>
      </c>
      <c r="C1324" t="s">
        <v>1798</v>
      </c>
      <c r="D1324">
        <v>44.28</v>
      </c>
      <c r="E1324">
        <v>2.8420979130028001E-2</v>
      </c>
      <c r="F1324">
        <v>-0.96599999999999997</v>
      </c>
      <c r="G1324">
        <v>3.9594988207552577E-2</v>
      </c>
      <c r="H1324">
        <v>1.258480955877646</v>
      </c>
      <c r="I1324">
        <v>784.76035899999999</v>
      </c>
      <c r="J1324">
        <v>13.787075877723121</v>
      </c>
      <c r="K1324">
        <v>0.39327529871176442</v>
      </c>
      <c r="L1324">
        <v>0.303376926301684</v>
      </c>
      <c r="M1324">
        <v>59.89</v>
      </c>
      <c r="N1324">
        <v>42.93</v>
      </c>
    </row>
    <row r="1325" spans="1:14" x14ac:dyDescent="0.25">
      <c r="A1325" s="1" t="s">
        <v>1337</v>
      </c>
      <c r="B1325" t="str">
        <f>HYPERLINK("https://www.suredividend.com/sure-analysis-research-database/","Rigetti Computing Inc")</f>
        <v>Rigetti Computing Inc</v>
      </c>
      <c r="C1325" t="s">
        <v>1797</v>
      </c>
      <c r="D1325">
        <v>1.02</v>
      </c>
      <c r="E1325">
        <v>0</v>
      </c>
      <c r="F1325" t="s">
        <v>1797</v>
      </c>
      <c r="G1325" t="s">
        <v>1797</v>
      </c>
      <c r="H1325">
        <v>0</v>
      </c>
      <c r="I1325">
        <v>147.914863</v>
      </c>
      <c r="J1325" t="s">
        <v>1797</v>
      </c>
      <c r="K1325">
        <v>0</v>
      </c>
      <c r="L1325">
        <v>3.2252569559719428</v>
      </c>
      <c r="M1325">
        <v>3.43</v>
      </c>
      <c r="N1325">
        <v>0.36009999999999998</v>
      </c>
    </row>
    <row r="1326" spans="1:14" x14ac:dyDescent="0.25">
      <c r="A1326" s="1" t="s">
        <v>1338</v>
      </c>
      <c r="B1326" t="str">
        <f>HYPERLINK("https://www.suredividend.com/sure-analysis-research-database/","Ryman Hospitality Properties Inc")</f>
        <v>Ryman Hospitality Properties Inc</v>
      </c>
      <c r="C1326" t="s">
        <v>1799</v>
      </c>
      <c r="D1326">
        <v>111.86</v>
      </c>
      <c r="E1326">
        <v>3.3915074715866002E-2</v>
      </c>
      <c r="F1326" t="s">
        <v>1797</v>
      </c>
      <c r="G1326" t="s">
        <v>1797</v>
      </c>
      <c r="H1326">
        <v>3.793740257716824</v>
      </c>
      <c r="I1326">
        <v>6674.9245739999997</v>
      </c>
      <c r="J1326">
        <v>29.381785172309058</v>
      </c>
      <c r="K1326">
        <v>0.98029464023690538</v>
      </c>
      <c r="L1326">
        <v>1.1841288197784421</v>
      </c>
      <c r="M1326">
        <v>114.17</v>
      </c>
      <c r="N1326">
        <v>74</v>
      </c>
    </row>
    <row r="1327" spans="1:14" x14ac:dyDescent="0.25">
      <c r="A1327" s="1" t="s">
        <v>1339</v>
      </c>
      <c r="B1327" t="str">
        <f>HYPERLINK("https://www.suredividend.com/sure-analysis-research-database/","RCI Hospitality Holdings Inc")</f>
        <v>RCI Hospitality Holdings Inc</v>
      </c>
      <c r="C1327" t="s">
        <v>1801</v>
      </c>
      <c r="D1327">
        <v>62.93</v>
      </c>
      <c r="E1327">
        <v>3.8034945478600001E-3</v>
      </c>
      <c r="F1327">
        <v>0.2</v>
      </c>
      <c r="G1327">
        <v>0.1486983549970351</v>
      </c>
      <c r="H1327">
        <v>0.239353911896835</v>
      </c>
      <c r="I1327">
        <v>589.00497700000005</v>
      </c>
      <c r="J1327">
        <v>20.139676436093829</v>
      </c>
      <c r="K1327">
        <v>7.6470898369595863E-2</v>
      </c>
      <c r="L1327">
        <v>1.0803100085033699</v>
      </c>
      <c r="M1327">
        <v>96.29</v>
      </c>
      <c r="N1327">
        <v>50.34</v>
      </c>
    </row>
    <row r="1328" spans="1:14" x14ac:dyDescent="0.25">
      <c r="A1328" s="1" t="s">
        <v>1340</v>
      </c>
      <c r="B1328" t="str">
        <f>HYPERLINK("https://www.suredividend.com/sure-analysis-research-database/","Lordstown Motors Corp.")</f>
        <v>Lordstown Motors Corp.</v>
      </c>
      <c r="C1328" t="s">
        <v>1797</v>
      </c>
      <c r="D1328">
        <v>2.2000000000000002</v>
      </c>
      <c r="E1328">
        <v>0</v>
      </c>
      <c r="F1328" t="s">
        <v>1797</v>
      </c>
      <c r="G1328" t="s">
        <v>1797</v>
      </c>
      <c r="H1328">
        <v>0</v>
      </c>
      <c r="I1328">
        <v>0</v>
      </c>
      <c r="J1328">
        <v>0</v>
      </c>
      <c r="K1328" t="s">
        <v>1797</v>
      </c>
    </row>
    <row r="1329" spans="1:14" x14ac:dyDescent="0.25">
      <c r="A1329" s="1" t="s">
        <v>1341</v>
      </c>
      <c r="B1329" t="str">
        <f>HYPERLINK("https://www.suredividend.com/sure-analysis-research-database/","Rigel Pharmaceuticals")</f>
        <v>Rigel Pharmaceuticals</v>
      </c>
      <c r="C1329" t="s">
        <v>1802</v>
      </c>
      <c r="D1329">
        <v>1.33</v>
      </c>
      <c r="E1329">
        <v>0</v>
      </c>
      <c r="F1329" t="s">
        <v>1797</v>
      </c>
      <c r="G1329" t="s">
        <v>1797</v>
      </c>
      <c r="H1329">
        <v>0</v>
      </c>
      <c r="I1329">
        <v>231.911439</v>
      </c>
      <c r="J1329" t="s">
        <v>1797</v>
      </c>
      <c r="K1329">
        <v>0</v>
      </c>
      <c r="L1329">
        <v>1.470596801787851</v>
      </c>
      <c r="M1329">
        <v>2.04</v>
      </c>
      <c r="N1329">
        <v>0.71199999999999997</v>
      </c>
    </row>
    <row r="1330" spans="1:14" x14ac:dyDescent="0.25">
      <c r="A1330" s="1" t="s">
        <v>1342</v>
      </c>
      <c r="B1330" t="str">
        <f>HYPERLINK("https://www.suredividend.com/sure-analysis-research-database/","B. Riley Financial Inc")</f>
        <v>B. Riley Financial Inc</v>
      </c>
      <c r="C1330" t="s">
        <v>1800</v>
      </c>
      <c r="D1330">
        <v>23.17</v>
      </c>
      <c r="E1330">
        <v>0.15604554340020699</v>
      </c>
      <c r="F1330">
        <v>0</v>
      </c>
      <c r="G1330">
        <v>0.3195079107728942</v>
      </c>
      <c r="H1330">
        <v>3.6155752405828081</v>
      </c>
      <c r="I1330">
        <v>708.60512100000005</v>
      </c>
      <c r="J1330" t="s">
        <v>1797</v>
      </c>
      <c r="K1330" t="s">
        <v>1797</v>
      </c>
      <c r="L1330">
        <v>2.5757796060534579</v>
      </c>
      <c r="M1330">
        <v>53.26</v>
      </c>
      <c r="N1330">
        <v>15.17</v>
      </c>
    </row>
    <row r="1331" spans="1:14" x14ac:dyDescent="0.25">
      <c r="A1331" s="1" t="s">
        <v>1343</v>
      </c>
      <c r="B1331" t="str">
        <f>HYPERLINK("https://www.suredividend.com/sure-analysis-research-database/","Riot Platforms Inc")</f>
        <v>Riot Platforms Inc</v>
      </c>
      <c r="C1331" t="s">
        <v>1803</v>
      </c>
      <c r="D1331">
        <v>11.73</v>
      </c>
      <c r="E1331">
        <v>0</v>
      </c>
      <c r="F1331" t="s">
        <v>1797</v>
      </c>
      <c r="G1331" t="s">
        <v>1797</v>
      </c>
      <c r="H1331">
        <v>0</v>
      </c>
      <c r="I1331">
        <v>2422.2449999999999</v>
      </c>
      <c r="J1331">
        <v>0</v>
      </c>
      <c r="K1331" t="s">
        <v>1797</v>
      </c>
      <c r="L1331">
        <v>3.106959058880959</v>
      </c>
      <c r="M1331">
        <v>20.65</v>
      </c>
      <c r="N1331">
        <v>5.16</v>
      </c>
    </row>
    <row r="1332" spans="1:14" x14ac:dyDescent="0.25">
      <c r="A1332" s="1" t="s">
        <v>1344</v>
      </c>
      <c r="B1332" t="str">
        <f>HYPERLINK("https://www.suredividend.com/sure-analysis-research-database/","Rocket Lab USA Inc")</f>
        <v>Rocket Lab USA Inc</v>
      </c>
      <c r="C1332" t="s">
        <v>1797</v>
      </c>
      <c r="D1332">
        <v>5.17</v>
      </c>
      <c r="E1332">
        <v>0</v>
      </c>
      <c r="F1332" t="s">
        <v>1797</v>
      </c>
      <c r="G1332" t="s">
        <v>1797</v>
      </c>
      <c r="H1332">
        <v>0</v>
      </c>
      <c r="I1332">
        <v>2512.035754</v>
      </c>
      <c r="J1332" t="s">
        <v>1797</v>
      </c>
      <c r="K1332">
        <v>0</v>
      </c>
      <c r="L1332">
        <v>2.1715838597245201</v>
      </c>
      <c r="M1332">
        <v>8.0500000000000007</v>
      </c>
      <c r="N1332">
        <v>3.62</v>
      </c>
    </row>
    <row r="1333" spans="1:14" x14ac:dyDescent="0.25">
      <c r="A1333" s="1" t="s">
        <v>1345</v>
      </c>
      <c r="B1333" t="str">
        <f>HYPERLINK("https://www.suredividend.com/sure-analysis-research-database/","Relay Therapeutics Inc")</f>
        <v>Relay Therapeutics Inc</v>
      </c>
      <c r="C1333" t="s">
        <v>1797</v>
      </c>
      <c r="D1333">
        <v>11</v>
      </c>
      <c r="E1333">
        <v>0</v>
      </c>
      <c r="F1333" t="s">
        <v>1797</v>
      </c>
      <c r="G1333" t="s">
        <v>1797</v>
      </c>
      <c r="H1333">
        <v>0</v>
      </c>
      <c r="I1333">
        <v>1402.086499</v>
      </c>
      <c r="J1333" t="s">
        <v>1797</v>
      </c>
      <c r="K1333">
        <v>0</v>
      </c>
      <c r="L1333">
        <v>1.6274319919445379</v>
      </c>
      <c r="M1333">
        <v>23.18</v>
      </c>
      <c r="N1333">
        <v>5.95</v>
      </c>
    </row>
    <row r="1334" spans="1:14" x14ac:dyDescent="0.25">
      <c r="A1334" s="1" t="s">
        <v>1346</v>
      </c>
      <c r="B1334" t="str">
        <f>HYPERLINK("https://www.suredividend.com/sure-analysis-research-database/","Radiant Logistics, Inc.")</f>
        <v>Radiant Logistics, Inc.</v>
      </c>
      <c r="C1334" t="s">
        <v>1798</v>
      </c>
      <c r="D1334">
        <v>6.23</v>
      </c>
      <c r="E1334">
        <v>0</v>
      </c>
      <c r="F1334" t="s">
        <v>1797</v>
      </c>
      <c r="G1334" t="s">
        <v>1797</v>
      </c>
      <c r="H1334">
        <v>0</v>
      </c>
      <c r="I1334">
        <v>292.45436699999999</v>
      </c>
      <c r="J1334">
        <v>0</v>
      </c>
      <c r="K1334" t="s">
        <v>1797</v>
      </c>
      <c r="L1334">
        <v>1.16094338182903</v>
      </c>
      <c r="M1334">
        <v>7.76</v>
      </c>
      <c r="N1334">
        <v>5.2</v>
      </c>
    </row>
    <row r="1335" spans="1:14" x14ac:dyDescent="0.25">
      <c r="A1335" s="1" t="s">
        <v>1347</v>
      </c>
      <c r="B1335" t="str">
        <f>HYPERLINK("https://www.suredividend.com/sure-analysis-RLI/","RLI Corp.")</f>
        <v>RLI Corp.</v>
      </c>
      <c r="C1335" t="s">
        <v>1800</v>
      </c>
      <c r="D1335">
        <v>139.38</v>
      </c>
      <c r="E1335">
        <v>7.7486009470512278E-3</v>
      </c>
      <c r="F1335">
        <v>3.8461538461538547E-2</v>
      </c>
      <c r="G1335">
        <v>3.2588266169875757E-2</v>
      </c>
      <c r="H1335">
        <v>3.0667538943204571</v>
      </c>
      <c r="I1335">
        <v>6359.3199619999996</v>
      </c>
      <c r="J1335">
        <v>22.093783416008591</v>
      </c>
      <c r="K1335">
        <v>0.49146697024366298</v>
      </c>
      <c r="L1335">
        <v>0.36294037432489901</v>
      </c>
      <c r="M1335">
        <v>148.72</v>
      </c>
      <c r="N1335">
        <v>122.54</v>
      </c>
    </row>
    <row r="1336" spans="1:14" x14ac:dyDescent="0.25">
      <c r="A1336" s="1" t="s">
        <v>1348</v>
      </c>
      <c r="B1336" t="str">
        <f>HYPERLINK("https://www.suredividend.com/sure-analysis-research-database/","RLJ Lodging Trust")</f>
        <v>RLJ Lodging Trust</v>
      </c>
      <c r="C1336" t="s">
        <v>1799</v>
      </c>
      <c r="D1336">
        <v>11.55</v>
      </c>
      <c r="E1336">
        <v>3.0785146875840001E-2</v>
      </c>
      <c r="F1336">
        <v>1</v>
      </c>
      <c r="G1336">
        <v>-0.2124154064688504</v>
      </c>
      <c r="H1336">
        <v>0.35556844641595903</v>
      </c>
      <c r="I1336">
        <v>1800.0023349999999</v>
      </c>
      <c r="J1336">
        <v>36.531951917924992</v>
      </c>
      <c r="K1336">
        <v>1.138547699058466</v>
      </c>
      <c r="L1336">
        <v>1.267533532725416</v>
      </c>
      <c r="M1336">
        <v>12.48</v>
      </c>
      <c r="N1336">
        <v>8.9499999999999993</v>
      </c>
    </row>
    <row r="1337" spans="1:14" x14ac:dyDescent="0.25">
      <c r="A1337" s="1" t="s">
        <v>1349</v>
      </c>
      <c r="B1337" t="str">
        <f>HYPERLINK("https://www.suredividend.com/sure-analysis-research-database/","Relmada Therapeutics Inc")</f>
        <v>Relmada Therapeutics Inc</v>
      </c>
      <c r="C1337" t="s">
        <v>1802</v>
      </c>
      <c r="D1337">
        <v>3.14</v>
      </c>
      <c r="E1337">
        <v>0</v>
      </c>
      <c r="F1337" t="s">
        <v>1797</v>
      </c>
      <c r="G1337" t="s">
        <v>1797</v>
      </c>
      <c r="H1337">
        <v>0</v>
      </c>
      <c r="I1337">
        <v>94.511497000000006</v>
      </c>
      <c r="J1337">
        <v>0</v>
      </c>
      <c r="K1337" t="s">
        <v>1797</v>
      </c>
      <c r="L1337">
        <v>1.345817916760121</v>
      </c>
      <c r="M1337">
        <v>4.8499999999999996</v>
      </c>
      <c r="N1337">
        <v>2</v>
      </c>
    </row>
    <row r="1338" spans="1:14" x14ac:dyDescent="0.25">
      <c r="A1338" s="1" t="s">
        <v>1350</v>
      </c>
      <c r="B1338" t="str">
        <f>HYPERLINK("https://www.suredividend.com/sure-analysis-research-database/","Rallybio Corp")</f>
        <v>Rallybio Corp</v>
      </c>
      <c r="C1338" t="s">
        <v>1797</v>
      </c>
      <c r="D1338">
        <v>1.91</v>
      </c>
      <c r="E1338">
        <v>0</v>
      </c>
      <c r="F1338" t="s">
        <v>1797</v>
      </c>
      <c r="G1338" t="s">
        <v>1797</v>
      </c>
      <c r="H1338">
        <v>0</v>
      </c>
      <c r="I1338">
        <v>72.185976999999994</v>
      </c>
      <c r="J1338">
        <v>0</v>
      </c>
      <c r="K1338" t="s">
        <v>1797</v>
      </c>
      <c r="L1338">
        <v>0.91114872145665704</v>
      </c>
      <c r="M1338">
        <v>9.8800000000000008</v>
      </c>
      <c r="N1338">
        <v>1.72</v>
      </c>
    </row>
    <row r="1339" spans="1:14" x14ac:dyDescent="0.25">
      <c r="A1339" s="1" t="s">
        <v>1351</v>
      </c>
      <c r="B1339" t="str">
        <f>HYPERLINK("https://www.suredividend.com/sure-analysis-research-database/","Regional Management Corp")</f>
        <v>Regional Management Corp</v>
      </c>
      <c r="C1339" t="s">
        <v>1800</v>
      </c>
      <c r="D1339">
        <v>25.07</v>
      </c>
      <c r="E1339">
        <v>4.7009736553580997E-2</v>
      </c>
      <c r="F1339" t="s">
        <v>1797</v>
      </c>
      <c r="G1339" t="s">
        <v>1797</v>
      </c>
      <c r="H1339">
        <v>1.1785340953982819</v>
      </c>
      <c r="I1339">
        <v>246.556907</v>
      </c>
      <c r="J1339">
        <v>0</v>
      </c>
      <c r="K1339" t="s">
        <v>1797</v>
      </c>
      <c r="L1339">
        <v>1.136230839274005</v>
      </c>
      <c r="M1339">
        <v>36.67</v>
      </c>
      <c r="N1339">
        <v>20.64</v>
      </c>
    </row>
    <row r="1340" spans="1:14" x14ac:dyDescent="0.25">
      <c r="A1340" s="1" t="s">
        <v>1352</v>
      </c>
      <c r="B1340" t="str">
        <f>HYPERLINK("https://www.suredividend.com/sure-analysis-research-database/","RE/MAX Holdings Inc")</f>
        <v>RE/MAX Holdings Inc</v>
      </c>
      <c r="C1340" t="s">
        <v>1799</v>
      </c>
      <c r="D1340">
        <v>10.96</v>
      </c>
      <c r="E1340">
        <v>6.2192517844933008E-2</v>
      </c>
      <c r="F1340" t="s">
        <v>1797</v>
      </c>
      <c r="G1340" t="s">
        <v>1797</v>
      </c>
      <c r="H1340">
        <v>0.6816299955804761</v>
      </c>
      <c r="I1340">
        <v>199.88110399999999</v>
      </c>
      <c r="J1340" t="s">
        <v>1797</v>
      </c>
      <c r="K1340" t="s">
        <v>1797</v>
      </c>
      <c r="L1340">
        <v>1.535649930809263</v>
      </c>
      <c r="M1340">
        <v>23.39</v>
      </c>
      <c r="N1340">
        <v>8.61</v>
      </c>
    </row>
    <row r="1341" spans="1:14" x14ac:dyDescent="0.25">
      <c r="A1341" s="1" t="s">
        <v>1353</v>
      </c>
      <c r="B1341" t="str">
        <f>HYPERLINK("https://www.suredividend.com/sure-analysis-research-database/","RumbleON Inc")</f>
        <v>RumbleON Inc</v>
      </c>
      <c r="C1341" t="s">
        <v>1801</v>
      </c>
      <c r="D1341">
        <v>6.68</v>
      </c>
      <c r="E1341">
        <v>0</v>
      </c>
      <c r="F1341" t="s">
        <v>1797</v>
      </c>
      <c r="G1341" t="s">
        <v>1797</v>
      </c>
      <c r="H1341">
        <v>0</v>
      </c>
      <c r="I1341">
        <v>112.286117</v>
      </c>
      <c r="J1341" t="s">
        <v>1797</v>
      </c>
      <c r="K1341">
        <v>0</v>
      </c>
      <c r="L1341">
        <v>2.0352165894410019</v>
      </c>
      <c r="M1341">
        <v>13.52</v>
      </c>
      <c r="N1341">
        <v>5.0999999999999996</v>
      </c>
    </row>
    <row r="1342" spans="1:14" x14ac:dyDescent="0.25">
      <c r="A1342" s="1" t="s">
        <v>1354</v>
      </c>
      <c r="B1342" t="str">
        <f>HYPERLINK("https://www.suredividend.com/sure-analysis-research-database/","Rambus Inc.")</f>
        <v>Rambus Inc.</v>
      </c>
      <c r="C1342" t="s">
        <v>1803</v>
      </c>
      <c r="D1342">
        <v>65.97</v>
      </c>
      <c r="E1342">
        <v>0</v>
      </c>
      <c r="F1342" t="s">
        <v>1797</v>
      </c>
      <c r="G1342" t="s">
        <v>1797</v>
      </c>
      <c r="H1342">
        <v>0</v>
      </c>
      <c r="I1342">
        <v>7091.7749999999996</v>
      </c>
      <c r="J1342">
        <v>24.344594037925489</v>
      </c>
      <c r="K1342">
        <v>0</v>
      </c>
      <c r="L1342">
        <v>1.8029501320263019</v>
      </c>
      <c r="M1342">
        <v>71.900000000000006</v>
      </c>
      <c r="N1342">
        <v>39.11</v>
      </c>
    </row>
    <row r="1343" spans="1:14" x14ac:dyDescent="0.25">
      <c r="A1343" s="1" t="s">
        <v>1355</v>
      </c>
      <c r="B1343" t="str">
        <f>HYPERLINK("https://www.suredividend.com/sure-analysis-research-database/","Rimini Street Inc.")</f>
        <v>Rimini Street Inc.</v>
      </c>
      <c r="C1343" t="s">
        <v>1803</v>
      </c>
      <c r="D1343">
        <v>3.23</v>
      </c>
      <c r="E1343">
        <v>0</v>
      </c>
      <c r="F1343" t="s">
        <v>1797</v>
      </c>
      <c r="G1343" t="s">
        <v>1797</v>
      </c>
      <c r="H1343">
        <v>0</v>
      </c>
      <c r="I1343">
        <v>288.72647000000001</v>
      </c>
      <c r="J1343">
        <v>25.24715547394193</v>
      </c>
      <c r="K1343">
        <v>0</v>
      </c>
      <c r="L1343">
        <v>1.4963036628767199</v>
      </c>
      <c r="M1343">
        <v>5.32</v>
      </c>
      <c r="N1343">
        <v>2.0099999999999998</v>
      </c>
    </row>
    <row r="1344" spans="1:14" x14ac:dyDescent="0.25">
      <c r="A1344" s="1" t="s">
        <v>1356</v>
      </c>
      <c r="B1344" t="str">
        <f>HYPERLINK("https://www.suredividend.com/sure-analysis-research-database/","RMR Group Inc (The)")</f>
        <v>RMR Group Inc (The)</v>
      </c>
      <c r="C1344" t="s">
        <v>1799</v>
      </c>
      <c r="D1344">
        <v>26.62</v>
      </c>
      <c r="E1344">
        <v>5.7192679638646007E-2</v>
      </c>
      <c r="F1344">
        <v>0</v>
      </c>
      <c r="G1344">
        <v>2.7066087089351761E-2</v>
      </c>
      <c r="H1344">
        <v>1.5224691319807659</v>
      </c>
      <c r="I1344">
        <v>418.228071</v>
      </c>
      <c r="J1344">
        <v>7.3184606565524</v>
      </c>
      <c r="K1344">
        <v>0.43749112987953043</v>
      </c>
      <c r="L1344">
        <v>0.93970009924358711</v>
      </c>
      <c r="M1344">
        <v>28.82</v>
      </c>
      <c r="N1344">
        <v>19.440000000000001</v>
      </c>
    </row>
    <row r="1345" spans="1:14" x14ac:dyDescent="0.25">
      <c r="A1345" s="1" t="s">
        <v>1357</v>
      </c>
      <c r="B1345" t="str">
        <f>HYPERLINK("https://www.suredividend.com/sure-analysis-research-database/","Avidity Biosciences Inc")</f>
        <v>Avidity Biosciences Inc</v>
      </c>
      <c r="C1345" t="s">
        <v>1797</v>
      </c>
      <c r="D1345">
        <v>11.35</v>
      </c>
      <c r="E1345">
        <v>0</v>
      </c>
      <c r="F1345" t="s">
        <v>1797</v>
      </c>
      <c r="G1345" t="s">
        <v>1797</v>
      </c>
      <c r="H1345">
        <v>0</v>
      </c>
      <c r="I1345">
        <v>841.04923299999996</v>
      </c>
      <c r="J1345" t="s">
        <v>1797</v>
      </c>
      <c r="K1345">
        <v>0</v>
      </c>
      <c r="L1345">
        <v>1.1632601073209441</v>
      </c>
      <c r="M1345">
        <v>25.74</v>
      </c>
      <c r="N1345">
        <v>4.83</v>
      </c>
    </row>
    <row r="1346" spans="1:14" x14ac:dyDescent="0.25">
      <c r="A1346" s="1" t="s">
        <v>1358</v>
      </c>
      <c r="B1346" t="str">
        <f>HYPERLINK("https://www.suredividend.com/sure-analysis-research-database/","Renasant Corp.")</f>
        <v>Renasant Corp.</v>
      </c>
      <c r="C1346" t="s">
        <v>1800</v>
      </c>
      <c r="D1346">
        <v>31.56</v>
      </c>
      <c r="E1346">
        <v>6.9708491384000001E-3</v>
      </c>
      <c r="F1346">
        <v>0</v>
      </c>
      <c r="G1346">
        <v>9.3474199095688881E-3</v>
      </c>
      <c r="H1346">
        <v>0.21999999880790699</v>
      </c>
      <c r="I1346">
        <v>1771.82716</v>
      </c>
      <c r="J1346">
        <v>10.88145403304059</v>
      </c>
      <c r="K1346">
        <v>7.6124567061559525E-2</v>
      </c>
      <c r="L1346">
        <v>1.4545179754796691</v>
      </c>
      <c r="M1346">
        <v>36.76</v>
      </c>
      <c r="N1346">
        <v>22.62</v>
      </c>
    </row>
    <row r="1347" spans="1:14" x14ac:dyDescent="0.25">
      <c r="A1347" s="1" t="s">
        <v>1359</v>
      </c>
      <c r="B1347" t="str">
        <f>HYPERLINK("https://www.suredividend.com/sure-analysis-research-database/","Construction Partners Inc")</f>
        <v>Construction Partners Inc</v>
      </c>
      <c r="C1347" t="s">
        <v>1798</v>
      </c>
      <c r="D1347">
        <v>41.9</v>
      </c>
      <c r="E1347">
        <v>0</v>
      </c>
      <c r="F1347" t="s">
        <v>1797</v>
      </c>
      <c r="G1347" t="s">
        <v>1797</v>
      </c>
      <c r="H1347">
        <v>0</v>
      </c>
      <c r="I1347">
        <v>1831.49333</v>
      </c>
      <c r="J1347">
        <v>37.376652113222178</v>
      </c>
      <c r="K1347">
        <v>0</v>
      </c>
      <c r="L1347">
        <v>1.350152066086181</v>
      </c>
      <c r="M1347">
        <v>45.22</v>
      </c>
      <c r="N1347">
        <v>24.12</v>
      </c>
    </row>
    <row r="1348" spans="1:14" x14ac:dyDescent="0.25">
      <c r="A1348" s="1" t="s">
        <v>1360</v>
      </c>
      <c r="B1348" t="str">
        <f>HYPERLINK("https://www.suredividend.com/sure-analysis-research-database/","Ranger Oil Corp")</f>
        <v>Ranger Oil Corp</v>
      </c>
      <c r="C1348" t="s">
        <v>1797</v>
      </c>
      <c r="D1348">
        <v>37.47</v>
      </c>
      <c r="E1348">
        <v>0</v>
      </c>
      <c r="F1348" t="s">
        <v>1797</v>
      </c>
      <c r="G1348" t="s">
        <v>1797</v>
      </c>
      <c r="H1348">
        <v>0.30000001192092801</v>
      </c>
      <c r="I1348">
        <v>0</v>
      </c>
      <c r="J1348">
        <v>0</v>
      </c>
      <c r="K1348">
        <v>2.1945867733791369E-2</v>
      </c>
    </row>
    <row r="1349" spans="1:14" x14ac:dyDescent="0.25">
      <c r="A1349" s="1" t="s">
        <v>1361</v>
      </c>
      <c r="B1349" t="str">
        <f>HYPERLINK("https://www.suredividend.com/sure-analysis-research-database/","Gibraltar Industries Inc.")</f>
        <v>Gibraltar Industries Inc.</v>
      </c>
      <c r="C1349" t="s">
        <v>1798</v>
      </c>
      <c r="D1349">
        <v>79.400000000000006</v>
      </c>
      <c r="E1349">
        <v>0</v>
      </c>
      <c r="F1349" t="s">
        <v>1797</v>
      </c>
      <c r="G1349" t="s">
        <v>1797</v>
      </c>
      <c r="H1349">
        <v>0</v>
      </c>
      <c r="I1349">
        <v>2416.6531770000001</v>
      </c>
      <c r="J1349">
        <v>25.587400099526722</v>
      </c>
      <c r="K1349">
        <v>0</v>
      </c>
      <c r="L1349">
        <v>1.1776510400339939</v>
      </c>
      <c r="M1349">
        <v>81.150000000000006</v>
      </c>
      <c r="N1349">
        <v>44.98</v>
      </c>
    </row>
    <row r="1350" spans="1:14" x14ac:dyDescent="0.25">
      <c r="A1350" s="1" t="s">
        <v>1362</v>
      </c>
      <c r="B1350" t="str">
        <f>HYPERLINK("https://www.suredividend.com/sure-analysis-research-database/","Rogers Corp.")</f>
        <v>Rogers Corp.</v>
      </c>
      <c r="C1350" t="s">
        <v>1803</v>
      </c>
      <c r="D1350">
        <v>115.77</v>
      </c>
      <c r="E1350">
        <v>0</v>
      </c>
      <c r="F1350" t="s">
        <v>1797</v>
      </c>
      <c r="G1350" t="s">
        <v>1797</v>
      </c>
      <c r="H1350">
        <v>0</v>
      </c>
      <c r="I1350">
        <v>2155.2344050000002</v>
      </c>
      <c r="J1350">
        <v>21.40210129520764</v>
      </c>
      <c r="K1350">
        <v>0</v>
      </c>
      <c r="L1350">
        <v>0.90122985164829805</v>
      </c>
      <c r="M1350">
        <v>173.16</v>
      </c>
      <c r="N1350">
        <v>115.13</v>
      </c>
    </row>
    <row r="1351" spans="1:14" x14ac:dyDescent="0.25">
      <c r="A1351" s="1" t="s">
        <v>1363</v>
      </c>
      <c r="B1351" t="str">
        <f>HYPERLINK("https://www.suredividend.com/sure-analysis-research-database/","Retail Opportunity Investments Corp")</f>
        <v>Retail Opportunity Investments Corp</v>
      </c>
      <c r="C1351" t="s">
        <v>1799</v>
      </c>
      <c r="D1351">
        <v>14.2</v>
      </c>
      <c r="E1351">
        <v>4.0914901256541E-2</v>
      </c>
      <c r="F1351" t="s">
        <v>1797</v>
      </c>
      <c r="G1351" t="s">
        <v>1797</v>
      </c>
      <c r="H1351">
        <v>0.58099159784289101</v>
      </c>
      <c r="I1351">
        <v>1789.2254889999999</v>
      </c>
      <c r="J1351">
        <v>49.352498731174492</v>
      </c>
      <c r="K1351">
        <v>2.129734596198281</v>
      </c>
      <c r="L1351">
        <v>1.2086460781589199</v>
      </c>
      <c r="M1351">
        <v>15.16</v>
      </c>
      <c r="N1351">
        <v>10.75</v>
      </c>
    </row>
    <row r="1352" spans="1:14" x14ac:dyDescent="0.25">
      <c r="A1352" s="1" t="s">
        <v>1364</v>
      </c>
      <c r="B1352" t="str">
        <f>HYPERLINK("https://www.suredividend.com/sure-analysis-research-database/","Root Inc")</f>
        <v>Root Inc</v>
      </c>
      <c r="C1352" t="s">
        <v>1797</v>
      </c>
      <c r="D1352">
        <v>9.7799999999999994</v>
      </c>
      <c r="E1352">
        <v>0</v>
      </c>
      <c r="F1352" t="s">
        <v>1797</v>
      </c>
      <c r="G1352" t="s">
        <v>1797</v>
      </c>
      <c r="H1352">
        <v>0</v>
      </c>
      <c r="I1352">
        <v>93.888000000000005</v>
      </c>
      <c r="J1352" t="s">
        <v>1797</v>
      </c>
      <c r="K1352">
        <v>0</v>
      </c>
      <c r="L1352">
        <v>2.0654596405439749</v>
      </c>
      <c r="M1352">
        <v>14.8</v>
      </c>
      <c r="N1352">
        <v>3.31</v>
      </c>
    </row>
    <row r="1353" spans="1:14" x14ac:dyDescent="0.25">
      <c r="A1353" s="1" t="s">
        <v>1365</v>
      </c>
      <c r="B1353" t="str">
        <f>HYPERLINK("https://www.suredividend.com/sure-analysis-research-database/","Rover Group Inc")</f>
        <v>Rover Group Inc</v>
      </c>
      <c r="C1353" t="s">
        <v>1797</v>
      </c>
      <c r="D1353">
        <v>10.92</v>
      </c>
      <c r="E1353">
        <v>0</v>
      </c>
      <c r="F1353" t="s">
        <v>1797</v>
      </c>
      <c r="G1353" t="s">
        <v>1797</v>
      </c>
      <c r="H1353">
        <v>0</v>
      </c>
      <c r="I1353">
        <v>1959.3987179999999</v>
      </c>
      <c r="J1353">
        <v>180.39023362548329</v>
      </c>
      <c r="K1353">
        <v>0</v>
      </c>
      <c r="L1353">
        <v>0.87809248811028306</v>
      </c>
      <c r="M1353">
        <v>11.1</v>
      </c>
      <c r="N1353">
        <v>3.39</v>
      </c>
    </row>
    <row r="1354" spans="1:14" x14ac:dyDescent="0.25">
      <c r="A1354" s="1" t="s">
        <v>1366</v>
      </c>
      <c r="B1354" t="str">
        <f>HYPERLINK("https://www.suredividend.com/sure-analysis-research-database/","Repay Holdings Corporation")</f>
        <v>Repay Holdings Corporation</v>
      </c>
      <c r="C1354" t="s">
        <v>1803</v>
      </c>
      <c r="D1354">
        <v>7.83</v>
      </c>
      <c r="E1354">
        <v>0</v>
      </c>
      <c r="F1354" t="s">
        <v>1797</v>
      </c>
      <c r="G1354" t="s">
        <v>1797</v>
      </c>
      <c r="H1354">
        <v>0</v>
      </c>
      <c r="I1354">
        <v>741.17903000000001</v>
      </c>
      <c r="J1354">
        <v>0</v>
      </c>
      <c r="K1354" t="s">
        <v>1797</v>
      </c>
      <c r="L1354">
        <v>2.181503314229317</v>
      </c>
      <c r="M1354">
        <v>10.43</v>
      </c>
      <c r="N1354">
        <v>5.61</v>
      </c>
    </row>
    <row r="1355" spans="1:14" x14ac:dyDescent="0.25">
      <c r="A1355" s="1" t="s">
        <v>1367</v>
      </c>
      <c r="B1355" t="str">
        <f>HYPERLINK("https://www.suredividend.com/sure-analysis-research-database/","Rapid7 Inc")</f>
        <v>Rapid7 Inc</v>
      </c>
      <c r="C1355" t="s">
        <v>1803</v>
      </c>
      <c r="D1355">
        <v>55.05</v>
      </c>
      <c r="E1355">
        <v>0</v>
      </c>
      <c r="F1355" t="s">
        <v>1797</v>
      </c>
      <c r="G1355" t="s">
        <v>1797</v>
      </c>
      <c r="H1355">
        <v>0</v>
      </c>
      <c r="I1355">
        <v>3382.6558639999998</v>
      </c>
      <c r="J1355" t="s">
        <v>1797</v>
      </c>
      <c r="K1355">
        <v>0</v>
      </c>
      <c r="L1355">
        <v>1.8545273479445361</v>
      </c>
      <c r="M1355">
        <v>60.15</v>
      </c>
      <c r="N1355">
        <v>32.47</v>
      </c>
    </row>
    <row r="1356" spans="1:14" x14ac:dyDescent="0.25">
      <c r="A1356" s="1" t="s">
        <v>1368</v>
      </c>
      <c r="B1356" t="str">
        <f>HYPERLINK("https://www.suredividend.com/sure-analysis-RPT/","RPT Realty")</f>
        <v>RPT Realty</v>
      </c>
      <c r="C1356" t="s">
        <v>1799</v>
      </c>
      <c r="D1356">
        <v>12.83</v>
      </c>
      <c r="E1356">
        <v>4.3647700701480913E-2</v>
      </c>
      <c r="F1356" t="s">
        <v>1797</v>
      </c>
      <c r="G1356" t="s">
        <v>1797</v>
      </c>
      <c r="H1356">
        <v>0.54995381921401709</v>
      </c>
      <c r="I1356">
        <v>1112.4161429999999</v>
      </c>
      <c r="J1356">
        <v>24.073060881627349</v>
      </c>
      <c r="K1356">
        <v>1.020890698373895</v>
      </c>
      <c r="L1356">
        <v>1.301014352102003</v>
      </c>
      <c r="M1356">
        <v>13.79</v>
      </c>
      <c r="N1356">
        <v>8.3000000000000007</v>
      </c>
    </row>
    <row r="1357" spans="1:14" x14ac:dyDescent="0.25">
      <c r="A1357" s="1" t="s">
        <v>1369</v>
      </c>
      <c r="B1357" t="str">
        <f>HYPERLINK("https://www.suredividend.com/sure-analysis-research-database/","Red River Bancshares Inc")</f>
        <v>Red River Bancshares Inc</v>
      </c>
      <c r="C1357" t="s">
        <v>1800</v>
      </c>
      <c r="D1357">
        <v>54.43</v>
      </c>
      <c r="E1357">
        <v>5.8508161083850006E-3</v>
      </c>
      <c r="F1357" t="s">
        <v>1797</v>
      </c>
      <c r="G1357" t="s">
        <v>1797</v>
      </c>
      <c r="H1357">
        <v>0.31845992077944402</v>
      </c>
      <c r="I1357">
        <v>388.18202300000002</v>
      </c>
      <c r="J1357">
        <v>10.55473444396106</v>
      </c>
      <c r="K1357">
        <v>6.2320923831593739E-2</v>
      </c>
      <c r="L1357">
        <v>0.80175087007848911</v>
      </c>
      <c r="M1357">
        <v>58</v>
      </c>
      <c r="N1357">
        <v>43.08</v>
      </c>
    </row>
    <row r="1358" spans="1:14" x14ac:dyDescent="0.25">
      <c r="A1358" s="1" t="s">
        <v>1370</v>
      </c>
      <c r="B1358" t="str">
        <f>HYPERLINK("https://www.suredividend.com/sure-analysis-research-database/","Red Rock Resorts Inc")</f>
        <v>Red Rock Resorts Inc</v>
      </c>
      <c r="C1358" t="s">
        <v>1801</v>
      </c>
      <c r="D1358">
        <v>49.79</v>
      </c>
      <c r="E1358">
        <v>1.9841972297674999E-2</v>
      </c>
      <c r="F1358" t="s">
        <v>1797</v>
      </c>
      <c r="G1358" t="s">
        <v>1797</v>
      </c>
      <c r="H1358">
        <v>0.98793180070128306</v>
      </c>
      <c r="I1358">
        <v>2907.6737130000001</v>
      </c>
      <c r="J1358">
        <v>13.75046681504776</v>
      </c>
      <c r="K1358">
        <v>0.53401718956826105</v>
      </c>
      <c r="L1358">
        <v>1.407084831564134</v>
      </c>
      <c r="M1358">
        <v>54.63</v>
      </c>
      <c r="N1358">
        <v>37.619999999999997</v>
      </c>
    </row>
    <row r="1359" spans="1:14" x14ac:dyDescent="0.25">
      <c r="A1359" s="1" t="s">
        <v>1371</v>
      </c>
      <c r="B1359" t="str">
        <f>HYPERLINK("https://www.suredividend.com/sure-analysis-research-database/","Rush Street Interactive Inc")</f>
        <v>Rush Street Interactive Inc</v>
      </c>
      <c r="C1359" t="s">
        <v>1797</v>
      </c>
      <c r="D1359">
        <v>3.69</v>
      </c>
      <c r="E1359">
        <v>0</v>
      </c>
      <c r="F1359" t="s">
        <v>1797</v>
      </c>
      <c r="G1359" t="s">
        <v>1797</v>
      </c>
      <c r="H1359">
        <v>0</v>
      </c>
      <c r="I1359">
        <v>264.26128699999998</v>
      </c>
      <c r="J1359" t="s">
        <v>1797</v>
      </c>
      <c r="K1359">
        <v>0</v>
      </c>
      <c r="L1359">
        <v>2.0530992737520921</v>
      </c>
      <c r="M1359">
        <v>5.48</v>
      </c>
      <c r="N1359">
        <v>2.77</v>
      </c>
    </row>
    <row r="1360" spans="1:14" x14ac:dyDescent="0.25">
      <c r="A1360" s="1" t="s">
        <v>1372</v>
      </c>
      <c r="B1360" t="str">
        <f>HYPERLINK("https://www.suredividend.com/sure-analysis-research-database/","Reservoir Media Inc")</f>
        <v>Reservoir Media Inc</v>
      </c>
      <c r="C1360" t="s">
        <v>1797</v>
      </c>
      <c r="D1360">
        <v>7.03</v>
      </c>
      <c r="E1360">
        <v>0</v>
      </c>
      <c r="F1360" t="s">
        <v>1797</v>
      </c>
      <c r="G1360" t="s">
        <v>1797</v>
      </c>
      <c r="H1360">
        <v>0</v>
      </c>
      <c r="I1360">
        <v>455.62016999999997</v>
      </c>
      <c r="J1360" t="s">
        <v>1797</v>
      </c>
      <c r="K1360">
        <v>0</v>
      </c>
      <c r="L1360">
        <v>0.97124725754169206</v>
      </c>
      <c r="M1360">
        <v>7.77</v>
      </c>
      <c r="N1360">
        <v>5.19</v>
      </c>
    </row>
    <row r="1361" spans="1:14" x14ac:dyDescent="0.25">
      <c r="A1361" s="1" t="s">
        <v>1373</v>
      </c>
      <c r="B1361" t="str">
        <f>HYPERLINK("https://www.suredividend.com/sure-analysis-research-database/","Necessity Retail REIT Inc (The)")</f>
        <v>Necessity Retail REIT Inc (The)</v>
      </c>
      <c r="D1361">
        <v>7.61</v>
      </c>
      <c r="E1361">
        <v>0</v>
      </c>
      <c r="F1361" t="s">
        <v>1797</v>
      </c>
      <c r="G1361" t="s">
        <v>1797</v>
      </c>
      <c r="H1361">
        <v>0.85000002384185702</v>
      </c>
      <c r="I1361">
        <v>0</v>
      </c>
      <c r="J1361">
        <v>0</v>
      </c>
      <c r="K1361" t="s">
        <v>1797</v>
      </c>
    </row>
    <row r="1362" spans="1:14" x14ac:dyDescent="0.25">
      <c r="A1362" s="1" t="s">
        <v>1374</v>
      </c>
      <c r="B1362" t="str">
        <f>HYPERLINK("https://www.suredividend.com/sure-analysis-research-database/","Rush Enterprises Inc")</f>
        <v>Rush Enterprises Inc</v>
      </c>
      <c r="C1362" t="s">
        <v>1801</v>
      </c>
      <c r="D1362">
        <v>43.84</v>
      </c>
      <c r="E1362">
        <v>1.4043074284633E-2</v>
      </c>
      <c r="F1362">
        <v>-0.19047619047619041</v>
      </c>
      <c r="G1362">
        <v>7.2145025900850923E-2</v>
      </c>
      <c r="H1362">
        <v>0.61564837663832805</v>
      </c>
      <c r="I1362">
        <v>3524.9327830000002</v>
      </c>
      <c r="J1362">
        <v>9.5905838623718154</v>
      </c>
      <c r="K1362">
        <v>0.14152836244559269</v>
      </c>
      <c r="L1362">
        <v>0.9415311547238151</v>
      </c>
      <c r="M1362">
        <v>50.5</v>
      </c>
      <c r="N1362">
        <v>32.76</v>
      </c>
    </row>
    <row r="1363" spans="1:14" x14ac:dyDescent="0.25">
      <c r="A1363" s="1" t="s">
        <v>1375</v>
      </c>
      <c r="B1363" t="str">
        <f>HYPERLINK("https://www.suredividend.com/sure-analysis-research-database/","Rush Enterprises Inc")</f>
        <v>Rush Enterprises Inc</v>
      </c>
      <c r="C1363" t="s">
        <v>1801</v>
      </c>
      <c r="D1363">
        <v>46.08</v>
      </c>
      <c r="E1363">
        <v>1.3369224049906999E-2</v>
      </c>
      <c r="F1363">
        <v>-0.19047619047619041</v>
      </c>
      <c r="G1363">
        <v>7.2145025900850923E-2</v>
      </c>
      <c r="H1363">
        <v>0.61605384421975407</v>
      </c>
      <c r="I1363">
        <v>3524.9327830000002</v>
      </c>
      <c r="J1363">
        <v>9.5905838623718154</v>
      </c>
      <c r="K1363">
        <v>0.14162157338385151</v>
      </c>
      <c r="L1363">
        <v>1.042927024661241</v>
      </c>
      <c r="M1363">
        <v>53.11</v>
      </c>
      <c r="N1363">
        <v>34.770000000000003</v>
      </c>
    </row>
    <row r="1364" spans="1:14" x14ac:dyDescent="0.25">
      <c r="A1364" s="1" t="s">
        <v>1376</v>
      </c>
      <c r="B1364" t="str">
        <f>HYPERLINK("https://www.suredividend.com/sure-analysis-research-database/","Revolve Group Inc")</f>
        <v>Revolve Group Inc</v>
      </c>
      <c r="C1364" t="s">
        <v>1801</v>
      </c>
      <c r="D1364">
        <v>14.55</v>
      </c>
      <c r="E1364">
        <v>0</v>
      </c>
      <c r="F1364" t="s">
        <v>1797</v>
      </c>
      <c r="G1364" t="s">
        <v>1797</v>
      </c>
      <c r="H1364">
        <v>0</v>
      </c>
      <c r="I1364">
        <v>575.55020300000001</v>
      </c>
      <c r="J1364">
        <v>17.697801520555949</v>
      </c>
      <c r="K1364">
        <v>0</v>
      </c>
      <c r="L1364">
        <v>1.8568695802461921</v>
      </c>
      <c r="M1364">
        <v>32.590000000000003</v>
      </c>
      <c r="N1364">
        <v>12.25</v>
      </c>
    </row>
    <row r="1365" spans="1:14" x14ac:dyDescent="0.25">
      <c r="A1365" s="1" t="s">
        <v>1377</v>
      </c>
      <c r="B1365" t="str">
        <f>HYPERLINK("https://www.suredividend.com/sure-analysis-research-database/","Revolution Medicines Inc")</f>
        <v>Revolution Medicines Inc</v>
      </c>
      <c r="C1365" t="s">
        <v>1802</v>
      </c>
      <c r="D1365">
        <v>28.5</v>
      </c>
      <c r="E1365">
        <v>0</v>
      </c>
      <c r="F1365" t="s">
        <v>1797</v>
      </c>
      <c r="G1365" t="s">
        <v>1797</v>
      </c>
      <c r="H1365">
        <v>0</v>
      </c>
      <c r="I1365">
        <v>4681.7060300000003</v>
      </c>
      <c r="J1365" t="s">
        <v>1797</v>
      </c>
      <c r="K1365">
        <v>0</v>
      </c>
      <c r="L1365">
        <v>1.2109114818357929</v>
      </c>
      <c r="M1365">
        <v>35.6</v>
      </c>
      <c r="N1365">
        <v>15.44</v>
      </c>
    </row>
    <row r="1366" spans="1:14" x14ac:dyDescent="0.25">
      <c r="A1366" s="1" t="s">
        <v>1378</v>
      </c>
      <c r="B1366" t="str">
        <f>HYPERLINK("https://www.suredividend.com/sure-analysis-research-database/","Revance Therapeutics Inc")</f>
        <v>Revance Therapeutics Inc</v>
      </c>
      <c r="C1366" t="s">
        <v>1802</v>
      </c>
      <c r="D1366">
        <v>5.94</v>
      </c>
      <c r="E1366">
        <v>0</v>
      </c>
      <c r="F1366" t="s">
        <v>1797</v>
      </c>
      <c r="G1366" t="s">
        <v>1797</v>
      </c>
      <c r="H1366">
        <v>0</v>
      </c>
      <c r="I1366">
        <v>521.61207100000001</v>
      </c>
      <c r="J1366">
        <v>0</v>
      </c>
      <c r="K1366" t="s">
        <v>1797</v>
      </c>
      <c r="L1366">
        <v>1.565247625543456</v>
      </c>
      <c r="M1366">
        <v>37.979999999999997</v>
      </c>
      <c r="N1366">
        <v>5.72</v>
      </c>
    </row>
    <row r="1367" spans="1:14" x14ac:dyDescent="0.25">
      <c r="A1367" s="1" t="s">
        <v>1379</v>
      </c>
      <c r="B1367" t="str">
        <f>HYPERLINK("https://www.suredividend.com/sure-analysis-research-database/","Redwood Trust Inc.")</f>
        <v>Redwood Trust Inc.</v>
      </c>
      <c r="C1367" t="s">
        <v>1799</v>
      </c>
      <c r="D1367">
        <v>7.07</v>
      </c>
      <c r="E1367">
        <v>9.6858301635581012E-2</v>
      </c>
      <c r="F1367">
        <v>-0.30434782608695649</v>
      </c>
      <c r="G1367">
        <v>-0.1181397937782795</v>
      </c>
      <c r="H1367">
        <v>0.68478819256356405</v>
      </c>
      <c r="I1367">
        <v>807.63892599999997</v>
      </c>
      <c r="J1367" t="s">
        <v>1797</v>
      </c>
      <c r="K1367" t="s">
        <v>1797</v>
      </c>
      <c r="L1367">
        <v>1.3474398647044741</v>
      </c>
      <c r="M1367">
        <v>7.95</v>
      </c>
      <c r="N1367">
        <v>5.1100000000000003</v>
      </c>
    </row>
    <row r="1368" spans="1:14" x14ac:dyDescent="0.25">
      <c r="A1368" s="1" t="s">
        <v>1380</v>
      </c>
      <c r="B1368" t="str">
        <f>HYPERLINK("https://www.suredividend.com/sure-analysis-research-database/","Prometheus Biosciences Inc")</f>
        <v>Prometheus Biosciences Inc</v>
      </c>
      <c r="C1368" t="s">
        <v>1797</v>
      </c>
      <c r="D1368">
        <v>199.92</v>
      </c>
      <c r="E1368">
        <v>0</v>
      </c>
      <c r="F1368" t="s">
        <v>1797</v>
      </c>
      <c r="G1368" t="s">
        <v>1797</v>
      </c>
      <c r="H1368">
        <v>0</v>
      </c>
      <c r="I1368">
        <v>0</v>
      </c>
      <c r="J1368">
        <v>0</v>
      </c>
      <c r="K1368" t="s">
        <v>1797</v>
      </c>
    </row>
    <row r="1369" spans="1:14" x14ac:dyDescent="0.25">
      <c r="A1369" s="1" t="s">
        <v>1381</v>
      </c>
      <c r="B1369" t="str">
        <f>HYPERLINK("https://www.suredividend.com/sure-analysis-research-database/","Recursion Pharmaceuticals Inc")</f>
        <v>Recursion Pharmaceuticals Inc</v>
      </c>
      <c r="C1369" t="s">
        <v>1797</v>
      </c>
      <c r="D1369">
        <v>11.16</v>
      </c>
      <c r="E1369">
        <v>0</v>
      </c>
      <c r="F1369" t="s">
        <v>1797</v>
      </c>
      <c r="G1369" t="s">
        <v>1797</v>
      </c>
      <c r="H1369">
        <v>0</v>
      </c>
      <c r="I1369">
        <v>2324.4486029999998</v>
      </c>
      <c r="J1369" t="s">
        <v>1797</v>
      </c>
      <c r="K1369">
        <v>0</v>
      </c>
      <c r="L1369">
        <v>2.3265371768410978</v>
      </c>
      <c r="M1369">
        <v>16.75</v>
      </c>
      <c r="N1369">
        <v>4.54</v>
      </c>
    </row>
    <row r="1370" spans="1:14" x14ac:dyDescent="0.25">
      <c r="A1370" s="1" t="s">
        <v>1382</v>
      </c>
      <c r="B1370" t="str">
        <f>HYPERLINK("https://www.suredividend.com/sure-analysis-research-database/","RxSight Inc")</f>
        <v>RxSight Inc</v>
      </c>
      <c r="C1370" t="s">
        <v>1797</v>
      </c>
      <c r="D1370">
        <v>46.37</v>
      </c>
      <c r="E1370">
        <v>0</v>
      </c>
      <c r="F1370" t="s">
        <v>1797</v>
      </c>
      <c r="G1370" t="s">
        <v>1797</v>
      </c>
      <c r="H1370">
        <v>0</v>
      </c>
      <c r="I1370">
        <v>1662.9025770000001</v>
      </c>
      <c r="J1370">
        <v>0</v>
      </c>
      <c r="K1370" t="s">
        <v>1797</v>
      </c>
      <c r="L1370">
        <v>1.6614228561056299</v>
      </c>
      <c r="M1370">
        <v>47.88</v>
      </c>
      <c r="N1370">
        <v>12.06</v>
      </c>
    </row>
    <row r="1371" spans="1:14" x14ac:dyDescent="0.25">
      <c r="A1371" s="1" t="s">
        <v>1383</v>
      </c>
      <c r="B1371" t="str">
        <f>HYPERLINK("https://www.suredividend.com/sure-analysis-research-database/","Rackspace Technology Inc")</f>
        <v>Rackspace Technology Inc</v>
      </c>
      <c r="C1371" t="s">
        <v>1797</v>
      </c>
      <c r="D1371">
        <v>1.75</v>
      </c>
      <c r="E1371">
        <v>0</v>
      </c>
      <c r="F1371" t="s">
        <v>1797</v>
      </c>
      <c r="G1371" t="s">
        <v>1797</v>
      </c>
      <c r="H1371">
        <v>0</v>
      </c>
      <c r="I1371">
        <v>378.71202299999999</v>
      </c>
      <c r="J1371" t="s">
        <v>1797</v>
      </c>
      <c r="K1371">
        <v>0</v>
      </c>
      <c r="L1371">
        <v>3.0086628004081182</v>
      </c>
      <c r="M1371">
        <v>3.57</v>
      </c>
      <c r="N1371">
        <v>1.05</v>
      </c>
    </row>
    <row r="1372" spans="1:14" x14ac:dyDescent="0.25">
      <c r="A1372" s="1" t="s">
        <v>1384</v>
      </c>
      <c r="B1372" t="str">
        <f>HYPERLINK("https://www.suredividend.com/sure-analysis-research-database/","Rayonier Advanced Materials Inc")</f>
        <v>Rayonier Advanced Materials Inc</v>
      </c>
      <c r="C1372" t="s">
        <v>1808</v>
      </c>
      <c r="D1372">
        <v>4.1100000000000003</v>
      </c>
      <c r="E1372">
        <v>0</v>
      </c>
      <c r="F1372" t="s">
        <v>1797</v>
      </c>
      <c r="G1372" t="s">
        <v>1797</v>
      </c>
      <c r="H1372">
        <v>0</v>
      </c>
      <c r="I1372">
        <v>268.56144799999998</v>
      </c>
      <c r="J1372" t="s">
        <v>1797</v>
      </c>
      <c r="K1372">
        <v>0</v>
      </c>
      <c r="L1372">
        <v>1.710830474359105</v>
      </c>
      <c r="M1372">
        <v>8.65</v>
      </c>
      <c r="N1372">
        <v>2.66</v>
      </c>
    </row>
    <row r="1373" spans="1:14" x14ac:dyDescent="0.25">
      <c r="A1373" s="1" t="s">
        <v>1385</v>
      </c>
      <c r="B1373" t="str">
        <f>HYPERLINK("https://www.suredividend.com/sure-analysis-research-database/","Ryerson Holding Corp.")</f>
        <v>Ryerson Holding Corp.</v>
      </c>
      <c r="C1373" t="s">
        <v>1798</v>
      </c>
      <c r="D1373">
        <v>32.17</v>
      </c>
      <c r="E1373">
        <v>2.2107642784284998E-2</v>
      </c>
      <c r="F1373" t="s">
        <v>1797</v>
      </c>
      <c r="G1373" t="s">
        <v>1797</v>
      </c>
      <c r="H1373">
        <v>0.71120286837047209</v>
      </c>
      <c r="I1373">
        <v>1100.2139999999999</v>
      </c>
      <c r="J1373">
        <v>11.4844885177453</v>
      </c>
      <c r="K1373">
        <v>0.26939502589790609</v>
      </c>
      <c r="L1373">
        <v>1.3043605672685741</v>
      </c>
      <c r="M1373">
        <v>44.15</v>
      </c>
      <c r="N1373">
        <v>25.99</v>
      </c>
    </row>
    <row r="1374" spans="1:14" x14ac:dyDescent="0.25">
      <c r="A1374" s="1" t="s">
        <v>1386</v>
      </c>
      <c r="B1374" t="str">
        <f>HYPERLINK("https://www.suredividend.com/sure-analysis-research-database/","Sabre Corp")</f>
        <v>Sabre Corp</v>
      </c>
      <c r="C1374" t="s">
        <v>1803</v>
      </c>
      <c r="D1374">
        <v>4.2300000000000004</v>
      </c>
      <c r="E1374">
        <v>0</v>
      </c>
      <c r="F1374" t="s">
        <v>1797</v>
      </c>
      <c r="G1374" t="s">
        <v>1797</v>
      </c>
      <c r="H1374">
        <v>0</v>
      </c>
      <c r="I1374">
        <v>1605.2056749999999</v>
      </c>
      <c r="J1374" t="s">
        <v>1797</v>
      </c>
      <c r="K1374">
        <v>0</v>
      </c>
      <c r="L1374">
        <v>2.2183374450602891</v>
      </c>
      <c r="M1374">
        <v>7.92</v>
      </c>
      <c r="N1374">
        <v>2.99</v>
      </c>
    </row>
    <row r="1375" spans="1:14" x14ac:dyDescent="0.25">
      <c r="A1375" s="1" t="s">
        <v>1387</v>
      </c>
      <c r="B1375" t="str">
        <f>HYPERLINK("https://www.suredividend.com/sure-analysis-SAFE/","Safehold Inc.")</f>
        <v>Safehold Inc.</v>
      </c>
      <c r="C1375" t="s">
        <v>1799</v>
      </c>
      <c r="D1375">
        <v>22.05</v>
      </c>
      <c r="E1375">
        <v>3.2199546485260772E-2</v>
      </c>
      <c r="F1375">
        <v>0</v>
      </c>
      <c r="G1375">
        <v>2.5580450076664981E-2</v>
      </c>
      <c r="H1375">
        <v>0.70353370862800002</v>
      </c>
      <c r="I1375">
        <v>1567.0136789999999</v>
      </c>
      <c r="J1375" t="s">
        <v>1797</v>
      </c>
      <c r="K1375" t="s">
        <v>1797</v>
      </c>
      <c r="L1375">
        <v>4.0720835035647971</v>
      </c>
      <c r="M1375">
        <v>29.53</v>
      </c>
      <c r="N1375">
        <v>6.55</v>
      </c>
    </row>
    <row r="1376" spans="1:14" x14ac:dyDescent="0.25">
      <c r="A1376" s="1" t="s">
        <v>1388</v>
      </c>
      <c r="B1376" t="str">
        <f>HYPERLINK("https://www.suredividend.com/sure-analysis-SAFT/","Safety Insurance Group, Inc.")</f>
        <v>Safety Insurance Group, Inc.</v>
      </c>
      <c r="C1376" t="s">
        <v>1800</v>
      </c>
      <c r="D1376">
        <v>75.819999999999993</v>
      </c>
      <c r="E1376">
        <v>4.7480875758375098E-2</v>
      </c>
      <c r="F1376">
        <v>0</v>
      </c>
      <c r="G1376">
        <v>2.383625553960966E-2</v>
      </c>
      <c r="H1376">
        <v>3.4711849703545208</v>
      </c>
      <c r="I1376">
        <v>1121.522389</v>
      </c>
      <c r="J1376">
        <v>36.12104701407452</v>
      </c>
      <c r="K1376">
        <v>1.6451113603575931</v>
      </c>
      <c r="L1376">
        <v>0.38658841553398599</v>
      </c>
      <c r="M1376">
        <v>81.400000000000006</v>
      </c>
      <c r="N1376">
        <v>62.81</v>
      </c>
    </row>
    <row r="1377" spans="1:14" x14ac:dyDescent="0.25">
      <c r="A1377" s="1" t="s">
        <v>1389</v>
      </c>
      <c r="B1377" t="str">
        <f>HYPERLINK("https://www.suredividend.com/sure-analysis-research-database/","Sage Therapeutics Inc")</f>
        <v>Sage Therapeutics Inc</v>
      </c>
      <c r="C1377" t="s">
        <v>1802</v>
      </c>
      <c r="D1377">
        <v>26.55</v>
      </c>
      <c r="E1377">
        <v>0</v>
      </c>
      <c r="F1377" t="s">
        <v>1797</v>
      </c>
      <c r="G1377" t="s">
        <v>1797</v>
      </c>
      <c r="H1377">
        <v>0</v>
      </c>
      <c r="I1377">
        <v>1593.8722740000001</v>
      </c>
      <c r="J1377" t="s">
        <v>1797</v>
      </c>
      <c r="K1377">
        <v>0</v>
      </c>
      <c r="L1377">
        <v>0.82506218921334307</v>
      </c>
      <c r="M1377">
        <v>59.99</v>
      </c>
      <c r="N1377">
        <v>16.52</v>
      </c>
    </row>
    <row r="1378" spans="1:14" x14ac:dyDescent="0.25">
      <c r="A1378" s="1" t="s">
        <v>1390</v>
      </c>
      <c r="B1378" t="str">
        <f>HYPERLINK("https://www.suredividend.com/sure-analysis-research-database/","Sonic Automotive, Inc.")</f>
        <v>Sonic Automotive, Inc.</v>
      </c>
      <c r="C1378" t="s">
        <v>1801</v>
      </c>
      <c r="D1378">
        <v>50.66</v>
      </c>
      <c r="E1378">
        <v>2.2705248810966999E-2</v>
      </c>
      <c r="F1378">
        <v>7.1428571428571397E-2</v>
      </c>
      <c r="G1378">
        <v>0.2457309396155174</v>
      </c>
      <c r="H1378">
        <v>1.1502479047636329</v>
      </c>
      <c r="I1378">
        <v>1107.2897539999999</v>
      </c>
      <c r="J1378" t="s">
        <v>1797</v>
      </c>
      <c r="K1378" t="s">
        <v>1797</v>
      </c>
      <c r="L1378">
        <v>1.052589175592654</v>
      </c>
      <c r="M1378">
        <v>60.86</v>
      </c>
      <c r="N1378">
        <v>38.340000000000003</v>
      </c>
    </row>
    <row r="1379" spans="1:14" x14ac:dyDescent="0.25">
      <c r="A1379" s="1" t="s">
        <v>1391</v>
      </c>
      <c r="B1379" t="str">
        <f>HYPERLINK("https://www.suredividend.com/sure-analysis-research-database/","Saia Inc.")</f>
        <v>Saia Inc.</v>
      </c>
      <c r="C1379" t="s">
        <v>1798</v>
      </c>
      <c r="D1379">
        <v>439.86</v>
      </c>
      <c r="E1379">
        <v>0</v>
      </c>
      <c r="F1379" t="s">
        <v>1797</v>
      </c>
      <c r="G1379" t="s">
        <v>1797</v>
      </c>
      <c r="H1379">
        <v>0</v>
      </c>
      <c r="I1379">
        <v>11677.375569</v>
      </c>
      <c r="J1379">
        <v>34.703381572820668</v>
      </c>
      <c r="K1379">
        <v>0</v>
      </c>
      <c r="L1379">
        <v>1.445862494472306</v>
      </c>
      <c r="M1379">
        <v>461.92</v>
      </c>
      <c r="N1379">
        <v>227.33</v>
      </c>
    </row>
    <row r="1380" spans="1:14" x14ac:dyDescent="0.25">
      <c r="A1380" s="1" t="s">
        <v>1392</v>
      </c>
      <c r="B1380" t="str">
        <f>HYPERLINK("https://www.suredividend.com/sure-analysis-research-database/","Silvercrest Asset Management Group Inc")</f>
        <v>Silvercrest Asset Management Group Inc</v>
      </c>
      <c r="C1380" t="s">
        <v>1800</v>
      </c>
      <c r="D1380">
        <v>16.93</v>
      </c>
      <c r="E1380">
        <v>4.2365592787122E-2</v>
      </c>
      <c r="F1380">
        <v>5.555555555555558E-2</v>
      </c>
      <c r="G1380">
        <v>4.8413171284721557E-2</v>
      </c>
      <c r="H1380">
        <v>0.71724948588598203</v>
      </c>
      <c r="I1380">
        <v>158.164445</v>
      </c>
      <c r="J1380">
        <v>0</v>
      </c>
      <c r="K1380" t="s">
        <v>1797</v>
      </c>
      <c r="L1380">
        <v>1.0166784328241241</v>
      </c>
      <c r="M1380">
        <v>22.21</v>
      </c>
      <c r="N1380">
        <v>14.06</v>
      </c>
    </row>
    <row r="1381" spans="1:14" x14ac:dyDescent="0.25">
      <c r="A1381" s="1" t="s">
        <v>1393</v>
      </c>
      <c r="B1381" t="str">
        <f>HYPERLINK("https://www.suredividend.com/sure-analysis-research-database/","Sana Biotechnology Inc")</f>
        <v>Sana Biotechnology Inc</v>
      </c>
      <c r="C1381" t="s">
        <v>1797</v>
      </c>
      <c r="D1381">
        <v>6.3250000000000002</v>
      </c>
      <c r="E1381">
        <v>0</v>
      </c>
      <c r="F1381" t="s">
        <v>1797</v>
      </c>
      <c r="G1381" t="s">
        <v>1797</v>
      </c>
      <c r="H1381">
        <v>0</v>
      </c>
      <c r="I1381">
        <v>1246.8675410000001</v>
      </c>
      <c r="J1381">
        <v>0</v>
      </c>
      <c r="K1381" t="s">
        <v>1797</v>
      </c>
      <c r="L1381">
        <v>1.69246979603104</v>
      </c>
      <c r="M1381">
        <v>9.15</v>
      </c>
      <c r="N1381">
        <v>2.75</v>
      </c>
    </row>
    <row r="1382" spans="1:14" x14ac:dyDescent="0.25">
      <c r="A1382" s="1" t="s">
        <v>1394</v>
      </c>
      <c r="B1382" t="str">
        <f>HYPERLINK("https://www.suredividend.com/sure-analysis-research-database/","Sanmina Corp")</f>
        <v>Sanmina Corp</v>
      </c>
      <c r="C1382" t="s">
        <v>1803</v>
      </c>
      <c r="D1382">
        <v>50.86</v>
      </c>
      <c r="E1382">
        <v>0</v>
      </c>
      <c r="F1382" t="s">
        <v>1797</v>
      </c>
      <c r="G1382" t="s">
        <v>1797</v>
      </c>
      <c r="H1382">
        <v>0</v>
      </c>
      <c r="I1382">
        <v>2890.8308790000001</v>
      </c>
      <c r="J1382">
        <v>9.3261634313643231</v>
      </c>
      <c r="K1382">
        <v>0</v>
      </c>
      <c r="L1382">
        <v>1.127062732372786</v>
      </c>
      <c r="M1382">
        <v>65.58</v>
      </c>
      <c r="N1382">
        <v>43.41</v>
      </c>
    </row>
    <row r="1383" spans="1:14" x14ac:dyDescent="0.25">
      <c r="A1383" s="1" t="s">
        <v>1395</v>
      </c>
      <c r="B1383" t="str">
        <f>HYPERLINK("https://www.suredividend.com/sure-analysis-research-database/","Sandy Spring Bancorp")</f>
        <v>Sandy Spring Bancorp</v>
      </c>
      <c r="C1383" t="s">
        <v>1800</v>
      </c>
      <c r="D1383">
        <v>25.72</v>
      </c>
      <c r="E1383">
        <v>5.0597159534457002E-2</v>
      </c>
      <c r="F1383">
        <v>0</v>
      </c>
      <c r="G1383">
        <v>3.9594988207552577E-2</v>
      </c>
      <c r="H1383">
        <v>1.3013589432262429</v>
      </c>
      <c r="I1383">
        <v>1154.7034639999999</v>
      </c>
      <c r="J1383">
        <v>8.8557670355088582</v>
      </c>
      <c r="K1383">
        <v>0.4487444631814631</v>
      </c>
      <c r="L1383">
        <v>1.3727026505202991</v>
      </c>
      <c r="M1383">
        <v>32.130000000000003</v>
      </c>
      <c r="N1383">
        <v>18.07</v>
      </c>
    </row>
    <row r="1384" spans="1:14" x14ac:dyDescent="0.25">
      <c r="A1384" s="1" t="s">
        <v>1396</v>
      </c>
      <c r="B1384" t="str">
        <f>HYPERLINK("https://www.suredividend.com/sure-analysis-research-database/","EchoStar Corp")</f>
        <v>EchoStar Corp</v>
      </c>
      <c r="C1384" t="s">
        <v>1803</v>
      </c>
      <c r="D1384">
        <v>16.059999999999999</v>
      </c>
      <c r="E1384">
        <v>0</v>
      </c>
      <c r="F1384" t="s">
        <v>1797</v>
      </c>
      <c r="G1384" t="s">
        <v>1797</v>
      </c>
      <c r="H1384">
        <v>0</v>
      </c>
      <c r="I1384">
        <v>581.69003599999996</v>
      </c>
      <c r="J1384">
        <v>6.2689546840681549</v>
      </c>
      <c r="K1384">
        <v>0</v>
      </c>
      <c r="L1384">
        <v>1.464888649529422</v>
      </c>
      <c r="M1384">
        <v>24.8</v>
      </c>
      <c r="N1384">
        <v>9.5299999999999994</v>
      </c>
    </row>
    <row r="1385" spans="1:14" x14ac:dyDescent="0.25">
      <c r="A1385" s="1" t="s">
        <v>1397</v>
      </c>
      <c r="B1385" t="str">
        <f>HYPERLINK("https://www.suredividend.com/sure-analysis-research-database/","Cassava Sciences Inc")</f>
        <v>Cassava Sciences Inc</v>
      </c>
      <c r="C1385" t="s">
        <v>1802</v>
      </c>
      <c r="D1385">
        <v>26.24</v>
      </c>
      <c r="E1385">
        <v>0</v>
      </c>
      <c r="F1385" t="s">
        <v>1797</v>
      </c>
      <c r="G1385" t="s">
        <v>1797</v>
      </c>
      <c r="H1385">
        <v>0</v>
      </c>
      <c r="I1385">
        <v>1106.647387</v>
      </c>
      <c r="J1385">
        <v>0</v>
      </c>
      <c r="K1385" t="s">
        <v>1797</v>
      </c>
      <c r="M1385">
        <v>38.53</v>
      </c>
      <c r="N1385">
        <v>12.32</v>
      </c>
    </row>
    <row r="1386" spans="1:14" x14ac:dyDescent="0.25">
      <c r="A1386" s="1" t="s">
        <v>1398</v>
      </c>
      <c r="B1386" t="str">
        <f>HYPERLINK("https://www.suredividend.com/sure-analysis-research-database/","Spirit Airlines Inc")</f>
        <v>Spirit Airlines Inc</v>
      </c>
      <c r="C1386" t="s">
        <v>1798</v>
      </c>
      <c r="D1386">
        <v>14.97</v>
      </c>
      <c r="E1386">
        <v>6.4805558964603008E-2</v>
      </c>
      <c r="F1386" t="s">
        <v>1797</v>
      </c>
      <c r="G1386" t="s">
        <v>1797</v>
      </c>
      <c r="H1386">
        <v>0.97013921770011913</v>
      </c>
      <c r="I1386">
        <v>1634.2383729999999</v>
      </c>
      <c r="J1386" t="s">
        <v>1797</v>
      </c>
      <c r="K1386" t="s">
        <v>1797</v>
      </c>
      <c r="L1386">
        <v>0.68467118465078203</v>
      </c>
      <c r="M1386">
        <v>19.53</v>
      </c>
      <c r="N1386">
        <v>8.56</v>
      </c>
    </row>
    <row r="1387" spans="1:14" x14ac:dyDescent="0.25">
      <c r="A1387" s="1" t="s">
        <v>1399</v>
      </c>
      <c r="B1387" t="str">
        <f>HYPERLINK("https://www.suredividend.com/sure-analysis-research-database/","Safe Bulkers, Inc")</f>
        <v>Safe Bulkers, Inc</v>
      </c>
      <c r="C1387" t="s">
        <v>1798</v>
      </c>
      <c r="D1387">
        <v>3.87</v>
      </c>
      <c r="E1387">
        <v>5.0578612286339003E-2</v>
      </c>
      <c r="F1387" t="s">
        <v>1797</v>
      </c>
      <c r="G1387" t="s">
        <v>1797</v>
      </c>
      <c r="H1387">
        <v>0.195739229548135</v>
      </c>
      <c r="I1387">
        <v>431.83284300000003</v>
      </c>
      <c r="J1387">
        <v>4.6473116214849171</v>
      </c>
      <c r="K1387">
        <v>0.24494960524106499</v>
      </c>
      <c r="L1387">
        <v>0.95518861371559205</v>
      </c>
      <c r="M1387">
        <v>4.3</v>
      </c>
      <c r="N1387">
        <v>2.83</v>
      </c>
    </row>
    <row r="1388" spans="1:14" x14ac:dyDescent="0.25">
      <c r="A1388" s="1" t="s">
        <v>1400</v>
      </c>
      <c r="B1388" t="str">
        <f>HYPERLINK("https://www.suredividend.com/sure-analysis-research-database/","Seacoast Banking Corp. Of Florida")</f>
        <v>Seacoast Banking Corp. Of Florida</v>
      </c>
      <c r="C1388" t="s">
        <v>1800</v>
      </c>
      <c r="D1388">
        <v>26.53</v>
      </c>
      <c r="E1388">
        <v>2.6204986804271999E-2</v>
      </c>
      <c r="F1388" t="s">
        <v>1797</v>
      </c>
      <c r="G1388" t="s">
        <v>1797</v>
      </c>
      <c r="H1388">
        <v>0.69521829991734607</v>
      </c>
      <c r="I1388">
        <v>2259.026316</v>
      </c>
      <c r="J1388">
        <v>22.953618952010331</v>
      </c>
      <c r="K1388">
        <v>0.56985106550602138</v>
      </c>
      <c r="L1388">
        <v>1.875708013118117</v>
      </c>
      <c r="M1388">
        <v>32.299999999999997</v>
      </c>
      <c r="N1388">
        <v>17.16</v>
      </c>
    </row>
    <row r="1389" spans="1:14" x14ac:dyDescent="0.25">
      <c r="A1389" s="1" t="s">
        <v>1401</v>
      </c>
      <c r="B1389" t="str">
        <f>HYPERLINK("https://www.suredividend.com/sure-analysis-research-database/","Sinclair Inc")</f>
        <v>Sinclair Inc</v>
      </c>
      <c r="C1389" t="s">
        <v>1806</v>
      </c>
      <c r="D1389">
        <v>14.3</v>
      </c>
      <c r="E1389">
        <v>3.4311449248056999E-2</v>
      </c>
      <c r="F1389">
        <v>0</v>
      </c>
      <c r="G1389">
        <v>4.5639552591273169E-2</v>
      </c>
      <c r="H1389">
        <v>0.49065372424722598</v>
      </c>
      <c r="I1389">
        <v>568.27525000000003</v>
      </c>
      <c r="J1389">
        <v>0</v>
      </c>
      <c r="K1389" t="s">
        <v>1797</v>
      </c>
      <c r="L1389">
        <v>1.7642414210663731</v>
      </c>
      <c r="M1389">
        <v>15.27</v>
      </c>
      <c r="N1389">
        <v>9.0399999999999991</v>
      </c>
    </row>
    <row r="1390" spans="1:14" x14ac:dyDescent="0.25">
      <c r="A1390" s="1" t="s">
        <v>1402</v>
      </c>
      <c r="B1390" t="str">
        <f>HYPERLINK("https://www.suredividend.com/sure-analysis-research-database/","Sally Beauty Holdings Inc")</f>
        <v>Sally Beauty Holdings Inc</v>
      </c>
      <c r="C1390" t="s">
        <v>1801</v>
      </c>
      <c r="D1390">
        <v>11.82</v>
      </c>
      <c r="E1390">
        <v>0</v>
      </c>
      <c r="F1390" t="s">
        <v>1797</v>
      </c>
      <c r="G1390" t="s">
        <v>1797</v>
      </c>
      <c r="H1390">
        <v>0</v>
      </c>
      <c r="I1390">
        <v>1262.0435030000001</v>
      </c>
      <c r="J1390">
        <v>6.836638696641387</v>
      </c>
      <c r="K1390">
        <v>0</v>
      </c>
      <c r="L1390">
        <v>1.49149624910037</v>
      </c>
      <c r="M1390">
        <v>18.420000000000002</v>
      </c>
      <c r="N1390">
        <v>7.21</v>
      </c>
    </row>
    <row r="1391" spans="1:14" x14ac:dyDescent="0.25">
      <c r="A1391" s="1" t="s">
        <v>1403</v>
      </c>
      <c r="B1391" t="str">
        <f>HYPERLINK("https://www.suredividend.com/sure-analysis-research-database/","SilverBow Resources Inc")</f>
        <v>SilverBow Resources Inc</v>
      </c>
      <c r="C1391" t="s">
        <v>1807</v>
      </c>
      <c r="D1391">
        <v>27.5</v>
      </c>
      <c r="E1391">
        <v>0</v>
      </c>
      <c r="F1391" t="s">
        <v>1797</v>
      </c>
      <c r="G1391" t="s">
        <v>1797</v>
      </c>
      <c r="H1391">
        <v>0</v>
      </c>
      <c r="I1391">
        <v>699.31427499999995</v>
      </c>
      <c r="J1391">
        <v>0</v>
      </c>
      <c r="K1391" t="s">
        <v>1797</v>
      </c>
      <c r="L1391">
        <v>1.4303998465737371</v>
      </c>
      <c r="M1391">
        <v>43.95</v>
      </c>
      <c r="N1391">
        <v>19.13</v>
      </c>
    </row>
    <row r="1392" spans="1:14" x14ac:dyDescent="0.25">
      <c r="A1392" s="1" t="s">
        <v>1404</v>
      </c>
      <c r="B1392" t="str">
        <f>HYPERLINK("https://www.suredividend.com/sure-analysis-SBRA/","Sabra Healthcare REIT Inc")</f>
        <v>Sabra Healthcare REIT Inc</v>
      </c>
      <c r="C1392" t="s">
        <v>1799</v>
      </c>
      <c r="D1392">
        <v>14.26</v>
      </c>
      <c r="E1392">
        <v>8.4151472650771386E-2</v>
      </c>
      <c r="F1392">
        <v>0</v>
      </c>
      <c r="G1392">
        <v>-7.7892088518272229E-2</v>
      </c>
      <c r="H1392">
        <v>1.1419075565456751</v>
      </c>
      <c r="I1392">
        <v>3297.1903980000002</v>
      </c>
      <c r="J1392" t="s">
        <v>1797</v>
      </c>
      <c r="K1392" t="s">
        <v>1797</v>
      </c>
      <c r="L1392">
        <v>0.94846557893948402</v>
      </c>
      <c r="M1392">
        <v>14.8</v>
      </c>
      <c r="N1392">
        <v>9.19</v>
      </c>
    </row>
    <row r="1393" spans="1:14" x14ac:dyDescent="0.25">
      <c r="A1393" s="1" t="s">
        <v>1405</v>
      </c>
      <c r="B1393" t="str">
        <f>HYPERLINK("https://www.suredividend.com/sure-analysis-SBSI/","Southside Bancshares Inc")</f>
        <v>Southside Bancshares Inc</v>
      </c>
      <c r="C1393" t="s">
        <v>1800</v>
      </c>
      <c r="D1393">
        <v>30.02</v>
      </c>
      <c r="E1393">
        <v>4.6635576282478337E-2</v>
      </c>
      <c r="F1393">
        <v>0</v>
      </c>
      <c r="G1393">
        <v>2.4569138363080611E-2</v>
      </c>
      <c r="H1393">
        <v>1.37458604298402</v>
      </c>
      <c r="I1393">
        <v>906.60400000000004</v>
      </c>
      <c r="J1393">
        <v>9.3421952928568484</v>
      </c>
      <c r="K1393">
        <v>0.44198908134534398</v>
      </c>
      <c r="L1393">
        <v>1.141641269655707</v>
      </c>
      <c r="M1393">
        <v>38.57</v>
      </c>
      <c r="N1393">
        <v>24.78</v>
      </c>
    </row>
    <row r="1394" spans="1:14" x14ac:dyDescent="0.25">
      <c r="A1394" s="1" t="s">
        <v>1406</v>
      </c>
      <c r="B1394" t="str">
        <f>HYPERLINK("https://www.suredividend.com/sure-analysis-research-database/","Sterling Bancorp Inc")</f>
        <v>Sterling Bancorp Inc</v>
      </c>
      <c r="C1394" t="s">
        <v>1800</v>
      </c>
      <c r="D1394">
        <v>5.32</v>
      </c>
      <c r="E1394">
        <v>0</v>
      </c>
      <c r="F1394" t="s">
        <v>1797</v>
      </c>
      <c r="G1394" t="s">
        <v>1797</v>
      </c>
      <c r="H1394">
        <v>0</v>
      </c>
      <c r="I1394">
        <v>277.02639699999997</v>
      </c>
      <c r="J1394">
        <v>0</v>
      </c>
      <c r="K1394" t="s">
        <v>1797</v>
      </c>
      <c r="L1394">
        <v>0.88680585627926312</v>
      </c>
      <c r="M1394">
        <v>6.36</v>
      </c>
      <c r="N1394">
        <v>4.22</v>
      </c>
    </row>
    <row r="1395" spans="1:14" x14ac:dyDescent="0.25">
      <c r="A1395" s="1" t="s">
        <v>1407</v>
      </c>
      <c r="B1395" t="str">
        <f>HYPERLINK("https://www.suredividend.com/sure-analysis-SCHL/","Scholastic Corp.")</f>
        <v>Scholastic Corp.</v>
      </c>
      <c r="C1395" t="s">
        <v>1806</v>
      </c>
      <c r="D1395">
        <v>37.729999999999997</v>
      </c>
      <c r="E1395">
        <v>2.1203286509408961E-2</v>
      </c>
      <c r="F1395">
        <v>0</v>
      </c>
      <c r="G1395">
        <v>5.9223841048812183E-2</v>
      </c>
      <c r="H1395">
        <v>0.78888071045597707</v>
      </c>
      <c r="I1395">
        <v>1064.817607</v>
      </c>
      <c r="J1395">
        <v>17.986783900844589</v>
      </c>
      <c r="K1395">
        <v>0.44071548070166322</v>
      </c>
      <c r="L1395">
        <v>0.70476056422644007</v>
      </c>
      <c r="M1395">
        <v>46.06</v>
      </c>
      <c r="N1395">
        <v>29.73</v>
      </c>
    </row>
    <row r="1396" spans="1:14" x14ac:dyDescent="0.25">
      <c r="A1396" s="1" t="s">
        <v>1408</v>
      </c>
      <c r="B1396" t="str">
        <f>HYPERLINK("https://www.suredividend.com/sure-analysis-SCL/","Stepan Co.")</f>
        <v>Stepan Co.</v>
      </c>
      <c r="C1396" t="s">
        <v>1808</v>
      </c>
      <c r="D1396">
        <v>89.67</v>
      </c>
      <c r="E1396">
        <v>1.6728002676480429E-2</v>
      </c>
      <c r="F1396">
        <v>2.7397260273972709E-2</v>
      </c>
      <c r="G1396">
        <v>8.4471771197698553E-2</v>
      </c>
      <c r="H1396">
        <v>1.4605673121660969</v>
      </c>
      <c r="I1396">
        <v>2005.6830540000001</v>
      </c>
      <c r="J1396">
        <v>38.400242275085681</v>
      </c>
      <c r="K1396">
        <v>0.6434217234211882</v>
      </c>
      <c r="L1396">
        <v>0.97344211395118008</v>
      </c>
      <c r="M1396">
        <v>112.65</v>
      </c>
      <c r="N1396">
        <v>63.31</v>
      </c>
    </row>
    <row r="1397" spans="1:14" x14ac:dyDescent="0.25">
      <c r="A1397" s="1" t="s">
        <v>1409</v>
      </c>
      <c r="B1397" t="str">
        <f>HYPERLINK("https://www.suredividend.com/sure-analysis-research-database/","Steelcase, Inc.")</f>
        <v>Steelcase, Inc.</v>
      </c>
      <c r="C1397" t="s">
        <v>1798</v>
      </c>
      <c r="D1397">
        <v>12.71</v>
      </c>
      <c r="E1397">
        <v>3.1055821354066E-2</v>
      </c>
      <c r="F1397">
        <v>0</v>
      </c>
      <c r="G1397">
        <v>-7.1618666876923864E-2</v>
      </c>
      <c r="H1397">
        <v>0.39471948941018098</v>
      </c>
      <c r="I1397">
        <v>1193.05351</v>
      </c>
      <c r="J1397">
        <v>16.455910484137931</v>
      </c>
      <c r="K1397">
        <v>0.6218993058298109</v>
      </c>
      <c r="L1397">
        <v>1.0017131762305069</v>
      </c>
      <c r="M1397">
        <v>14.43</v>
      </c>
      <c r="N1397">
        <v>6.21</v>
      </c>
    </row>
    <row r="1398" spans="1:14" x14ac:dyDescent="0.25">
      <c r="A1398" s="1" t="s">
        <v>1410</v>
      </c>
      <c r="B1398" t="str">
        <f>HYPERLINK("https://www.suredividend.com/sure-analysis-research-database/","Scansource, Inc.")</f>
        <v>Scansource, Inc.</v>
      </c>
      <c r="C1398" t="s">
        <v>1803</v>
      </c>
      <c r="D1398">
        <v>38.26</v>
      </c>
      <c r="E1398">
        <v>0</v>
      </c>
      <c r="F1398" t="s">
        <v>1797</v>
      </c>
      <c r="G1398" t="s">
        <v>1797</v>
      </c>
      <c r="H1398">
        <v>0</v>
      </c>
      <c r="I1398">
        <v>961.263867</v>
      </c>
      <c r="J1398">
        <v>11.838370760477339</v>
      </c>
      <c r="K1398">
        <v>0</v>
      </c>
      <c r="L1398">
        <v>0.92169765814266003</v>
      </c>
      <c r="M1398">
        <v>40.479999999999997</v>
      </c>
      <c r="N1398">
        <v>26.14</v>
      </c>
    </row>
    <row r="1399" spans="1:14" x14ac:dyDescent="0.25">
      <c r="A1399" s="1" t="s">
        <v>1411</v>
      </c>
      <c r="B1399" t="str">
        <f>HYPERLINK("https://www.suredividend.com/sure-analysis-research-database/","Sculptor Capital Management Inc")</f>
        <v>Sculptor Capital Management Inc</v>
      </c>
      <c r="C1399" t="s">
        <v>1800</v>
      </c>
      <c r="D1399">
        <v>12.72</v>
      </c>
      <c r="E1399">
        <v>2.1086481356594002E-2</v>
      </c>
      <c r="F1399" t="s">
        <v>1797</v>
      </c>
      <c r="G1399" t="s">
        <v>1797</v>
      </c>
      <c r="H1399">
        <v>0.26822004285588003</v>
      </c>
      <c r="I1399">
        <v>373.35974199999998</v>
      </c>
      <c r="J1399" t="s">
        <v>1797</v>
      </c>
      <c r="K1399" t="s">
        <v>1797</v>
      </c>
      <c r="L1399">
        <v>0.9260992928421371</v>
      </c>
      <c r="M1399">
        <v>12.78</v>
      </c>
      <c r="N1399">
        <v>7.76</v>
      </c>
    </row>
    <row r="1400" spans="1:14" x14ac:dyDescent="0.25">
      <c r="A1400" s="1" t="s">
        <v>1412</v>
      </c>
      <c r="B1400" t="str">
        <f>HYPERLINK("https://www.suredividend.com/sure-analysis-research-database/","Shoe Carnival, Inc.")</f>
        <v>Shoe Carnival, Inc.</v>
      </c>
      <c r="C1400" t="s">
        <v>1801</v>
      </c>
      <c r="D1400">
        <v>26.57</v>
      </c>
      <c r="E1400">
        <v>1.6351244333331998E-2</v>
      </c>
      <c r="F1400">
        <v>0.33333333333333331</v>
      </c>
      <c r="G1400">
        <v>8.4471771197698553E-2</v>
      </c>
      <c r="H1400">
        <v>0.43445256193665099</v>
      </c>
      <c r="I1400">
        <v>720.88562899999999</v>
      </c>
      <c r="J1400">
        <v>9.0748209787507239</v>
      </c>
      <c r="K1400">
        <v>0.1498112282540176</v>
      </c>
      <c r="L1400">
        <v>1.075083045267669</v>
      </c>
      <c r="M1400">
        <v>30.67</v>
      </c>
      <c r="N1400">
        <v>18.73</v>
      </c>
    </row>
    <row r="1401" spans="1:14" x14ac:dyDescent="0.25">
      <c r="A1401" s="1" t="s">
        <v>1413</v>
      </c>
      <c r="B1401" t="str">
        <f>HYPERLINK("https://www.suredividend.com/sure-analysis-research-database/","SecureWorks Corp")</f>
        <v>SecureWorks Corp</v>
      </c>
      <c r="C1401" t="s">
        <v>1803</v>
      </c>
      <c r="D1401">
        <v>7.16</v>
      </c>
      <c r="E1401">
        <v>0</v>
      </c>
      <c r="F1401" t="s">
        <v>1797</v>
      </c>
      <c r="G1401" t="s">
        <v>1797</v>
      </c>
      <c r="H1401">
        <v>0</v>
      </c>
      <c r="I1401">
        <v>116.919077</v>
      </c>
      <c r="J1401" t="s">
        <v>1797</v>
      </c>
      <c r="K1401">
        <v>0</v>
      </c>
      <c r="L1401">
        <v>0.90671742717177906</v>
      </c>
      <c r="M1401">
        <v>10.06</v>
      </c>
      <c r="N1401">
        <v>5.4</v>
      </c>
    </row>
    <row r="1402" spans="1:14" x14ac:dyDescent="0.25">
      <c r="A1402" s="1" t="s">
        <v>1414</v>
      </c>
      <c r="B1402" t="str">
        <f>HYPERLINK("https://www.suredividend.com/sure-analysis-research-database/","Sandridge Energy Inc")</f>
        <v>Sandridge Energy Inc</v>
      </c>
      <c r="C1402" t="s">
        <v>1807</v>
      </c>
      <c r="D1402">
        <v>13.67</v>
      </c>
      <c r="E1402">
        <v>1.4579234244244999E-2</v>
      </c>
      <c r="F1402" t="s">
        <v>1797</v>
      </c>
      <c r="G1402" t="s">
        <v>1797</v>
      </c>
      <c r="H1402">
        <v>0.19929813211883801</v>
      </c>
      <c r="I1402">
        <v>507.03764699999999</v>
      </c>
      <c r="J1402">
        <v>0</v>
      </c>
      <c r="K1402" t="s">
        <v>1797</v>
      </c>
      <c r="L1402">
        <v>1.01808971971617</v>
      </c>
      <c r="M1402">
        <v>16.97</v>
      </c>
      <c r="N1402">
        <v>11.03</v>
      </c>
    </row>
    <row r="1403" spans="1:14" x14ac:dyDescent="0.25">
      <c r="A1403" s="1" t="s">
        <v>1415</v>
      </c>
      <c r="B1403" t="str">
        <f>HYPERLINK("https://www.suredividend.com/sure-analysis-research-database/","Schrodinger Inc")</f>
        <v>Schrodinger Inc</v>
      </c>
      <c r="C1403" t="s">
        <v>1802</v>
      </c>
      <c r="D1403">
        <v>28.4</v>
      </c>
      <c r="E1403">
        <v>0</v>
      </c>
      <c r="F1403" t="s">
        <v>1797</v>
      </c>
      <c r="G1403" t="s">
        <v>1797</v>
      </c>
      <c r="H1403">
        <v>0</v>
      </c>
      <c r="I1403">
        <v>1785.467445</v>
      </c>
      <c r="J1403">
        <v>40.410733648688407</v>
      </c>
      <c r="K1403">
        <v>0</v>
      </c>
      <c r="L1403">
        <v>2.3790166917983702</v>
      </c>
      <c r="M1403">
        <v>59.24</v>
      </c>
      <c r="N1403">
        <v>20.76</v>
      </c>
    </row>
    <row r="1404" spans="1:14" x14ac:dyDescent="0.25">
      <c r="A1404" s="1" t="s">
        <v>1416</v>
      </c>
      <c r="B1404" t="str">
        <f>HYPERLINK("https://www.suredividend.com/sure-analysis-research-database/","SeaWorld Entertainment Inc")</f>
        <v>SeaWorld Entertainment Inc</v>
      </c>
      <c r="C1404" t="s">
        <v>1801</v>
      </c>
      <c r="D1404">
        <v>50.55</v>
      </c>
      <c r="E1404">
        <v>0</v>
      </c>
      <c r="F1404" t="s">
        <v>1797</v>
      </c>
      <c r="G1404" t="s">
        <v>1797</v>
      </c>
      <c r="H1404">
        <v>0</v>
      </c>
      <c r="I1404">
        <v>3232.370868</v>
      </c>
      <c r="J1404">
        <v>13.29356770490185</v>
      </c>
      <c r="K1404">
        <v>0</v>
      </c>
      <c r="L1404">
        <v>1.711410401257468</v>
      </c>
      <c r="M1404">
        <v>68.19</v>
      </c>
      <c r="N1404">
        <v>40.869999999999997</v>
      </c>
    </row>
    <row r="1405" spans="1:14" x14ac:dyDescent="0.25">
      <c r="A1405" s="1" t="s">
        <v>1417</v>
      </c>
      <c r="B1405" t="str">
        <f>HYPERLINK("https://www.suredividend.com/sure-analysis-research-database/","Vivid Seats Inc")</f>
        <v>Vivid Seats Inc</v>
      </c>
      <c r="C1405" t="s">
        <v>1797</v>
      </c>
      <c r="D1405">
        <v>6.02</v>
      </c>
      <c r="E1405">
        <v>0</v>
      </c>
      <c r="F1405" t="s">
        <v>1797</v>
      </c>
      <c r="G1405" t="s">
        <v>1797</v>
      </c>
      <c r="H1405">
        <v>0</v>
      </c>
      <c r="I1405">
        <v>805.93240000000003</v>
      </c>
      <c r="J1405">
        <v>13.5096620671852</v>
      </c>
      <c r="K1405">
        <v>0</v>
      </c>
      <c r="L1405">
        <v>0.61750738968001706</v>
      </c>
      <c r="M1405">
        <v>9.89</v>
      </c>
      <c r="N1405">
        <v>5.59</v>
      </c>
    </row>
    <row r="1406" spans="1:14" x14ac:dyDescent="0.25">
      <c r="A1406" s="1" t="s">
        <v>1418</v>
      </c>
      <c r="B1406" t="str">
        <f>HYPERLINK("https://www.suredividend.com/sure-analysis-research-database/","Seer Inc")</f>
        <v>Seer Inc</v>
      </c>
      <c r="C1406" t="s">
        <v>1797</v>
      </c>
      <c r="D1406">
        <v>1.79</v>
      </c>
      <c r="E1406">
        <v>0</v>
      </c>
      <c r="F1406" t="s">
        <v>1797</v>
      </c>
      <c r="G1406" t="s">
        <v>1797</v>
      </c>
      <c r="H1406">
        <v>0</v>
      </c>
      <c r="I1406">
        <v>107.006637</v>
      </c>
      <c r="J1406" t="s">
        <v>1797</v>
      </c>
      <c r="K1406">
        <v>0</v>
      </c>
      <c r="L1406">
        <v>2.5742866705612109</v>
      </c>
      <c r="M1406">
        <v>6.18</v>
      </c>
      <c r="N1406">
        <v>1.46</v>
      </c>
    </row>
    <row r="1407" spans="1:14" x14ac:dyDescent="0.25">
      <c r="A1407" s="1" t="s">
        <v>1419</v>
      </c>
      <c r="B1407" t="str">
        <f>HYPERLINK("https://www.suredividend.com/sure-analysis-research-database/","Select Medical Holdings Corporation")</f>
        <v>Select Medical Holdings Corporation</v>
      </c>
      <c r="C1407" t="s">
        <v>1802</v>
      </c>
      <c r="D1407">
        <v>26.41</v>
      </c>
      <c r="E1407">
        <v>1.878934630381E-2</v>
      </c>
      <c r="F1407" t="s">
        <v>1797</v>
      </c>
      <c r="G1407" t="s">
        <v>1797</v>
      </c>
      <c r="H1407">
        <v>0.49622663588362198</v>
      </c>
      <c r="I1407">
        <v>3386.1195389999998</v>
      </c>
      <c r="J1407">
        <v>15.64027500498845</v>
      </c>
      <c r="K1407">
        <v>0.28683620571307628</v>
      </c>
      <c r="L1407">
        <v>1.0443541196762269</v>
      </c>
      <c r="M1407">
        <v>33.17</v>
      </c>
      <c r="N1407">
        <v>21.16</v>
      </c>
    </row>
    <row r="1408" spans="1:14" x14ac:dyDescent="0.25">
      <c r="A1408" s="1" t="s">
        <v>1420</v>
      </c>
      <c r="B1408" t="str">
        <f>HYPERLINK("https://www.suredividend.com/sure-analysis-research-database/","Seneca Foods Corp.")</f>
        <v>Seneca Foods Corp.</v>
      </c>
      <c r="C1408" t="s">
        <v>1804</v>
      </c>
      <c r="D1408">
        <v>53.13</v>
      </c>
      <c r="E1408">
        <v>0</v>
      </c>
      <c r="F1408" t="s">
        <v>1797</v>
      </c>
      <c r="G1408" t="s">
        <v>1797</v>
      </c>
      <c r="H1408">
        <v>0</v>
      </c>
      <c r="I1408">
        <v>380.85020900000001</v>
      </c>
      <c r="J1408">
        <v>10.618697625048791</v>
      </c>
      <c r="K1408">
        <v>0</v>
      </c>
      <c r="L1408">
        <v>0.26449280923998802</v>
      </c>
      <c r="M1408">
        <v>65.650000000000006</v>
      </c>
      <c r="N1408">
        <v>32.5</v>
      </c>
    </row>
    <row r="1409" spans="1:14" x14ac:dyDescent="0.25">
      <c r="A1409" s="1" t="s">
        <v>1421</v>
      </c>
      <c r="B1409" t="str">
        <f>HYPERLINK("https://www.suredividend.com/sure-analysis-research-database/","Senseonics Holdings Inc")</f>
        <v>Senseonics Holdings Inc</v>
      </c>
      <c r="C1409" t="s">
        <v>1802</v>
      </c>
      <c r="D1409">
        <v>0.52210000000000001</v>
      </c>
      <c r="E1409">
        <v>0</v>
      </c>
      <c r="F1409" t="s">
        <v>1797</v>
      </c>
      <c r="G1409" t="s">
        <v>1797</v>
      </c>
      <c r="H1409">
        <v>0</v>
      </c>
      <c r="I1409">
        <v>275.81572199999999</v>
      </c>
      <c r="J1409" t="s">
        <v>1797</v>
      </c>
      <c r="K1409">
        <v>0</v>
      </c>
      <c r="L1409">
        <v>2.1009510894093468</v>
      </c>
      <c r="M1409">
        <v>1.27</v>
      </c>
      <c r="N1409">
        <v>0.46060000000000001</v>
      </c>
    </row>
    <row r="1410" spans="1:14" x14ac:dyDescent="0.25">
      <c r="A1410" s="1" t="s">
        <v>1422</v>
      </c>
      <c r="B1410" t="str">
        <f>HYPERLINK("https://www.suredividend.com/sure-analysis-research-database/","ServisFirst Bancshares Inc")</f>
        <v>ServisFirst Bancshares Inc</v>
      </c>
      <c r="C1410" t="s">
        <v>1800</v>
      </c>
      <c r="D1410">
        <v>61.62</v>
      </c>
      <c r="E1410">
        <v>1.8363386503090998E-2</v>
      </c>
      <c r="F1410">
        <v>7.1428571428571397E-2</v>
      </c>
      <c r="G1410">
        <v>0.1486983549970351</v>
      </c>
      <c r="H1410">
        <v>1.1315518763205159</v>
      </c>
      <c r="I1410">
        <v>3354.2951750000002</v>
      </c>
      <c r="J1410">
        <v>14.43073801695914</v>
      </c>
      <c r="K1410">
        <v>0.26562250617852501</v>
      </c>
      <c r="L1410">
        <v>1.5684079196731751</v>
      </c>
      <c r="M1410">
        <v>73.52</v>
      </c>
      <c r="N1410">
        <v>38.89</v>
      </c>
    </row>
    <row r="1411" spans="1:14" x14ac:dyDescent="0.25">
      <c r="A1411" s="1" t="s">
        <v>1423</v>
      </c>
      <c r="B1411" t="str">
        <f>HYPERLINK("https://www.suredividend.com/sure-analysis-research-database/","Stitch Fix Inc")</f>
        <v>Stitch Fix Inc</v>
      </c>
      <c r="C1411" t="s">
        <v>1801</v>
      </c>
      <c r="D1411">
        <v>3.26</v>
      </c>
      <c r="E1411">
        <v>0</v>
      </c>
      <c r="F1411" t="s">
        <v>1797</v>
      </c>
      <c r="G1411" t="s">
        <v>1797</v>
      </c>
      <c r="H1411">
        <v>0</v>
      </c>
      <c r="I1411">
        <v>301.50405000000001</v>
      </c>
      <c r="J1411" t="s">
        <v>1797</v>
      </c>
      <c r="K1411">
        <v>0</v>
      </c>
      <c r="L1411">
        <v>2.9877017793920562</v>
      </c>
      <c r="M1411">
        <v>6.03</v>
      </c>
      <c r="N1411">
        <v>2.78</v>
      </c>
    </row>
    <row r="1412" spans="1:14" x14ac:dyDescent="0.25">
      <c r="A1412" s="1" t="s">
        <v>1424</v>
      </c>
      <c r="B1412" t="str">
        <f>HYPERLINK("https://www.suredividend.com/sure-analysis-SFL/","SFL Corporation Ltd")</f>
        <v>SFL Corporation Ltd</v>
      </c>
      <c r="C1412" t="s">
        <v>1798</v>
      </c>
      <c r="D1412">
        <v>11.9</v>
      </c>
      <c r="E1412">
        <v>8.4033613445378144E-2</v>
      </c>
      <c r="F1412">
        <v>8.6956521739130377E-2</v>
      </c>
      <c r="G1412">
        <v>-6.5080123851529836E-2</v>
      </c>
      <c r="H1412">
        <v>0.93807237485718609</v>
      </c>
      <c r="I1412">
        <v>1648.8898589999999</v>
      </c>
      <c r="J1412">
        <v>16.321925291270301</v>
      </c>
      <c r="K1412">
        <v>1.273170975647647</v>
      </c>
      <c r="L1412">
        <v>0.70333271711606404</v>
      </c>
      <c r="M1412">
        <v>12.1</v>
      </c>
      <c r="N1412">
        <v>7.86</v>
      </c>
    </row>
    <row r="1413" spans="1:14" x14ac:dyDescent="0.25">
      <c r="A1413" s="1" t="s">
        <v>1425</v>
      </c>
      <c r="B1413" t="str">
        <f>HYPERLINK("https://www.suredividend.com/sure-analysis-research-database/","Sprouts Farmers Market Inc")</f>
        <v>Sprouts Farmers Market Inc</v>
      </c>
      <c r="C1413" t="s">
        <v>1804</v>
      </c>
      <c r="D1413">
        <v>50.13</v>
      </c>
      <c r="E1413">
        <v>0</v>
      </c>
      <c r="F1413" t="s">
        <v>1797</v>
      </c>
      <c r="G1413" t="s">
        <v>1797</v>
      </c>
      <c r="H1413">
        <v>0</v>
      </c>
      <c r="I1413">
        <v>5093.2079999999996</v>
      </c>
      <c r="J1413">
        <v>20.0577646331426</v>
      </c>
      <c r="K1413">
        <v>0</v>
      </c>
      <c r="L1413">
        <v>0.55096987007391995</v>
      </c>
      <c r="M1413">
        <v>50.17</v>
      </c>
      <c r="N1413">
        <v>30.1</v>
      </c>
    </row>
    <row r="1414" spans="1:14" x14ac:dyDescent="0.25">
      <c r="A1414" s="1" t="s">
        <v>1426</v>
      </c>
      <c r="B1414" t="str">
        <f>HYPERLINK("https://www.suredividend.com/sure-analysis-research-database/","Simmons First National Corp.")</f>
        <v>Simmons First National Corp.</v>
      </c>
      <c r="C1414" t="s">
        <v>1800</v>
      </c>
      <c r="D1414">
        <v>18.690000000000001</v>
      </c>
      <c r="E1414">
        <v>4.1535235320750007E-2</v>
      </c>
      <c r="F1414">
        <v>5.2631578947368363E-2</v>
      </c>
      <c r="G1414">
        <v>4.5639552591273169E-2</v>
      </c>
      <c r="H1414">
        <v>0.77629354814483309</v>
      </c>
      <c r="I1414">
        <v>2339.4010779999999</v>
      </c>
      <c r="J1414">
        <v>9.9799542593319401</v>
      </c>
      <c r="K1414">
        <v>0.42189866747001797</v>
      </c>
      <c r="L1414">
        <v>1.658863247372391</v>
      </c>
      <c r="M1414">
        <v>22.17</v>
      </c>
      <c r="N1414">
        <v>13.08</v>
      </c>
    </row>
    <row r="1415" spans="1:14" x14ac:dyDescent="0.25">
      <c r="A1415" s="1" t="s">
        <v>1427</v>
      </c>
      <c r="B1415" t="str">
        <f>HYPERLINK("https://www.suredividend.com/sure-analysis-research-database/","Southern First Bancshares Inc")</f>
        <v>Southern First Bancshares Inc</v>
      </c>
      <c r="C1415" t="s">
        <v>1800</v>
      </c>
      <c r="D1415">
        <v>36.700000000000003</v>
      </c>
      <c r="E1415">
        <v>0</v>
      </c>
      <c r="F1415" t="s">
        <v>1797</v>
      </c>
      <c r="G1415" t="s">
        <v>1797</v>
      </c>
      <c r="H1415">
        <v>0</v>
      </c>
      <c r="I1415">
        <v>296.85301500000003</v>
      </c>
      <c r="J1415">
        <v>0</v>
      </c>
      <c r="K1415" t="s">
        <v>1797</v>
      </c>
      <c r="L1415">
        <v>1.0940631742476019</v>
      </c>
      <c r="M1415">
        <v>44.15</v>
      </c>
      <c r="N1415">
        <v>20.75</v>
      </c>
    </row>
    <row r="1416" spans="1:14" x14ac:dyDescent="0.25">
      <c r="A1416" s="1" t="s">
        <v>1428</v>
      </c>
      <c r="B1416" t="str">
        <f>HYPERLINK("https://www.suredividend.com/sure-analysis-research-database/","Sweetgreen Inc")</f>
        <v>Sweetgreen Inc</v>
      </c>
      <c r="C1416" t="s">
        <v>1800</v>
      </c>
      <c r="D1416">
        <v>10.97</v>
      </c>
      <c r="E1416">
        <v>0</v>
      </c>
      <c r="F1416" t="s">
        <v>1797</v>
      </c>
      <c r="G1416" t="s">
        <v>1797</v>
      </c>
      <c r="H1416">
        <v>0</v>
      </c>
      <c r="I1416">
        <v>1090.4987169999999</v>
      </c>
      <c r="J1416" t="s">
        <v>1797</v>
      </c>
      <c r="K1416">
        <v>0</v>
      </c>
      <c r="L1416">
        <v>1.9359486372454411</v>
      </c>
      <c r="M1416">
        <v>16.579999999999998</v>
      </c>
      <c r="N1416">
        <v>6.1</v>
      </c>
    </row>
    <row r="1417" spans="1:14" x14ac:dyDescent="0.25">
      <c r="A1417" s="1" t="s">
        <v>1429</v>
      </c>
      <c r="B1417" t="str">
        <f>HYPERLINK("https://www.suredividend.com/sure-analysis-research-database/","Superior Group of Companies Inc..")</f>
        <v>Superior Group of Companies Inc..</v>
      </c>
      <c r="C1417" t="s">
        <v>1801</v>
      </c>
      <c r="D1417">
        <v>13.97</v>
      </c>
      <c r="E1417">
        <v>3.8564149784800002E-2</v>
      </c>
      <c r="F1417">
        <v>0</v>
      </c>
      <c r="G1417">
        <v>6.9610375725068785E-2</v>
      </c>
      <c r="H1417">
        <v>0.53874117249366904</v>
      </c>
      <c r="I1417">
        <v>230.586389</v>
      </c>
      <c r="J1417">
        <v>0</v>
      </c>
      <c r="K1417" t="s">
        <v>1797</v>
      </c>
      <c r="L1417">
        <v>0.59778946008103706</v>
      </c>
      <c r="M1417">
        <v>14.87</v>
      </c>
      <c r="N1417">
        <v>6.63</v>
      </c>
    </row>
    <row r="1418" spans="1:14" x14ac:dyDescent="0.25">
      <c r="A1418" s="1" t="s">
        <v>1430</v>
      </c>
      <c r="B1418" t="str">
        <f>HYPERLINK("https://www.suredividend.com/sure-analysis-research-database/","SMART Global Holdings Inc")</f>
        <v>SMART Global Holdings Inc</v>
      </c>
      <c r="C1418" t="s">
        <v>1803</v>
      </c>
      <c r="D1418">
        <v>21.41</v>
      </c>
      <c r="E1418">
        <v>0</v>
      </c>
      <c r="F1418" t="s">
        <v>1797</v>
      </c>
      <c r="G1418" t="s">
        <v>1797</v>
      </c>
      <c r="H1418">
        <v>0</v>
      </c>
      <c r="I1418">
        <v>1109.6828049999999</v>
      </c>
      <c r="J1418" t="s">
        <v>1797</v>
      </c>
      <c r="K1418">
        <v>0</v>
      </c>
      <c r="L1418">
        <v>1.8849962061526939</v>
      </c>
      <c r="M1418">
        <v>29.99</v>
      </c>
      <c r="N1418">
        <v>12.66</v>
      </c>
    </row>
    <row r="1419" spans="1:14" x14ac:dyDescent="0.25">
      <c r="A1419" s="1" t="s">
        <v>1431</v>
      </c>
      <c r="B1419" t="str">
        <f>HYPERLINK("https://www.suredividend.com/sure-analysis-research-database/","Sight Sciences Inc")</f>
        <v>Sight Sciences Inc</v>
      </c>
      <c r="C1419" t="s">
        <v>1797</v>
      </c>
      <c r="D1419">
        <v>5.14</v>
      </c>
      <c r="E1419">
        <v>0</v>
      </c>
      <c r="F1419" t="s">
        <v>1797</v>
      </c>
      <c r="G1419" t="s">
        <v>1797</v>
      </c>
      <c r="H1419">
        <v>0</v>
      </c>
      <c r="I1419">
        <v>250.57436300000001</v>
      </c>
      <c r="J1419" t="s">
        <v>1797</v>
      </c>
      <c r="K1419">
        <v>0</v>
      </c>
      <c r="L1419">
        <v>2.0849878567888371</v>
      </c>
      <c r="M1419">
        <v>13.32</v>
      </c>
      <c r="N1419">
        <v>1.04</v>
      </c>
    </row>
    <row r="1420" spans="1:14" x14ac:dyDescent="0.25">
      <c r="A1420" s="1" t="s">
        <v>1432</v>
      </c>
      <c r="B1420" t="str">
        <f>HYPERLINK("https://www.suredividend.com/sure-analysis-research-database/","Sangamo Therapeutics Inc")</f>
        <v>Sangamo Therapeutics Inc</v>
      </c>
      <c r="C1420" t="s">
        <v>1802</v>
      </c>
      <c r="D1420">
        <v>0.51560000000000006</v>
      </c>
      <c r="E1420">
        <v>0</v>
      </c>
      <c r="F1420" t="s">
        <v>1797</v>
      </c>
      <c r="G1420" t="s">
        <v>1797</v>
      </c>
      <c r="H1420">
        <v>0</v>
      </c>
      <c r="I1420">
        <v>91.440102999999993</v>
      </c>
      <c r="J1420" t="s">
        <v>1797</v>
      </c>
      <c r="K1420">
        <v>0</v>
      </c>
      <c r="L1420">
        <v>1.663555440884843</v>
      </c>
      <c r="M1420">
        <v>3.73</v>
      </c>
      <c r="N1420">
        <v>0.29110000000000003</v>
      </c>
    </row>
    <row r="1421" spans="1:14" x14ac:dyDescent="0.25">
      <c r="A1421" s="1" t="s">
        <v>1433</v>
      </c>
      <c r="B1421" t="str">
        <f>HYPERLINK("https://www.suredividend.com/sure-analysis-research-database/","Surgery Partners Inc")</f>
        <v>Surgery Partners Inc</v>
      </c>
      <c r="C1421" t="s">
        <v>1802</v>
      </c>
      <c r="D1421">
        <v>32.46</v>
      </c>
      <c r="E1421">
        <v>0</v>
      </c>
      <c r="F1421" t="s">
        <v>1797</v>
      </c>
      <c r="G1421" t="s">
        <v>1797</v>
      </c>
      <c r="H1421">
        <v>0</v>
      </c>
      <c r="I1421">
        <v>4105.9718359999997</v>
      </c>
      <c r="J1421" t="s">
        <v>1797</v>
      </c>
      <c r="K1421">
        <v>0</v>
      </c>
      <c r="L1421">
        <v>1.9941767098844949</v>
      </c>
      <c r="M1421">
        <v>45.79</v>
      </c>
      <c r="N1421">
        <v>22.05</v>
      </c>
    </row>
    <row r="1422" spans="1:14" x14ac:dyDescent="0.25">
      <c r="A1422" s="1" t="s">
        <v>1434</v>
      </c>
      <c r="B1422" t="str">
        <f>HYPERLINK("https://www.suredividend.com/sure-analysis-research-database/","Shake Shack Inc")</f>
        <v>Shake Shack Inc</v>
      </c>
      <c r="C1422" t="s">
        <v>1801</v>
      </c>
      <c r="D1422">
        <v>65.900000000000006</v>
      </c>
      <c r="E1422">
        <v>0</v>
      </c>
      <c r="F1422" t="s">
        <v>1797</v>
      </c>
      <c r="G1422" t="s">
        <v>1797</v>
      </c>
      <c r="H1422">
        <v>0</v>
      </c>
      <c r="I1422">
        <v>2600.9320400000001</v>
      </c>
      <c r="J1422">
        <v>1119.1618071858859</v>
      </c>
      <c r="K1422">
        <v>0</v>
      </c>
      <c r="L1422">
        <v>1.19259657103801</v>
      </c>
      <c r="M1422">
        <v>80.58</v>
      </c>
      <c r="N1422">
        <v>52.01</v>
      </c>
    </row>
    <row r="1423" spans="1:14" x14ac:dyDescent="0.25">
      <c r="A1423" s="1" t="s">
        <v>1435</v>
      </c>
      <c r="B1423" t="str">
        <f>HYPERLINK("https://www.suredividend.com/sure-analysis-research-database/","Shore Bancshares Inc.")</f>
        <v>Shore Bancshares Inc.</v>
      </c>
      <c r="C1423" t="s">
        <v>1800</v>
      </c>
      <c r="D1423">
        <v>12.98</v>
      </c>
      <c r="E1423">
        <v>3.5964838327935997E-2</v>
      </c>
      <c r="F1423">
        <v>0</v>
      </c>
      <c r="G1423">
        <v>3.7137289336648172E-2</v>
      </c>
      <c r="H1423">
        <v>0.46682360149661312</v>
      </c>
      <c r="I1423">
        <v>430.23112099999997</v>
      </c>
      <c r="J1423">
        <v>47.045502580645163</v>
      </c>
      <c r="K1423">
        <v>1.1839300063317599</v>
      </c>
      <c r="L1423">
        <v>1.2077802380797069</v>
      </c>
      <c r="M1423">
        <v>17.12</v>
      </c>
      <c r="N1423">
        <v>9.4700000000000006</v>
      </c>
    </row>
    <row r="1424" spans="1:14" x14ac:dyDescent="0.25">
      <c r="A1424" s="1" t="s">
        <v>1436</v>
      </c>
      <c r="B1424" t="str">
        <f>HYPERLINK("https://www.suredividend.com/sure-analysis-research-database/","Sharecare Inc")</f>
        <v>Sharecare Inc</v>
      </c>
      <c r="C1424" t="s">
        <v>1797</v>
      </c>
      <c r="D1424">
        <v>1.03</v>
      </c>
      <c r="E1424">
        <v>0</v>
      </c>
      <c r="F1424" t="s">
        <v>1797</v>
      </c>
      <c r="G1424" t="s">
        <v>1797</v>
      </c>
      <c r="H1424">
        <v>0</v>
      </c>
      <c r="I1424">
        <v>362.99657999999999</v>
      </c>
      <c r="J1424" t="s">
        <v>1797</v>
      </c>
      <c r="K1424">
        <v>0</v>
      </c>
      <c r="L1424">
        <v>1.438846124778683</v>
      </c>
      <c r="M1424">
        <v>2.71</v>
      </c>
      <c r="N1424">
        <v>0.76950000000000007</v>
      </c>
    </row>
    <row r="1425" spans="1:14" x14ac:dyDescent="0.25">
      <c r="A1425" s="1" t="s">
        <v>1437</v>
      </c>
      <c r="B1425" t="str">
        <f>HYPERLINK("https://www.suredividend.com/sure-analysis-research-database/","Shenandoah Telecommunications Co.")</f>
        <v>Shenandoah Telecommunications Co.</v>
      </c>
      <c r="C1425" t="s">
        <v>1806</v>
      </c>
      <c r="D1425">
        <v>20.3</v>
      </c>
      <c r="E1425">
        <v>4.4334977131170001E-3</v>
      </c>
      <c r="F1425" t="s">
        <v>1797</v>
      </c>
      <c r="G1425" t="s">
        <v>1797</v>
      </c>
      <c r="H1425">
        <v>9.0000003576278007E-2</v>
      </c>
      <c r="I1425">
        <v>1020.36866</v>
      </c>
      <c r="J1425">
        <v>281.40338108108108</v>
      </c>
      <c r="K1425">
        <v>1.2552301754013671</v>
      </c>
      <c r="L1425">
        <v>0.83059716727479105</v>
      </c>
      <c r="M1425">
        <v>25.33</v>
      </c>
      <c r="N1425">
        <v>16.89</v>
      </c>
    </row>
    <row r="1426" spans="1:14" x14ac:dyDescent="0.25">
      <c r="A1426" s="1" t="s">
        <v>1438</v>
      </c>
      <c r="B1426" t="str">
        <f>HYPERLINK("https://www.suredividend.com/sure-analysis-research-database/","Shoals Technologies Group Inc")</f>
        <v>Shoals Technologies Group Inc</v>
      </c>
      <c r="C1426" t="s">
        <v>1797</v>
      </c>
      <c r="D1426">
        <v>13.57</v>
      </c>
      <c r="E1426">
        <v>0</v>
      </c>
      <c r="F1426" t="s">
        <v>1797</v>
      </c>
      <c r="G1426" t="s">
        <v>1797</v>
      </c>
      <c r="H1426">
        <v>0</v>
      </c>
      <c r="I1426">
        <v>2307.6802069999999</v>
      </c>
      <c r="J1426">
        <v>16.967862526194271</v>
      </c>
      <c r="K1426">
        <v>0</v>
      </c>
      <c r="L1426">
        <v>2.0001702969944959</v>
      </c>
      <c r="M1426">
        <v>30.1</v>
      </c>
      <c r="N1426">
        <v>12.11</v>
      </c>
    </row>
    <row r="1427" spans="1:14" x14ac:dyDescent="0.25">
      <c r="A1427" s="1" t="s">
        <v>1439</v>
      </c>
      <c r="B1427" t="str">
        <f>HYPERLINK("https://www.suredividend.com/sure-analysis-research-database/","Sunstone Hotel Investors Inc")</f>
        <v>Sunstone Hotel Investors Inc</v>
      </c>
      <c r="C1427" t="s">
        <v>1799</v>
      </c>
      <c r="D1427">
        <v>10.77</v>
      </c>
      <c r="E1427">
        <v>2.2105590679280002E-2</v>
      </c>
      <c r="F1427" t="s">
        <v>1797</v>
      </c>
      <c r="G1427" t="s">
        <v>1797</v>
      </c>
      <c r="H1427">
        <v>0.23807721161584899</v>
      </c>
      <c r="I1427">
        <v>2212.6321600000001</v>
      </c>
      <c r="J1427">
        <v>26.754923337605799</v>
      </c>
      <c r="K1427">
        <v>0.59638580064090441</v>
      </c>
      <c r="L1427">
        <v>1.1371840399099169</v>
      </c>
      <c r="M1427">
        <v>11.15</v>
      </c>
      <c r="N1427">
        <v>8.4</v>
      </c>
    </row>
    <row r="1428" spans="1:14" x14ac:dyDescent="0.25">
      <c r="A1428" s="1" t="s">
        <v>1440</v>
      </c>
      <c r="B1428" t="str">
        <f>HYPERLINK("https://www.suredividend.com/sure-analysis-research-database/","Steven Madden Ltd.")</f>
        <v>Steven Madden Ltd.</v>
      </c>
      <c r="C1428" t="s">
        <v>1801</v>
      </c>
      <c r="D1428">
        <v>41.96</v>
      </c>
      <c r="E1428">
        <v>1.9672590372239E-2</v>
      </c>
      <c r="F1428" t="s">
        <v>1797</v>
      </c>
      <c r="G1428" t="s">
        <v>1797</v>
      </c>
      <c r="H1428">
        <v>0.82546189201918407</v>
      </c>
      <c r="I1428">
        <v>3130.5604499999999</v>
      </c>
      <c r="J1428">
        <v>18.69404256247649</v>
      </c>
      <c r="K1428">
        <v>0.37182968108972247</v>
      </c>
      <c r="L1428">
        <v>1.209093804443053</v>
      </c>
      <c r="M1428">
        <v>44.23</v>
      </c>
      <c r="N1428">
        <v>28.85</v>
      </c>
    </row>
    <row r="1429" spans="1:14" x14ac:dyDescent="0.25">
      <c r="A1429" s="1" t="s">
        <v>1441</v>
      </c>
      <c r="B1429" t="str">
        <f>HYPERLINK("https://www.suredividend.com/sure-analysis-research-database/","Shyft Group Inc (The)")</f>
        <v>Shyft Group Inc (The)</v>
      </c>
      <c r="C1429" t="s">
        <v>1797</v>
      </c>
      <c r="D1429">
        <v>11.35</v>
      </c>
      <c r="E1429">
        <v>1.7459747093782001E-2</v>
      </c>
      <c r="F1429" t="s">
        <v>1797</v>
      </c>
      <c r="G1429" t="s">
        <v>1797</v>
      </c>
      <c r="H1429">
        <v>0.19816812951443299</v>
      </c>
      <c r="I1429">
        <v>389.18967300000003</v>
      </c>
      <c r="J1429">
        <v>13.535148941016899</v>
      </c>
      <c r="K1429">
        <v>0.2433302179695887</v>
      </c>
      <c r="L1429">
        <v>1.6958256173318129</v>
      </c>
      <c r="M1429">
        <v>33.5</v>
      </c>
      <c r="N1429">
        <v>10.3</v>
      </c>
    </row>
    <row r="1430" spans="1:14" x14ac:dyDescent="0.25">
      <c r="A1430" s="1" t="s">
        <v>1442</v>
      </c>
      <c r="B1430" t="str">
        <f>HYPERLINK("https://www.suredividend.com/sure-analysis-research-database/","SI-BONE Inc")</f>
        <v>SI-BONE Inc</v>
      </c>
      <c r="C1430" t="s">
        <v>1802</v>
      </c>
      <c r="D1430">
        <v>19.03</v>
      </c>
      <c r="E1430">
        <v>0</v>
      </c>
      <c r="F1430" t="s">
        <v>1797</v>
      </c>
      <c r="G1430" t="s">
        <v>1797</v>
      </c>
      <c r="H1430">
        <v>0</v>
      </c>
      <c r="I1430">
        <v>770.73446799999999</v>
      </c>
      <c r="J1430" t="s">
        <v>1797</v>
      </c>
      <c r="K1430">
        <v>0</v>
      </c>
      <c r="L1430">
        <v>0.79648887414271308</v>
      </c>
      <c r="M1430">
        <v>29.51</v>
      </c>
      <c r="N1430">
        <v>15.1</v>
      </c>
    </row>
    <row r="1431" spans="1:14" x14ac:dyDescent="0.25">
      <c r="A1431" s="1" t="s">
        <v>1443</v>
      </c>
      <c r="B1431" t="str">
        <f>HYPERLINK("https://www.suredividend.com/sure-analysis-research-database/","Signet Jewelers Ltd")</f>
        <v>Signet Jewelers Ltd</v>
      </c>
      <c r="C1431" t="s">
        <v>1801</v>
      </c>
      <c r="D1431">
        <v>96.06</v>
      </c>
      <c r="E1431">
        <v>9.2226243637300014E-3</v>
      </c>
      <c r="F1431" t="s">
        <v>1797</v>
      </c>
      <c r="G1431" t="s">
        <v>1797</v>
      </c>
      <c r="H1431">
        <v>0.8859252963799501</v>
      </c>
      <c r="I1431">
        <v>4257.116188</v>
      </c>
      <c r="J1431">
        <v>9.9698271375175658</v>
      </c>
      <c r="K1431">
        <v>0.1182810809586048</v>
      </c>
      <c r="L1431">
        <v>1.4765296389694369</v>
      </c>
      <c r="M1431">
        <v>108.73</v>
      </c>
      <c r="N1431">
        <v>56.74</v>
      </c>
    </row>
    <row r="1432" spans="1:14" x14ac:dyDescent="0.25">
      <c r="A1432" s="1" t="s">
        <v>1444</v>
      </c>
      <c r="B1432" t="str">
        <f>HYPERLINK("https://www.suredividend.com/sure-analysis-research-database/","SIGA Technologies Inc")</f>
        <v>SIGA Technologies Inc</v>
      </c>
      <c r="C1432" t="s">
        <v>1802</v>
      </c>
      <c r="D1432">
        <v>5.38</v>
      </c>
      <c r="E1432">
        <v>0</v>
      </c>
      <c r="F1432" t="s">
        <v>1797</v>
      </c>
      <c r="G1432" t="s">
        <v>1797</v>
      </c>
      <c r="H1432">
        <v>0</v>
      </c>
      <c r="I1432">
        <v>382.472894</v>
      </c>
      <c r="J1432" t="s">
        <v>1797</v>
      </c>
      <c r="K1432">
        <v>0</v>
      </c>
      <c r="L1432">
        <v>0.99580062548217707</v>
      </c>
      <c r="M1432">
        <v>7.19</v>
      </c>
      <c r="N1432">
        <v>4.22</v>
      </c>
    </row>
    <row r="1433" spans="1:14" x14ac:dyDescent="0.25">
      <c r="A1433" s="1" t="s">
        <v>1445</v>
      </c>
      <c r="B1433" t="str">
        <f>HYPERLINK("https://www.suredividend.com/sure-analysis-research-database/","Selective Insurance Group Inc.")</f>
        <v>Selective Insurance Group Inc.</v>
      </c>
      <c r="C1433" t="s">
        <v>1800</v>
      </c>
      <c r="D1433">
        <v>101.68</v>
      </c>
      <c r="E1433">
        <v>1.2189520912717E-2</v>
      </c>
      <c r="F1433">
        <v>0.16666666666666649</v>
      </c>
      <c r="G1433">
        <v>0.1184269147201447</v>
      </c>
      <c r="H1433">
        <v>1.23943048640515</v>
      </c>
      <c r="I1433">
        <v>6160.63807</v>
      </c>
      <c r="J1433">
        <v>19.391308399784709</v>
      </c>
      <c r="K1433">
        <v>0.23789452714110371</v>
      </c>
      <c r="L1433">
        <v>0.40721991132945701</v>
      </c>
      <c r="M1433">
        <v>107.44</v>
      </c>
      <c r="N1433">
        <v>86.03</v>
      </c>
    </row>
    <row r="1434" spans="1:14" x14ac:dyDescent="0.25">
      <c r="A1434" s="1" t="s">
        <v>1446</v>
      </c>
      <c r="B1434" t="str">
        <f>HYPERLINK("https://www.suredividend.com/sure-analysis-research-database/","Silk Road Medical Inc")</f>
        <v>Silk Road Medical Inc</v>
      </c>
      <c r="C1434" t="s">
        <v>1802</v>
      </c>
      <c r="D1434">
        <v>13.05</v>
      </c>
      <c r="E1434">
        <v>0</v>
      </c>
      <c r="F1434" t="s">
        <v>1797</v>
      </c>
      <c r="G1434" t="s">
        <v>1797</v>
      </c>
      <c r="H1434">
        <v>0</v>
      </c>
      <c r="I1434">
        <v>508.23872299999999</v>
      </c>
      <c r="J1434" t="s">
        <v>1797</v>
      </c>
      <c r="K1434">
        <v>0</v>
      </c>
      <c r="L1434">
        <v>0.95193892146580605</v>
      </c>
      <c r="M1434">
        <v>57.96</v>
      </c>
      <c r="N1434">
        <v>6.08</v>
      </c>
    </row>
    <row r="1435" spans="1:14" x14ac:dyDescent="0.25">
      <c r="A1435" s="1" t="s">
        <v>1447</v>
      </c>
      <c r="B1435" t="str">
        <f>HYPERLINK("https://www.suredividend.com/sure-analysis-research-database/","SITE Centers Corp")</f>
        <v>SITE Centers Corp</v>
      </c>
      <c r="C1435" t="s">
        <v>1799</v>
      </c>
      <c r="D1435">
        <v>13.92</v>
      </c>
      <c r="E1435">
        <v>3.6377081147817E-2</v>
      </c>
      <c r="F1435" t="s">
        <v>1797</v>
      </c>
      <c r="G1435" t="s">
        <v>1797</v>
      </c>
      <c r="H1435">
        <v>0.50636896957762301</v>
      </c>
      <c r="I1435">
        <v>2913.7003380000001</v>
      </c>
      <c r="J1435">
        <v>33.91612447776135</v>
      </c>
      <c r="K1435">
        <v>1.2411004156314289</v>
      </c>
      <c r="L1435">
        <v>1.276227144347218</v>
      </c>
      <c r="M1435">
        <v>14.54</v>
      </c>
      <c r="N1435">
        <v>10.65</v>
      </c>
    </row>
    <row r="1436" spans="1:14" x14ac:dyDescent="0.25">
      <c r="A1436" s="1" t="s">
        <v>1448</v>
      </c>
      <c r="B1436" t="str">
        <f>HYPERLINK("https://www.suredividend.com/sure-analysis-research-database/","SiTime Corp")</f>
        <v>SiTime Corp</v>
      </c>
      <c r="C1436" t="s">
        <v>1803</v>
      </c>
      <c r="D1436">
        <v>116.34</v>
      </c>
      <c r="E1436">
        <v>0</v>
      </c>
      <c r="F1436" t="s">
        <v>1797</v>
      </c>
      <c r="G1436" t="s">
        <v>1797</v>
      </c>
      <c r="H1436">
        <v>0</v>
      </c>
      <c r="I1436">
        <v>2559.48</v>
      </c>
      <c r="J1436" t="s">
        <v>1797</v>
      </c>
      <c r="K1436">
        <v>0</v>
      </c>
      <c r="L1436">
        <v>2.200460515926085</v>
      </c>
      <c r="M1436">
        <v>142.88</v>
      </c>
      <c r="N1436">
        <v>81.09</v>
      </c>
    </row>
    <row r="1437" spans="1:14" x14ac:dyDescent="0.25">
      <c r="A1437" s="1" t="s">
        <v>1449</v>
      </c>
      <c r="B1437" t="str">
        <f>HYPERLINK("https://www.suredividend.com/sure-analysis-SJW/","SJW Group")</f>
        <v>SJW Group</v>
      </c>
      <c r="C1437" t="s">
        <v>1805</v>
      </c>
      <c r="D1437">
        <v>63.82</v>
      </c>
      <c r="E1437">
        <v>2.3816985271074901E-2</v>
      </c>
      <c r="F1437">
        <v>5.555555555555558E-2</v>
      </c>
      <c r="G1437">
        <v>4.8413171284721328E-2</v>
      </c>
      <c r="H1437">
        <v>1.507152313493469</v>
      </c>
      <c r="I1437">
        <v>2037.9642510000001</v>
      </c>
      <c r="J1437">
        <v>20.474439167947601</v>
      </c>
      <c r="K1437">
        <v>0.47394726839417262</v>
      </c>
      <c r="L1437">
        <v>0.63145833098278004</v>
      </c>
      <c r="M1437">
        <v>80.52</v>
      </c>
      <c r="N1437">
        <v>56.62</v>
      </c>
    </row>
    <row r="1438" spans="1:14" x14ac:dyDescent="0.25">
      <c r="A1438" s="1" t="s">
        <v>1450</v>
      </c>
      <c r="B1438" t="str">
        <f>HYPERLINK("https://www.suredividend.com/sure-analysis-research-database/","Skillsoft Corp.")</f>
        <v>Skillsoft Corp.</v>
      </c>
      <c r="C1438" t="s">
        <v>1797</v>
      </c>
      <c r="D1438">
        <v>15.41</v>
      </c>
      <c r="E1438">
        <v>0</v>
      </c>
      <c r="F1438" t="s">
        <v>1797</v>
      </c>
      <c r="G1438" t="s">
        <v>1797</v>
      </c>
      <c r="H1438">
        <v>0</v>
      </c>
      <c r="I1438">
        <v>124.34056200000001</v>
      </c>
      <c r="J1438" t="s">
        <v>1797</v>
      </c>
      <c r="K1438">
        <v>0</v>
      </c>
      <c r="L1438">
        <v>1.7502796711642501</v>
      </c>
      <c r="M1438">
        <v>43.4</v>
      </c>
      <c r="N1438">
        <v>13.85</v>
      </c>
    </row>
    <row r="1439" spans="1:14" x14ac:dyDescent="0.25">
      <c r="A1439" s="1" t="s">
        <v>1451</v>
      </c>
      <c r="B1439" t="str">
        <f>HYPERLINK("https://www.suredividend.com/sure-analysis-research-database/","Beauty Health Company (The)")</f>
        <v>Beauty Health Company (The)</v>
      </c>
      <c r="C1439" t="s">
        <v>1797</v>
      </c>
      <c r="D1439">
        <v>2.63</v>
      </c>
      <c r="E1439">
        <v>0</v>
      </c>
      <c r="F1439" t="s">
        <v>1797</v>
      </c>
      <c r="G1439" t="s">
        <v>1797</v>
      </c>
      <c r="H1439">
        <v>0</v>
      </c>
      <c r="I1439">
        <v>345.231787</v>
      </c>
      <c r="J1439">
        <v>0</v>
      </c>
      <c r="K1439" t="s">
        <v>1797</v>
      </c>
      <c r="L1439">
        <v>0.90411273447003804</v>
      </c>
      <c r="M1439">
        <v>13.9</v>
      </c>
      <c r="N1439">
        <v>1.35</v>
      </c>
    </row>
    <row r="1440" spans="1:14" x14ac:dyDescent="0.25">
      <c r="A1440" s="1" t="s">
        <v>1452</v>
      </c>
      <c r="B1440" t="str">
        <f>HYPERLINK("https://www.suredividend.com/sure-analysis-research-database/","Skillz Inc")</f>
        <v>Skillz Inc</v>
      </c>
      <c r="C1440" t="s">
        <v>1797</v>
      </c>
      <c r="D1440">
        <v>5</v>
      </c>
      <c r="E1440">
        <v>0</v>
      </c>
      <c r="F1440" t="s">
        <v>1797</v>
      </c>
      <c r="G1440" t="s">
        <v>1797</v>
      </c>
      <c r="H1440">
        <v>0</v>
      </c>
      <c r="I1440">
        <v>90.087985000000003</v>
      </c>
      <c r="J1440" t="s">
        <v>1797</v>
      </c>
      <c r="K1440">
        <v>0</v>
      </c>
      <c r="L1440">
        <v>3.9576788486737469</v>
      </c>
      <c r="M1440">
        <v>20.399999999999999</v>
      </c>
      <c r="N1440">
        <v>3.96</v>
      </c>
    </row>
    <row r="1441" spans="1:14" x14ac:dyDescent="0.25">
      <c r="A1441" s="1" t="s">
        <v>1453</v>
      </c>
      <c r="B1441" t="str">
        <f>HYPERLINK("https://www.suredividend.com/sure-analysis-SKT/","Tanger Inc.")</f>
        <v>Tanger Inc.</v>
      </c>
      <c r="C1441" t="s">
        <v>1799</v>
      </c>
      <c r="D1441">
        <v>27.18</v>
      </c>
      <c r="E1441">
        <v>3.8263428991905817E-2</v>
      </c>
      <c r="F1441" t="s">
        <v>1797</v>
      </c>
      <c r="G1441" t="s">
        <v>1797</v>
      </c>
      <c r="H1441">
        <v>0.95375339288458105</v>
      </c>
      <c r="I1441">
        <v>2863.4852719999999</v>
      </c>
      <c r="J1441">
        <v>30.902809937514171</v>
      </c>
      <c r="K1441">
        <v>1.0948839316778569</v>
      </c>
      <c r="L1441">
        <v>1.185518800951876</v>
      </c>
      <c r="M1441">
        <v>28.77</v>
      </c>
      <c r="N1441">
        <v>16.61</v>
      </c>
    </row>
    <row r="1442" spans="1:14" x14ac:dyDescent="0.25">
      <c r="A1442" s="1" t="s">
        <v>1454</v>
      </c>
      <c r="B1442" t="str">
        <f>HYPERLINK("https://www.suredividend.com/sure-analysis-research-database/","Skyward Specialty Insurance Group Inc")</f>
        <v>Skyward Specialty Insurance Group Inc</v>
      </c>
      <c r="C1442" t="s">
        <v>1797</v>
      </c>
      <c r="D1442">
        <v>32.729999999999997</v>
      </c>
      <c r="E1442">
        <v>0</v>
      </c>
      <c r="F1442" t="s">
        <v>1797</v>
      </c>
      <c r="G1442" t="s">
        <v>1797</v>
      </c>
      <c r="H1442">
        <v>0</v>
      </c>
      <c r="I1442">
        <v>1233.1873900000001</v>
      </c>
      <c r="J1442">
        <v>0</v>
      </c>
      <c r="K1442" t="s">
        <v>1797</v>
      </c>
      <c r="L1442">
        <v>0.67464906047846507</v>
      </c>
      <c r="M1442">
        <v>34.53</v>
      </c>
      <c r="N1442">
        <v>17.5</v>
      </c>
    </row>
    <row r="1443" spans="1:14" x14ac:dyDescent="0.25">
      <c r="A1443" s="1" t="s">
        <v>1455</v>
      </c>
      <c r="B1443" t="str">
        <f>HYPERLINK("https://www.suredividend.com/sure-analysis-research-database/","Skyline Champion Corp")</f>
        <v>Skyline Champion Corp</v>
      </c>
      <c r="C1443" t="s">
        <v>1801</v>
      </c>
      <c r="D1443">
        <v>68.180000000000007</v>
      </c>
      <c r="E1443">
        <v>0</v>
      </c>
      <c r="F1443" t="s">
        <v>1797</v>
      </c>
      <c r="G1443" t="s">
        <v>1797</v>
      </c>
      <c r="H1443">
        <v>0</v>
      </c>
      <c r="I1443">
        <v>3928.3733539999998</v>
      </c>
      <c r="J1443">
        <v>16.540728321705121</v>
      </c>
      <c r="K1443">
        <v>0</v>
      </c>
      <c r="L1443">
        <v>1.7196051613023471</v>
      </c>
      <c r="M1443">
        <v>77.75</v>
      </c>
      <c r="N1443">
        <v>52.12</v>
      </c>
    </row>
    <row r="1444" spans="1:14" x14ac:dyDescent="0.25">
      <c r="A1444" s="1" t="s">
        <v>1456</v>
      </c>
      <c r="B1444" t="str">
        <f>HYPERLINK("https://www.suredividend.com/sure-analysis-research-database/","SkyWater Technology Inc")</f>
        <v>SkyWater Technology Inc</v>
      </c>
      <c r="C1444" t="s">
        <v>1797</v>
      </c>
      <c r="D1444">
        <v>8.66</v>
      </c>
      <c r="E1444">
        <v>0</v>
      </c>
      <c r="F1444" t="s">
        <v>1797</v>
      </c>
      <c r="G1444" t="s">
        <v>1797</v>
      </c>
      <c r="H1444">
        <v>0</v>
      </c>
      <c r="I1444">
        <v>407.23317500000002</v>
      </c>
      <c r="J1444" t="s">
        <v>1797</v>
      </c>
      <c r="K1444">
        <v>0</v>
      </c>
      <c r="L1444">
        <v>2.54467381045556</v>
      </c>
      <c r="M1444">
        <v>15.99</v>
      </c>
      <c r="N1444">
        <v>4.7300000000000004</v>
      </c>
    </row>
    <row r="1445" spans="1:14" x14ac:dyDescent="0.25">
      <c r="A1445" s="1" t="s">
        <v>1457</v>
      </c>
      <c r="B1445" t="str">
        <f>HYPERLINK("https://www.suredividend.com/sure-analysis-research-database/","Skywest Inc.")</f>
        <v>Skywest Inc.</v>
      </c>
      <c r="C1445" t="s">
        <v>1798</v>
      </c>
      <c r="D1445">
        <v>49.72</v>
      </c>
      <c r="E1445">
        <v>0</v>
      </c>
      <c r="F1445" t="s">
        <v>1797</v>
      </c>
      <c r="G1445" t="s">
        <v>1797</v>
      </c>
      <c r="H1445">
        <v>0</v>
      </c>
      <c r="I1445">
        <v>2035.719869</v>
      </c>
      <c r="J1445" t="s">
        <v>1797</v>
      </c>
      <c r="K1445">
        <v>0</v>
      </c>
      <c r="L1445">
        <v>1.629783447795945</v>
      </c>
      <c r="M1445">
        <v>53.76</v>
      </c>
      <c r="N1445">
        <v>16.59</v>
      </c>
    </row>
    <row r="1446" spans="1:14" x14ac:dyDescent="0.25">
      <c r="A1446" s="1" t="s">
        <v>1458</v>
      </c>
      <c r="B1446" t="str">
        <f>HYPERLINK("https://www.suredividend.com/sure-analysis-research-database/","Silicon Laboratories Inc")</f>
        <v>Silicon Laboratories Inc</v>
      </c>
      <c r="C1446" t="s">
        <v>1803</v>
      </c>
      <c r="D1446">
        <v>118.08</v>
      </c>
      <c r="E1446">
        <v>0</v>
      </c>
      <c r="F1446" t="s">
        <v>1797</v>
      </c>
      <c r="G1446" t="s">
        <v>1797</v>
      </c>
      <c r="H1446">
        <v>0</v>
      </c>
      <c r="I1446">
        <v>3752.5038770000001</v>
      </c>
      <c r="J1446">
        <v>61.88982512204776</v>
      </c>
      <c r="K1446">
        <v>0</v>
      </c>
      <c r="L1446">
        <v>1.6885682867871099</v>
      </c>
      <c r="M1446">
        <v>194.68</v>
      </c>
      <c r="N1446">
        <v>74.56</v>
      </c>
    </row>
    <row r="1447" spans="1:14" x14ac:dyDescent="0.25">
      <c r="A1447" s="1" t="s">
        <v>1459</v>
      </c>
      <c r="B1447" t="str">
        <f>HYPERLINK("https://www.suredividend.com/sure-analysis-research-database/","U.S. Silica Holdings Inc")</f>
        <v>U.S. Silica Holdings Inc</v>
      </c>
      <c r="C1447" t="s">
        <v>1807</v>
      </c>
      <c r="D1447">
        <v>10.73</v>
      </c>
      <c r="E1447">
        <v>0</v>
      </c>
      <c r="F1447" t="s">
        <v>1797</v>
      </c>
      <c r="G1447" t="s">
        <v>1797</v>
      </c>
      <c r="H1447">
        <v>0</v>
      </c>
      <c r="I1447">
        <v>827.86684100000002</v>
      </c>
      <c r="J1447">
        <v>5.5410548489351168</v>
      </c>
      <c r="K1447">
        <v>0</v>
      </c>
      <c r="L1447">
        <v>0.96094195263664606</v>
      </c>
      <c r="M1447">
        <v>14.64</v>
      </c>
      <c r="N1447">
        <v>10.38</v>
      </c>
    </row>
    <row r="1448" spans="1:14" x14ac:dyDescent="0.25">
      <c r="A1448" s="1" t="s">
        <v>1460</v>
      </c>
      <c r="B1448" t="str">
        <f>HYPERLINK("https://www.suredividend.com/sure-analysis-research-database/","Solid Power Inc")</f>
        <v>Solid Power Inc</v>
      </c>
      <c r="C1448" t="s">
        <v>1797</v>
      </c>
      <c r="D1448">
        <v>1.26</v>
      </c>
      <c r="E1448">
        <v>0</v>
      </c>
      <c r="F1448" t="s">
        <v>1797</v>
      </c>
      <c r="G1448" t="s">
        <v>1797</v>
      </c>
      <c r="H1448">
        <v>0</v>
      </c>
      <c r="I1448">
        <v>224.83108200000001</v>
      </c>
      <c r="J1448" t="s">
        <v>1797</v>
      </c>
      <c r="K1448">
        <v>0</v>
      </c>
      <c r="L1448">
        <v>2.3740846178914459</v>
      </c>
      <c r="M1448">
        <v>3.86</v>
      </c>
      <c r="N1448">
        <v>1.2</v>
      </c>
    </row>
    <row r="1449" spans="1:14" x14ac:dyDescent="0.25">
      <c r="A1449" s="1" t="s">
        <v>1461</v>
      </c>
      <c r="B1449" t="str">
        <f>HYPERLINK("https://www.suredividend.com/sure-analysis-research-database/","SomaLogic Inc")</f>
        <v>SomaLogic Inc</v>
      </c>
      <c r="C1449" t="s">
        <v>1797</v>
      </c>
      <c r="D1449">
        <v>2.1</v>
      </c>
      <c r="E1449">
        <v>0</v>
      </c>
      <c r="F1449" t="s">
        <v>1797</v>
      </c>
      <c r="G1449" t="s">
        <v>1797</v>
      </c>
      <c r="H1449">
        <v>0</v>
      </c>
      <c r="I1449">
        <v>0</v>
      </c>
      <c r="J1449">
        <v>0</v>
      </c>
      <c r="K1449">
        <v>0</v>
      </c>
    </row>
    <row r="1450" spans="1:14" x14ac:dyDescent="0.25">
      <c r="A1450" s="1" t="s">
        <v>1462</v>
      </c>
      <c r="B1450" t="str">
        <f>HYPERLINK("https://www.suredividend.com/sure-analysis-research-database/","Simulations Plus Inc.")</f>
        <v>Simulations Plus Inc.</v>
      </c>
      <c r="C1450" t="s">
        <v>1802</v>
      </c>
      <c r="D1450">
        <v>38.61</v>
      </c>
      <c r="E1450">
        <v>6.1874495424570006E-3</v>
      </c>
      <c r="F1450">
        <v>0</v>
      </c>
      <c r="G1450">
        <v>0</v>
      </c>
      <c r="H1450">
        <v>0.23889742683427301</v>
      </c>
      <c r="I1450">
        <v>770.92884300000003</v>
      </c>
      <c r="J1450">
        <v>72.312995307194456</v>
      </c>
      <c r="K1450">
        <v>0.45556336162142069</v>
      </c>
      <c r="L1450">
        <v>1.1342088805348891</v>
      </c>
      <c r="M1450">
        <v>52.5</v>
      </c>
      <c r="N1450">
        <v>32.69</v>
      </c>
    </row>
    <row r="1451" spans="1:14" x14ac:dyDescent="0.25">
      <c r="A1451" s="1" t="s">
        <v>1463</v>
      </c>
      <c r="B1451" t="str">
        <f>HYPERLINK("https://www.suredividend.com/sure-analysis-research-database/","SelectQuote Inc")</f>
        <v>SelectQuote Inc</v>
      </c>
      <c r="C1451" t="s">
        <v>1797</v>
      </c>
      <c r="D1451">
        <v>1.21</v>
      </c>
      <c r="E1451">
        <v>0</v>
      </c>
      <c r="F1451" t="s">
        <v>1797</v>
      </c>
      <c r="G1451" t="s">
        <v>1797</v>
      </c>
      <c r="H1451">
        <v>0</v>
      </c>
      <c r="I1451">
        <v>202.95704499999999</v>
      </c>
      <c r="J1451" t="s">
        <v>1797</v>
      </c>
      <c r="K1451">
        <v>0</v>
      </c>
      <c r="L1451">
        <v>3.8291889845861848</v>
      </c>
      <c r="M1451">
        <v>2.94</v>
      </c>
      <c r="N1451">
        <v>0.65250000000000008</v>
      </c>
    </row>
    <row r="1452" spans="1:14" x14ac:dyDescent="0.25">
      <c r="A1452" s="1" t="s">
        <v>1464</v>
      </c>
      <c r="B1452" t="str">
        <f>HYPERLINK("https://www.suredividend.com/sure-analysis-research-database/","Sylvamo Corp")</f>
        <v>Sylvamo Corp</v>
      </c>
      <c r="C1452" t="s">
        <v>1797</v>
      </c>
      <c r="D1452">
        <v>46.86</v>
      </c>
      <c r="E1452">
        <v>2.3266593799481001E-2</v>
      </c>
      <c r="F1452" t="s">
        <v>1797</v>
      </c>
      <c r="G1452" t="s">
        <v>1797</v>
      </c>
      <c r="H1452">
        <v>1.0902725854436881</v>
      </c>
      <c r="I1452">
        <v>1947.2054450000001</v>
      </c>
      <c r="J1452">
        <v>6.5342464590604026</v>
      </c>
      <c r="K1452">
        <v>0.1577818502812863</v>
      </c>
      <c r="L1452">
        <v>0.84935158982474701</v>
      </c>
      <c r="M1452">
        <v>52.58</v>
      </c>
      <c r="N1452">
        <v>37.11</v>
      </c>
    </row>
    <row r="1453" spans="1:14" x14ac:dyDescent="0.25">
      <c r="A1453" s="1" t="s">
        <v>1465</v>
      </c>
      <c r="B1453" t="str">
        <f>HYPERLINK("https://www.suredividend.com/sure-analysis-research-database/","SM Energy Co")</f>
        <v>SM Energy Co</v>
      </c>
      <c r="C1453" t="s">
        <v>1807</v>
      </c>
      <c r="D1453">
        <v>37.340000000000003</v>
      </c>
      <c r="E1453">
        <v>1.5971237135144999E-2</v>
      </c>
      <c r="F1453" t="s">
        <v>1797</v>
      </c>
      <c r="G1453" t="s">
        <v>1797</v>
      </c>
      <c r="H1453">
        <v>0.596365994626325</v>
      </c>
      <c r="I1453">
        <v>4343.1605410000002</v>
      </c>
      <c r="J1453">
        <v>5.2375698725808943</v>
      </c>
      <c r="K1453">
        <v>8.70607291425292E-2</v>
      </c>
      <c r="L1453">
        <v>1.1707632634827869</v>
      </c>
      <c r="M1453">
        <v>43.58</v>
      </c>
      <c r="N1453">
        <v>24.34</v>
      </c>
    </row>
    <row r="1454" spans="1:14" x14ac:dyDescent="0.25">
      <c r="A1454" s="1" t="s">
        <v>1466</v>
      </c>
      <c r="B1454" t="str">
        <f>HYPERLINK("https://www.suredividend.com/sure-analysis-research-database/","Southern Missouri Bancorp, Inc.")</f>
        <v>Southern Missouri Bancorp, Inc.</v>
      </c>
      <c r="C1454" t="s">
        <v>1800</v>
      </c>
      <c r="D1454">
        <v>48.76</v>
      </c>
      <c r="E1454">
        <v>1.6992132681187998E-2</v>
      </c>
      <c r="F1454">
        <v>0</v>
      </c>
      <c r="G1454">
        <v>0.10066508085209661</v>
      </c>
      <c r="H1454">
        <v>0.82853638953473707</v>
      </c>
      <c r="I1454">
        <v>552.76588700000002</v>
      </c>
      <c r="J1454">
        <v>0</v>
      </c>
      <c r="K1454" t="s">
        <v>1797</v>
      </c>
      <c r="L1454">
        <v>1.361304336040613</v>
      </c>
      <c r="M1454">
        <v>55.45</v>
      </c>
      <c r="N1454">
        <v>29.51</v>
      </c>
    </row>
    <row r="1455" spans="1:14" x14ac:dyDescent="0.25">
      <c r="A1455" s="1" t="s">
        <v>1467</v>
      </c>
      <c r="B1455" t="str">
        <f>HYPERLINK("https://www.suredividend.com/sure-analysis-research-database/","SmartFinancial Inc")</f>
        <v>SmartFinancial Inc</v>
      </c>
      <c r="C1455" t="s">
        <v>1800</v>
      </c>
      <c r="D1455">
        <v>22.63</v>
      </c>
      <c r="E1455">
        <v>1.4000532388015E-2</v>
      </c>
      <c r="F1455" t="s">
        <v>1797</v>
      </c>
      <c r="G1455" t="s">
        <v>1797</v>
      </c>
      <c r="H1455">
        <v>0.31683204794078301</v>
      </c>
      <c r="I1455">
        <v>384.58650799999998</v>
      </c>
      <c r="J1455">
        <v>0</v>
      </c>
      <c r="K1455" t="s">
        <v>1797</v>
      </c>
      <c r="L1455">
        <v>1.118047990995777</v>
      </c>
      <c r="M1455">
        <v>27.79</v>
      </c>
      <c r="N1455">
        <v>18.52</v>
      </c>
    </row>
    <row r="1456" spans="1:14" x14ac:dyDescent="0.25">
      <c r="A1456" s="1" t="s">
        <v>1468</v>
      </c>
      <c r="B1456" t="str">
        <f>HYPERLINK("https://www.suredividend.com/sure-analysis-research-database/","Super Micro Computer Inc")</f>
        <v>Super Micro Computer Inc</v>
      </c>
      <c r="C1456" t="s">
        <v>1803</v>
      </c>
      <c r="D1456">
        <v>339.56</v>
      </c>
      <c r="E1456">
        <v>0</v>
      </c>
      <c r="F1456" t="s">
        <v>1797</v>
      </c>
      <c r="G1456" t="s">
        <v>1797</v>
      </c>
      <c r="H1456">
        <v>0</v>
      </c>
      <c r="I1456">
        <v>18103.146322000001</v>
      </c>
      <c r="J1456">
        <v>29.552442095475339</v>
      </c>
      <c r="K1456">
        <v>0</v>
      </c>
      <c r="L1456">
        <v>2.1483335301097402</v>
      </c>
      <c r="M1456">
        <v>357.99</v>
      </c>
      <c r="N1456">
        <v>69.02</v>
      </c>
    </row>
    <row r="1457" spans="1:14" x14ac:dyDescent="0.25">
      <c r="A1457" s="1" t="s">
        <v>1469</v>
      </c>
      <c r="B1457" t="str">
        <f>HYPERLINK("https://www.suredividend.com/sure-analysis-research-database/","Summit Financial Group Inc")</f>
        <v>Summit Financial Group Inc</v>
      </c>
      <c r="C1457" t="s">
        <v>1800</v>
      </c>
      <c r="D1457">
        <v>28.12</v>
      </c>
      <c r="E1457">
        <v>2.9133526725512001E-2</v>
      </c>
      <c r="F1457">
        <v>9.9999999999999867E-2</v>
      </c>
      <c r="G1457">
        <v>9.4608784223157549E-2</v>
      </c>
      <c r="H1457">
        <v>0.81923477152141311</v>
      </c>
      <c r="I1457">
        <v>412.65683799999999</v>
      </c>
      <c r="J1457">
        <v>0</v>
      </c>
      <c r="K1457" t="s">
        <v>1797</v>
      </c>
      <c r="L1457">
        <v>0.98031504560421712</v>
      </c>
      <c r="M1457">
        <v>31.49</v>
      </c>
      <c r="N1457">
        <v>16.170000000000002</v>
      </c>
    </row>
    <row r="1458" spans="1:14" x14ac:dyDescent="0.25">
      <c r="A1458" s="1" t="s">
        <v>1470</v>
      </c>
      <c r="B1458" t="str">
        <f>HYPERLINK("https://www.suredividend.com/sure-analysis-research-database/","Standard Motor Products, Inc.")</f>
        <v>Standard Motor Products, Inc.</v>
      </c>
      <c r="C1458" t="s">
        <v>1801</v>
      </c>
      <c r="D1458">
        <v>39.090000000000003</v>
      </c>
      <c r="E1458">
        <v>2.9319034398157001E-2</v>
      </c>
      <c r="F1458" t="s">
        <v>1797</v>
      </c>
      <c r="G1458" t="s">
        <v>1797</v>
      </c>
      <c r="H1458">
        <v>1.1460810546239939</v>
      </c>
      <c r="I1458">
        <v>849.39802399999996</v>
      </c>
      <c r="J1458">
        <v>23.828036700984651</v>
      </c>
      <c r="K1458">
        <v>0.71185158672297766</v>
      </c>
      <c r="L1458">
        <v>0.84565736046373607</v>
      </c>
      <c r="M1458">
        <v>41.25</v>
      </c>
      <c r="N1458">
        <v>29.9</v>
      </c>
    </row>
    <row r="1459" spans="1:14" x14ac:dyDescent="0.25">
      <c r="A1459" s="1" t="s">
        <v>1471</v>
      </c>
      <c r="B1459" t="str">
        <f>HYPERLINK("https://www.suredividend.com/sure-analysis-research-database/","Simply Good Foods Co")</f>
        <v>Simply Good Foods Co</v>
      </c>
      <c r="C1459" t="s">
        <v>1804</v>
      </c>
      <c r="D1459">
        <v>41.72</v>
      </c>
      <c r="E1459">
        <v>0</v>
      </c>
      <c r="F1459" t="s">
        <v>1797</v>
      </c>
      <c r="G1459" t="s">
        <v>1797</v>
      </c>
      <c r="H1459">
        <v>0</v>
      </c>
      <c r="I1459">
        <v>4163.6559999999999</v>
      </c>
      <c r="J1459">
        <v>31.24085356703382</v>
      </c>
      <c r="K1459">
        <v>0</v>
      </c>
      <c r="L1459">
        <v>0.64553799481781904</v>
      </c>
      <c r="M1459">
        <v>43</v>
      </c>
      <c r="N1459">
        <v>31.06</v>
      </c>
    </row>
    <row r="1460" spans="1:14" x14ac:dyDescent="0.25">
      <c r="A1460" s="1" t="s">
        <v>1472</v>
      </c>
      <c r="B1460" t="str">
        <f>HYPERLINK("https://www.suredividend.com/sure-analysis-research-database/","NuScale Power Corporation")</f>
        <v>NuScale Power Corporation</v>
      </c>
      <c r="C1460" t="s">
        <v>1797</v>
      </c>
      <c r="D1460">
        <v>2.35</v>
      </c>
      <c r="E1460">
        <v>0</v>
      </c>
      <c r="F1460" t="s">
        <v>1797</v>
      </c>
      <c r="G1460" t="s">
        <v>1797</v>
      </c>
      <c r="H1460">
        <v>0</v>
      </c>
      <c r="I1460">
        <v>180.42244400000001</v>
      </c>
      <c r="J1460" t="s">
        <v>1797</v>
      </c>
      <c r="K1460">
        <v>0</v>
      </c>
      <c r="L1460">
        <v>1.785512076928278</v>
      </c>
      <c r="M1460">
        <v>11.32</v>
      </c>
      <c r="N1460">
        <v>1.81</v>
      </c>
    </row>
    <row r="1461" spans="1:14" x14ac:dyDescent="0.25">
      <c r="A1461" s="1" t="s">
        <v>1473</v>
      </c>
      <c r="B1461" t="str">
        <f>HYPERLINK("https://www.suredividend.com/sure-analysis-research-database/","SmartRent Inc")</f>
        <v>SmartRent Inc</v>
      </c>
      <c r="C1461" t="s">
        <v>1801</v>
      </c>
      <c r="D1461">
        <v>2.78</v>
      </c>
      <c r="E1461">
        <v>0</v>
      </c>
      <c r="F1461" t="s">
        <v>1797</v>
      </c>
      <c r="G1461" t="s">
        <v>1797</v>
      </c>
      <c r="H1461">
        <v>0</v>
      </c>
      <c r="I1461">
        <v>564.77076899999997</v>
      </c>
      <c r="J1461" t="s">
        <v>1797</v>
      </c>
      <c r="K1461">
        <v>0</v>
      </c>
      <c r="L1461">
        <v>1.855956204826845</v>
      </c>
      <c r="M1461">
        <v>4.12</v>
      </c>
      <c r="N1461">
        <v>2.15</v>
      </c>
    </row>
    <row r="1462" spans="1:14" x14ac:dyDescent="0.25">
      <c r="A1462" s="1" t="s">
        <v>1474</v>
      </c>
      <c r="B1462" t="str">
        <f>HYPERLINK("https://www.suredividend.com/sure-analysis-research-database/","Semtech Corp.")</f>
        <v>Semtech Corp.</v>
      </c>
      <c r="C1462" t="s">
        <v>1803</v>
      </c>
      <c r="D1462">
        <v>19.059999999999999</v>
      </c>
      <c r="E1462">
        <v>0</v>
      </c>
      <c r="F1462" t="s">
        <v>1797</v>
      </c>
      <c r="G1462" t="s">
        <v>1797</v>
      </c>
      <c r="H1462">
        <v>0</v>
      </c>
      <c r="I1462">
        <v>1225.2675260000001</v>
      </c>
      <c r="J1462" t="s">
        <v>1797</v>
      </c>
      <c r="K1462">
        <v>0</v>
      </c>
      <c r="L1462">
        <v>1.7680870629331391</v>
      </c>
      <c r="M1462">
        <v>35.18</v>
      </c>
      <c r="N1462">
        <v>13.13</v>
      </c>
    </row>
    <row r="1463" spans="1:14" x14ac:dyDescent="0.25">
      <c r="A1463" s="1" t="s">
        <v>1475</v>
      </c>
      <c r="B1463" t="str">
        <f>HYPERLINK("https://www.suredividend.com/sure-analysis-research-database/","Sleep Number Corp")</f>
        <v>Sleep Number Corp</v>
      </c>
      <c r="C1463" t="s">
        <v>1801</v>
      </c>
      <c r="D1463">
        <v>11.18</v>
      </c>
      <c r="E1463">
        <v>0</v>
      </c>
      <c r="F1463" t="s">
        <v>1797</v>
      </c>
      <c r="G1463" t="s">
        <v>1797</v>
      </c>
      <c r="H1463">
        <v>0</v>
      </c>
      <c r="I1463">
        <v>248.50904</v>
      </c>
      <c r="J1463">
        <v>55.582428986803841</v>
      </c>
      <c r="K1463">
        <v>0</v>
      </c>
      <c r="L1463">
        <v>1.7790993617707249</v>
      </c>
      <c r="M1463">
        <v>41.61</v>
      </c>
      <c r="N1463">
        <v>9</v>
      </c>
    </row>
    <row r="1464" spans="1:14" x14ac:dyDescent="0.25">
      <c r="A1464" s="1" t="s">
        <v>1476</v>
      </c>
      <c r="B1464" t="str">
        <f>HYPERLINK("https://www.suredividend.com/sure-analysis-research-database/","Science 37 Holdings Inc")</f>
        <v>Science 37 Holdings Inc</v>
      </c>
      <c r="C1464" t="s">
        <v>1797</v>
      </c>
      <c r="D1464">
        <v>5.93</v>
      </c>
      <c r="E1464">
        <v>0</v>
      </c>
      <c r="F1464" t="s">
        <v>1797</v>
      </c>
      <c r="G1464" t="s">
        <v>1797</v>
      </c>
      <c r="H1464">
        <v>0</v>
      </c>
      <c r="I1464">
        <v>708.02542600000004</v>
      </c>
      <c r="J1464" t="s">
        <v>1797</v>
      </c>
      <c r="K1464">
        <v>0</v>
      </c>
      <c r="L1464">
        <v>-0.285349083403662</v>
      </c>
      <c r="M1464">
        <v>13.8</v>
      </c>
      <c r="N1464">
        <v>3.73</v>
      </c>
    </row>
    <row r="1465" spans="1:14" x14ac:dyDescent="0.25">
      <c r="A1465" s="1" t="s">
        <v>1477</v>
      </c>
      <c r="B1465" t="str">
        <f>HYPERLINK("https://www.suredividend.com/sure-analysis-research-database/","Sun Country Airlines Holdings Inc")</f>
        <v>Sun Country Airlines Holdings Inc</v>
      </c>
      <c r="C1465" t="s">
        <v>1797</v>
      </c>
      <c r="D1465">
        <v>13.32</v>
      </c>
      <c r="E1465">
        <v>0</v>
      </c>
      <c r="F1465" t="s">
        <v>1797</v>
      </c>
      <c r="G1465" t="s">
        <v>1797</v>
      </c>
      <c r="H1465">
        <v>0</v>
      </c>
      <c r="I1465">
        <v>721.06289500000003</v>
      </c>
      <c r="J1465">
        <v>9.7677205039216481</v>
      </c>
      <c r="K1465">
        <v>0</v>
      </c>
      <c r="L1465">
        <v>1.2640857580936351</v>
      </c>
      <c r="M1465">
        <v>23.8</v>
      </c>
      <c r="N1465">
        <v>12.39</v>
      </c>
    </row>
    <row r="1466" spans="1:14" x14ac:dyDescent="0.25">
      <c r="A1466" s="1" t="s">
        <v>1478</v>
      </c>
      <c r="B1466" t="str">
        <f>HYPERLINK("https://www.suredividend.com/sure-analysis-research-database/","Syndax Pharmaceuticals Inc")</f>
        <v>Syndax Pharmaceuticals Inc</v>
      </c>
      <c r="C1466" t="s">
        <v>1802</v>
      </c>
      <c r="D1466">
        <v>22.24</v>
      </c>
      <c r="E1466">
        <v>0</v>
      </c>
      <c r="F1466" t="s">
        <v>1797</v>
      </c>
      <c r="G1466" t="s">
        <v>1797</v>
      </c>
      <c r="H1466">
        <v>0</v>
      </c>
      <c r="I1466">
        <v>1886.168529</v>
      </c>
      <c r="J1466" t="s">
        <v>1797</v>
      </c>
      <c r="K1466">
        <v>0</v>
      </c>
      <c r="L1466">
        <v>1.153192742718584</v>
      </c>
      <c r="M1466">
        <v>29.86</v>
      </c>
      <c r="N1466">
        <v>11.22</v>
      </c>
    </row>
    <row r="1467" spans="1:14" x14ac:dyDescent="0.25">
      <c r="A1467" s="1" t="s">
        <v>1479</v>
      </c>
      <c r="B1467" t="str">
        <f>HYPERLINK("https://www.suredividend.com/sure-analysis-research-database/","StoneX Group Inc")</f>
        <v>StoneX Group Inc</v>
      </c>
      <c r="C1467" t="s">
        <v>1797</v>
      </c>
      <c r="D1467">
        <v>67.86</v>
      </c>
      <c r="E1467">
        <v>0</v>
      </c>
      <c r="F1467" t="s">
        <v>1797</v>
      </c>
      <c r="G1467" t="s">
        <v>1797</v>
      </c>
      <c r="H1467">
        <v>0</v>
      </c>
      <c r="I1467">
        <v>1416.239489</v>
      </c>
      <c r="J1467">
        <v>6.14687278359375</v>
      </c>
      <c r="K1467">
        <v>0</v>
      </c>
      <c r="L1467">
        <v>0.80710445255451402</v>
      </c>
      <c r="M1467">
        <v>74.010000000000005</v>
      </c>
      <c r="N1467">
        <v>49.62</v>
      </c>
    </row>
    <row r="1468" spans="1:14" x14ac:dyDescent="0.25">
      <c r="A1468" s="1" t="s">
        <v>1480</v>
      </c>
      <c r="B1468" t="str">
        <f>HYPERLINK("https://www.suredividend.com/sure-analysis-research-database/","Snap One Holdings Corp")</f>
        <v>Snap One Holdings Corp</v>
      </c>
      <c r="C1468" t="s">
        <v>1797</v>
      </c>
      <c r="D1468">
        <v>8.66</v>
      </c>
      <c r="E1468">
        <v>0</v>
      </c>
      <c r="F1468" t="s">
        <v>1797</v>
      </c>
      <c r="G1468" t="s">
        <v>1797</v>
      </c>
      <c r="H1468">
        <v>0</v>
      </c>
      <c r="I1468">
        <v>662.75322100000005</v>
      </c>
      <c r="J1468" t="s">
        <v>1797</v>
      </c>
      <c r="K1468">
        <v>0</v>
      </c>
      <c r="L1468">
        <v>1.3846432463508609</v>
      </c>
      <c r="M1468">
        <v>12.38</v>
      </c>
      <c r="N1468">
        <v>6.7</v>
      </c>
    </row>
    <row r="1469" spans="1:14" x14ac:dyDescent="0.25">
      <c r="A1469" s="1" t="s">
        <v>1481</v>
      </c>
      <c r="B1469" t="str">
        <f>HYPERLINK("https://www.suredividend.com/sure-analysis-research-database/","Solaris Oilfield Infrastructure Inc")</f>
        <v>Solaris Oilfield Infrastructure Inc</v>
      </c>
      <c r="C1469" t="s">
        <v>1807</v>
      </c>
      <c r="D1469">
        <v>7.02</v>
      </c>
      <c r="E1469">
        <v>6.3127284422683005E-2</v>
      </c>
      <c r="F1469" t="s">
        <v>1797</v>
      </c>
      <c r="G1469" t="s">
        <v>1797</v>
      </c>
      <c r="H1469">
        <v>0.44315353664723511</v>
      </c>
      <c r="I1469">
        <v>214.68047999999999</v>
      </c>
      <c r="J1469">
        <v>8.9506141463414632</v>
      </c>
      <c r="K1469">
        <v>0.56088284602864835</v>
      </c>
      <c r="L1469">
        <v>1.215854249674245</v>
      </c>
      <c r="M1469">
        <v>11.05</v>
      </c>
      <c r="N1469">
        <v>6.98</v>
      </c>
    </row>
    <row r="1470" spans="1:14" x14ac:dyDescent="0.25">
      <c r="A1470" s="1" t="s">
        <v>1482</v>
      </c>
      <c r="B1470" t="str">
        <f>HYPERLINK("https://www.suredividend.com/sure-analysis-research-database/","Sonder Holdings Inc")</f>
        <v>Sonder Holdings Inc</v>
      </c>
      <c r="C1470" t="s">
        <v>1797</v>
      </c>
      <c r="D1470">
        <v>2.83</v>
      </c>
      <c r="E1470">
        <v>0</v>
      </c>
      <c r="F1470" t="s">
        <v>1797</v>
      </c>
      <c r="G1470" t="s">
        <v>1797</v>
      </c>
      <c r="H1470">
        <v>0</v>
      </c>
      <c r="I1470">
        <v>31.313209000000001</v>
      </c>
      <c r="J1470">
        <v>0</v>
      </c>
      <c r="K1470" t="s">
        <v>1797</v>
      </c>
      <c r="L1470">
        <v>2.9230611430181641</v>
      </c>
      <c r="M1470">
        <v>35</v>
      </c>
      <c r="N1470">
        <v>2.39</v>
      </c>
    </row>
    <row r="1471" spans="1:14" x14ac:dyDescent="0.25">
      <c r="A1471" s="1" t="s">
        <v>1483</v>
      </c>
      <c r="B1471" t="str">
        <f>HYPERLINK("https://www.suredividend.com/sure-analysis-research-database/","Sonos Inc")</f>
        <v>Sonos Inc</v>
      </c>
      <c r="C1471" t="s">
        <v>1803</v>
      </c>
      <c r="D1471">
        <v>16.36</v>
      </c>
      <c r="E1471">
        <v>0</v>
      </c>
      <c r="F1471" t="s">
        <v>1797</v>
      </c>
      <c r="G1471" t="s">
        <v>1797</v>
      </c>
      <c r="H1471">
        <v>0</v>
      </c>
      <c r="I1471">
        <v>2047.460789</v>
      </c>
      <c r="J1471" t="s">
        <v>1797</v>
      </c>
      <c r="K1471">
        <v>0</v>
      </c>
      <c r="L1471">
        <v>1.2971898069239289</v>
      </c>
      <c r="M1471">
        <v>21.98</v>
      </c>
      <c r="N1471">
        <v>9.7799999999999994</v>
      </c>
    </row>
    <row r="1472" spans="1:14" x14ac:dyDescent="0.25">
      <c r="A1472" s="1" t="s">
        <v>1484</v>
      </c>
      <c r="B1472" t="str">
        <f>HYPERLINK("https://www.suredividend.com/sure-analysis-research-database/","Sovos Brands Inc")</f>
        <v>Sovos Brands Inc</v>
      </c>
      <c r="C1472" t="s">
        <v>1797</v>
      </c>
      <c r="D1472">
        <v>22.12</v>
      </c>
      <c r="E1472">
        <v>0</v>
      </c>
      <c r="F1472" t="s">
        <v>1797</v>
      </c>
      <c r="G1472" t="s">
        <v>1797</v>
      </c>
      <c r="H1472">
        <v>0</v>
      </c>
      <c r="I1472">
        <v>2245.1799999999998</v>
      </c>
      <c r="J1472">
        <v>0</v>
      </c>
      <c r="K1472" t="s">
        <v>1797</v>
      </c>
      <c r="L1472">
        <v>0.36391829158885602</v>
      </c>
      <c r="M1472">
        <v>22.73</v>
      </c>
      <c r="N1472">
        <v>12.74</v>
      </c>
    </row>
    <row r="1473" spans="1:14" x14ac:dyDescent="0.25">
      <c r="A1473" s="1" t="s">
        <v>1485</v>
      </c>
      <c r="B1473" t="str">
        <f>HYPERLINK("https://www.suredividend.com/sure-analysis-research-database/","SP Plus Corp")</f>
        <v>SP Plus Corp</v>
      </c>
      <c r="C1473" t="s">
        <v>1798</v>
      </c>
      <c r="D1473">
        <v>51.35</v>
      </c>
      <c r="E1473">
        <v>0</v>
      </c>
      <c r="F1473" t="s">
        <v>1797</v>
      </c>
      <c r="G1473" t="s">
        <v>1797</v>
      </c>
      <c r="H1473">
        <v>0</v>
      </c>
      <c r="I1473">
        <v>1009.007525</v>
      </c>
      <c r="J1473">
        <v>29.078026652737751</v>
      </c>
      <c r="K1473">
        <v>0</v>
      </c>
      <c r="L1473">
        <v>0.52665393271681804</v>
      </c>
      <c r="M1473">
        <v>52.4</v>
      </c>
      <c r="N1473">
        <v>31.52</v>
      </c>
    </row>
    <row r="1474" spans="1:14" x14ac:dyDescent="0.25">
      <c r="A1474" s="1" t="s">
        <v>1486</v>
      </c>
      <c r="B1474" t="str">
        <f>HYPERLINK("https://www.suredividend.com/sure-analysis-research-database/","Virgin Galactic Holdings Inc")</f>
        <v>Virgin Galactic Holdings Inc</v>
      </c>
      <c r="C1474" t="s">
        <v>1798</v>
      </c>
      <c r="D1474">
        <v>2.11</v>
      </c>
      <c r="E1474">
        <v>0</v>
      </c>
      <c r="F1474" t="s">
        <v>1797</v>
      </c>
      <c r="G1474" t="s">
        <v>1797</v>
      </c>
      <c r="H1474">
        <v>0</v>
      </c>
      <c r="I1474">
        <v>843.39926000000003</v>
      </c>
      <c r="J1474" t="s">
        <v>1797</v>
      </c>
      <c r="K1474">
        <v>0</v>
      </c>
      <c r="L1474">
        <v>2.8589121886430249</v>
      </c>
      <c r="M1474">
        <v>6.61</v>
      </c>
      <c r="N1474">
        <v>1.38</v>
      </c>
    </row>
    <row r="1475" spans="1:14" x14ac:dyDescent="0.25">
      <c r="A1475" s="1" t="s">
        <v>1487</v>
      </c>
      <c r="B1475" t="str">
        <f>HYPERLINK("https://www.suredividend.com/sure-analysis-research-database/","South Plains Financial Inc")</f>
        <v>South Plains Financial Inc</v>
      </c>
      <c r="C1475" t="s">
        <v>1800</v>
      </c>
      <c r="D1475">
        <v>27.91</v>
      </c>
      <c r="E1475">
        <v>1.8345478117762999E-2</v>
      </c>
      <c r="F1475" t="s">
        <v>1797</v>
      </c>
      <c r="G1475" t="s">
        <v>1797</v>
      </c>
      <c r="H1475">
        <v>0.51202229426678603</v>
      </c>
      <c r="I1475">
        <v>460.02040699999998</v>
      </c>
      <c r="J1475">
        <v>7.0726669980935393</v>
      </c>
      <c r="K1475">
        <v>0.13801140007191001</v>
      </c>
      <c r="L1475">
        <v>1.01841157729022</v>
      </c>
      <c r="M1475">
        <v>30.22</v>
      </c>
      <c r="N1475">
        <v>18.38</v>
      </c>
    </row>
    <row r="1476" spans="1:14" x14ac:dyDescent="0.25">
      <c r="A1476" s="1" t="s">
        <v>1488</v>
      </c>
      <c r="B1476" t="str">
        <f>HYPERLINK("https://www.suredividend.com/sure-analysis-research-database/","Sphere Entertainment Co")</f>
        <v>Sphere Entertainment Co</v>
      </c>
      <c r="C1476" t="s">
        <v>1797</v>
      </c>
      <c r="D1476">
        <v>31.36</v>
      </c>
      <c r="E1476">
        <v>0</v>
      </c>
      <c r="F1476" t="s">
        <v>1797</v>
      </c>
      <c r="G1476" t="s">
        <v>1797</v>
      </c>
      <c r="H1476">
        <v>0</v>
      </c>
      <c r="I1476">
        <v>885.71995500000003</v>
      </c>
      <c r="J1476">
        <v>1.4426487237806089</v>
      </c>
      <c r="K1476">
        <v>0</v>
      </c>
      <c r="L1476">
        <v>1.2453060758057719</v>
      </c>
      <c r="M1476">
        <v>62.79</v>
      </c>
      <c r="N1476">
        <v>20.69</v>
      </c>
    </row>
    <row r="1477" spans="1:14" x14ac:dyDescent="0.25">
      <c r="A1477" s="1" t="s">
        <v>1489</v>
      </c>
      <c r="B1477" t="str">
        <f>HYPERLINK("https://www.suredividend.com/sure-analysis-research-database/","Spire Global Inc")</f>
        <v>Spire Global Inc</v>
      </c>
      <c r="C1477" t="s">
        <v>1803</v>
      </c>
      <c r="D1477">
        <v>6.89</v>
      </c>
      <c r="E1477">
        <v>0</v>
      </c>
      <c r="F1477" t="s">
        <v>1797</v>
      </c>
      <c r="G1477" t="s">
        <v>1797</v>
      </c>
      <c r="H1477">
        <v>0</v>
      </c>
      <c r="I1477">
        <v>143.6746</v>
      </c>
      <c r="J1477" t="s">
        <v>1797</v>
      </c>
      <c r="K1477">
        <v>0</v>
      </c>
      <c r="L1477">
        <v>2.1566051727804352</v>
      </c>
      <c r="M1477">
        <v>10.88</v>
      </c>
      <c r="N1477">
        <v>2.8</v>
      </c>
    </row>
    <row r="1478" spans="1:14" x14ac:dyDescent="0.25">
      <c r="A1478" s="1" t="s">
        <v>1490</v>
      </c>
      <c r="B1478" t="str">
        <f>HYPERLINK("https://www.suredividend.com/sure-analysis-research-database/","Sapiens International Corp NV")</f>
        <v>Sapiens International Corp NV</v>
      </c>
      <c r="C1478" t="s">
        <v>1803</v>
      </c>
      <c r="D1478">
        <v>27.23</v>
      </c>
      <c r="E1478">
        <v>1.8573057868617002E-2</v>
      </c>
      <c r="F1478" t="s">
        <v>1797</v>
      </c>
      <c r="G1478" t="s">
        <v>1797</v>
      </c>
      <c r="H1478">
        <v>0.50574436576244308</v>
      </c>
      <c r="I1478">
        <v>1501.4679180000001</v>
      </c>
      <c r="J1478">
        <v>25.519110734741741</v>
      </c>
      <c r="K1478">
        <v>0.47711732619098401</v>
      </c>
      <c r="L1478">
        <v>0.98327911698781412</v>
      </c>
      <c r="M1478">
        <v>30.8</v>
      </c>
      <c r="N1478">
        <v>18.11</v>
      </c>
    </row>
    <row r="1479" spans="1:14" x14ac:dyDescent="0.25">
      <c r="A1479" s="1" t="s">
        <v>1491</v>
      </c>
      <c r="B1479" t="str">
        <f>HYPERLINK("https://www.suredividend.com/sure-analysis-research-database/","SiriusPoint Ltd")</f>
        <v>SiriusPoint Ltd</v>
      </c>
      <c r="C1479" t="s">
        <v>1797</v>
      </c>
      <c r="D1479">
        <v>11.29</v>
      </c>
      <c r="E1479">
        <v>0</v>
      </c>
      <c r="F1479" t="s">
        <v>1797</v>
      </c>
      <c r="G1479" t="s">
        <v>1797</v>
      </c>
      <c r="H1479">
        <v>0</v>
      </c>
      <c r="I1479">
        <v>1891.9803790000001</v>
      </c>
      <c r="J1479">
        <v>8.7389393947805996</v>
      </c>
      <c r="K1479">
        <v>0</v>
      </c>
      <c r="L1479">
        <v>0.74543079750231711</v>
      </c>
      <c r="M1479">
        <v>11.93</v>
      </c>
      <c r="N1479">
        <v>6.36</v>
      </c>
    </row>
    <row r="1480" spans="1:14" x14ac:dyDescent="0.25">
      <c r="A1480" s="1" t="s">
        <v>1492</v>
      </c>
      <c r="B1480" t="str">
        <f>HYPERLINK("https://www.suredividend.com/sure-analysis-research-database/","SPS Commerce Inc.")</f>
        <v>SPS Commerce Inc.</v>
      </c>
      <c r="C1480" t="s">
        <v>1803</v>
      </c>
      <c r="D1480">
        <v>181.01</v>
      </c>
      <c r="E1480">
        <v>0</v>
      </c>
      <c r="F1480" t="s">
        <v>1797</v>
      </c>
      <c r="G1480" t="s">
        <v>1797</v>
      </c>
      <c r="H1480">
        <v>0</v>
      </c>
      <c r="I1480">
        <v>6642.634024</v>
      </c>
      <c r="J1480">
        <v>105.895836374187</v>
      </c>
      <c r="K1480">
        <v>0</v>
      </c>
      <c r="L1480">
        <v>1.465793585728199</v>
      </c>
      <c r="M1480">
        <v>198.35</v>
      </c>
      <c r="N1480">
        <v>131.13999999999999</v>
      </c>
    </row>
    <row r="1481" spans="1:14" x14ac:dyDescent="0.25">
      <c r="A1481" s="1" t="s">
        <v>1493</v>
      </c>
      <c r="B1481" t="str">
        <f>HYPERLINK("https://www.suredividend.com/sure-analysis-research-database/","Sprout Social Inc")</f>
        <v>Sprout Social Inc</v>
      </c>
      <c r="C1481" t="s">
        <v>1803</v>
      </c>
      <c r="D1481">
        <v>59.73</v>
      </c>
      <c r="E1481">
        <v>0</v>
      </c>
      <c r="F1481" t="s">
        <v>1797</v>
      </c>
      <c r="G1481" t="s">
        <v>1797</v>
      </c>
      <c r="H1481">
        <v>0</v>
      </c>
      <c r="I1481">
        <v>2893.4274</v>
      </c>
      <c r="J1481" t="s">
        <v>1797</v>
      </c>
      <c r="K1481">
        <v>0</v>
      </c>
      <c r="L1481">
        <v>2.2503631314093222</v>
      </c>
      <c r="M1481">
        <v>74.069999999999993</v>
      </c>
      <c r="N1481">
        <v>37</v>
      </c>
    </row>
    <row r="1482" spans="1:14" x14ac:dyDescent="0.25">
      <c r="A1482" s="1" t="s">
        <v>1494</v>
      </c>
      <c r="B1482" t="str">
        <f>HYPERLINK("https://www.suredividend.com/sure-analysis-SPTN/","SpartanNash Co")</f>
        <v>SpartanNash Co</v>
      </c>
      <c r="C1482" t="s">
        <v>1804</v>
      </c>
      <c r="D1482">
        <v>22.75</v>
      </c>
      <c r="E1482">
        <v>3.7802197802197797E-2</v>
      </c>
      <c r="F1482">
        <v>2.3809523809523721E-2</v>
      </c>
      <c r="G1482">
        <v>2.5030933534903491E-2</v>
      </c>
      <c r="H1482">
        <v>0.83539626790439703</v>
      </c>
      <c r="I1482">
        <v>787.69001700000001</v>
      </c>
      <c r="J1482">
        <v>18.67537618545213</v>
      </c>
      <c r="K1482">
        <v>0.70201367050789665</v>
      </c>
      <c r="L1482">
        <v>0.31189450048352202</v>
      </c>
      <c r="M1482">
        <v>30.24</v>
      </c>
      <c r="N1482">
        <v>19.43</v>
      </c>
    </row>
    <row r="1483" spans="1:14" x14ac:dyDescent="0.25">
      <c r="A1483" s="1" t="s">
        <v>1495</v>
      </c>
      <c r="B1483" t="str">
        <f>HYPERLINK("https://www.suredividend.com/sure-analysis-research-database/","Sportsman`s Warehouse Holdings Inc")</f>
        <v>Sportsman`s Warehouse Holdings Inc</v>
      </c>
      <c r="C1483" t="s">
        <v>1801</v>
      </c>
      <c r="D1483">
        <v>4.21</v>
      </c>
      <c r="E1483">
        <v>0</v>
      </c>
      <c r="F1483" t="s">
        <v>1797</v>
      </c>
      <c r="G1483" t="s">
        <v>1797</v>
      </c>
      <c r="H1483">
        <v>0</v>
      </c>
      <c r="I1483">
        <v>157.505337</v>
      </c>
      <c r="J1483" t="s">
        <v>1797</v>
      </c>
      <c r="K1483">
        <v>0</v>
      </c>
      <c r="L1483">
        <v>0.84091828431489402</v>
      </c>
      <c r="M1483">
        <v>10.17</v>
      </c>
      <c r="N1483">
        <v>2.98</v>
      </c>
    </row>
    <row r="1484" spans="1:14" x14ac:dyDescent="0.25">
      <c r="A1484" s="1" t="s">
        <v>1496</v>
      </c>
      <c r="B1484" t="str">
        <f>HYPERLINK("https://www.suredividend.com/sure-analysis-research-database/","Sunpower Corp")</f>
        <v>Sunpower Corp</v>
      </c>
      <c r="C1484" t="s">
        <v>1803</v>
      </c>
      <c r="D1484">
        <v>3.25</v>
      </c>
      <c r="E1484">
        <v>0</v>
      </c>
      <c r="F1484" t="s">
        <v>1797</v>
      </c>
      <c r="G1484" t="s">
        <v>1797</v>
      </c>
      <c r="H1484">
        <v>0</v>
      </c>
      <c r="I1484">
        <v>569.92353600000001</v>
      </c>
      <c r="J1484">
        <v>13.300742981166421</v>
      </c>
      <c r="K1484">
        <v>0</v>
      </c>
      <c r="L1484">
        <v>2.5492179145972842</v>
      </c>
      <c r="M1484">
        <v>19.32</v>
      </c>
      <c r="N1484">
        <v>3.23</v>
      </c>
    </row>
    <row r="1485" spans="1:14" x14ac:dyDescent="0.25">
      <c r="A1485" s="1" t="s">
        <v>1497</v>
      </c>
      <c r="B1485" t="str">
        <f>HYPERLINK("https://www.suredividend.com/sure-analysis-research-database/","SPX Technologies Inc")</f>
        <v>SPX Technologies Inc</v>
      </c>
      <c r="C1485" t="s">
        <v>1798</v>
      </c>
      <c r="D1485">
        <v>99.85</v>
      </c>
      <c r="E1485">
        <v>0</v>
      </c>
      <c r="F1485" t="s">
        <v>1797</v>
      </c>
      <c r="G1485" t="s">
        <v>1797</v>
      </c>
      <c r="H1485">
        <v>0</v>
      </c>
      <c r="I1485">
        <v>4557.9646819999998</v>
      </c>
      <c r="J1485">
        <v>0</v>
      </c>
      <c r="K1485" t="s">
        <v>1797</v>
      </c>
      <c r="L1485">
        <v>1.2714228787430359</v>
      </c>
      <c r="M1485">
        <v>104.16</v>
      </c>
      <c r="N1485">
        <v>61.09</v>
      </c>
    </row>
    <row r="1486" spans="1:14" x14ac:dyDescent="0.25">
      <c r="A1486" s="1" t="s">
        <v>1498</v>
      </c>
      <c r="B1486" t="str">
        <f>HYPERLINK("https://www.suredividend.com/sure-analysis-research-database/","Squarespace Inc")</f>
        <v>Squarespace Inc</v>
      </c>
      <c r="C1486" t="s">
        <v>1797</v>
      </c>
      <c r="D1486">
        <v>31.87</v>
      </c>
      <c r="E1486">
        <v>0</v>
      </c>
      <c r="F1486" t="s">
        <v>1797</v>
      </c>
      <c r="G1486" t="s">
        <v>1797</v>
      </c>
      <c r="H1486">
        <v>0</v>
      </c>
      <c r="I1486">
        <v>2808.5203889999998</v>
      </c>
      <c r="J1486" t="s">
        <v>1797</v>
      </c>
      <c r="K1486">
        <v>0</v>
      </c>
      <c r="L1486">
        <v>0.88966750736833211</v>
      </c>
      <c r="M1486">
        <v>34.380000000000003</v>
      </c>
      <c r="N1486">
        <v>20.51</v>
      </c>
    </row>
    <row r="1487" spans="1:14" x14ac:dyDescent="0.25">
      <c r="A1487" s="1" t="s">
        <v>1499</v>
      </c>
      <c r="B1487" t="str">
        <f>HYPERLINK("https://www.suredividend.com/sure-analysis-SR/","Spire Inc.")</f>
        <v>Spire Inc.</v>
      </c>
      <c r="C1487" t="s">
        <v>1805</v>
      </c>
      <c r="D1487">
        <v>60.09</v>
      </c>
      <c r="E1487">
        <v>4.7928107838242633E-2</v>
      </c>
      <c r="F1487">
        <v>4.861111111111116E-2</v>
      </c>
      <c r="G1487">
        <v>4.9667424313369242E-2</v>
      </c>
      <c r="H1487">
        <v>2.864709796778496</v>
      </c>
      <c r="I1487">
        <v>3198.542328</v>
      </c>
      <c r="J1487">
        <v>15.80307474085968</v>
      </c>
      <c r="K1487">
        <v>0.74408046669571326</v>
      </c>
      <c r="L1487">
        <v>0.54441207324415608</v>
      </c>
      <c r="M1487">
        <v>72.459999999999994</v>
      </c>
      <c r="N1487">
        <v>53.13</v>
      </c>
    </row>
    <row r="1488" spans="1:14" x14ac:dyDescent="0.25">
      <c r="A1488" s="1" t="s">
        <v>1500</v>
      </c>
      <c r="B1488" t="str">
        <f>HYPERLINK("https://www.suredividend.com/sure-analysis-SRCE/","1st Source Corp.")</f>
        <v>1st Source Corp.</v>
      </c>
      <c r="C1488" t="s">
        <v>1800</v>
      </c>
      <c r="D1488">
        <v>51.72</v>
      </c>
      <c r="E1488">
        <v>2.62954369682908E-2</v>
      </c>
      <c r="F1488">
        <v>6.25E-2</v>
      </c>
      <c r="G1488">
        <v>4.7184078606183233E-2</v>
      </c>
      <c r="H1488">
        <v>1.2727669413514771</v>
      </c>
      <c r="I1488">
        <v>1263.4721730000001</v>
      </c>
      <c r="J1488">
        <v>9.9971687075002205</v>
      </c>
      <c r="K1488">
        <v>0.24858729323271039</v>
      </c>
      <c r="L1488">
        <v>0.85790574953025511</v>
      </c>
      <c r="M1488">
        <v>56.59</v>
      </c>
      <c r="N1488">
        <v>37.69</v>
      </c>
    </row>
    <row r="1489" spans="1:14" x14ac:dyDescent="0.25">
      <c r="A1489" s="1" t="s">
        <v>1501</v>
      </c>
      <c r="B1489" t="str">
        <f>HYPERLINK("https://www.suredividend.com/sure-analysis-research-database/","Surmodics, Inc.")</f>
        <v>Surmodics, Inc.</v>
      </c>
      <c r="C1489" t="s">
        <v>1802</v>
      </c>
      <c r="D1489">
        <v>33.729999999999997</v>
      </c>
      <c r="E1489">
        <v>0</v>
      </c>
      <c r="F1489" t="s">
        <v>1797</v>
      </c>
      <c r="G1489" t="s">
        <v>1797</v>
      </c>
      <c r="H1489">
        <v>0</v>
      </c>
      <c r="I1489">
        <v>480.10499499999997</v>
      </c>
      <c r="J1489" t="s">
        <v>1797</v>
      </c>
      <c r="K1489">
        <v>0</v>
      </c>
      <c r="L1489">
        <v>1.1828994035485381</v>
      </c>
      <c r="M1489">
        <v>39.409999999999997</v>
      </c>
      <c r="N1489">
        <v>16</v>
      </c>
    </row>
    <row r="1490" spans="1:14" x14ac:dyDescent="0.25">
      <c r="A1490" s="1" t="s">
        <v>1502</v>
      </c>
      <c r="B1490" t="str">
        <f>HYPERLINK("https://www.suredividend.com/sure-analysis-research-database/","Stoneridge Inc.")</f>
        <v>Stoneridge Inc.</v>
      </c>
      <c r="C1490" t="s">
        <v>1801</v>
      </c>
      <c r="D1490">
        <v>17.899999999999999</v>
      </c>
      <c r="E1490">
        <v>0</v>
      </c>
      <c r="F1490" t="s">
        <v>1797</v>
      </c>
      <c r="G1490" t="s">
        <v>1797</v>
      </c>
      <c r="H1490">
        <v>0</v>
      </c>
      <c r="I1490">
        <v>493.108788</v>
      </c>
      <c r="J1490" t="s">
        <v>1797</v>
      </c>
      <c r="K1490">
        <v>0</v>
      </c>
      <c r="L1490">
        <v>1.043679421307838</v>
      </c>
      <c r="M1490">
        <v>24.83</v>
      </c>
      <c r="N1490">
        <v>14.18</v>
      </c>
    </row>
    <row r="1491" spans="1:14" x14ac:dyDescent="0.25">
      <c r="A1491" s="1" t="s">
        <v>1503</v>
      </c>
      <c r="B1491" t="str">
        <f>HYPERLINK("https://www.suredividend.com/sure-analysis-research-database/","SouthState Corporation")</f>
        <v>SouthState Corporation</v>
      </c>
      <c r="C1491" t="s">
        <v>1800</v>
      </c>
      <c r="D1491">
        <v>80.650000000000006</v>
      </c>
      <c r="E1491">
        <v>2.4803420061581E-2</v>
      </c>
      <c r="F1491">
        <v>4.0000000000000042E-2</v>
      </c>
      <c r="G1491">
        <v>5.387395206178347E-2</v>
      </c>
      <c r="H1491">
        <v>2.0003958279665111</v>
      </c>
      <c r="I1491">
        <v>6134.6630580000001</v>
      </c>
      <c r="J1491">
        <v>11.552624402704989</v>
      </c>
      <c r="K1491">
        <v>0.28782673783690799</v>
      </c>
      <c r="L1491">
        <v>1.597449520113269</v>
      </c>
      <c r="M1491">
        <v>87.77</v>
      </c>
      <c r="N1491">
        <v>57.38</v>
      </c>
    </row>
    <row r="1492" spans="1:14" x14ac:dyDescent="0.25">
      <c r="A1492" s="1" t="s">
        <v>1504</v>
      </c>
      <c r="B1492" t="str">
        <f>HYPERLINK("https://www.suredividend.com/sure-analysis-research-database/","Simpson Manufacturing Co., Inc.")</f>
        <v>Simpson Manufacturing Co., Inc.</v>
      </c>
      <c r="C1492" t="s">
        <v>1798</v>
      </c>
      <c r="D1492">
        <v>182.19</v>
      </c>
      <c r="E1492">
        <v>5.8586735103990008E-3</v>
      </c>
      <c r="F1492">
        <v>3.8461538461538547E-2</v>
      </c>
      <c r="G1492">
        <v>4.1809268102644292E-2</v>
      </c>
      <c r="H1492">
        <v>1.0673917268596369</v>
      </c>
      <c r="I1492">
        <v>7774.5794770000002</v>
      </c>
      <c r="J1492">
        <v>21.790229256793879</v>
      </c>
      <c r="K1492">
        <v>0.1279846195275344</v>
      </c>
      <c r="L1492">
        <v>1.295120642298391</v>
      </c>
      <c r="M1492">
        <v>201.86</v>
      </c>
      <c r="N1492">
        <v>94.27</v>
      </c>
    </row>
    <row r="1493" spans="1:14" x14ac:dyDescent="0.25">
      <c r="A1493" s="1" t="s">
        <v>1505</v>
      </c>
      <c r="B1493" t="str">
        <f>HYPERLINK("https://www.suredividend.com/sure-analysis-research-database/","E.W. Scripps Co.")</f>
        <v>E.W. Scripps Co.</v>
      </c>
      <c r="C1493" t="s">
        <v>1806</v>
      </c>
      <c r="D1493">
        <v>7.83</v>
      </c>
      <c r="E1493">
        <v>0</v>
      </c>
      <c r="F1493" t="s">
        <v>1797</v>
      </c>
      <c r="G1493" t="s">
        <v>1797</v>
      </c>
      <c r="H1493">
        <v>0</v>
      </c>
      <c r="I1493">
        <v>569.14451899999995</v>
      </c>
      <c r="J1493" t="s">
        <v>1797</v>
      </c>
      <c r="K1493">
        <v>0</v>
      </c>
      <c r="L1493">
        <v>2.4172234965150352</v>
      </c>
      <c r="M1493">
        <v>16.13</v>
      </c>
      <c r="N1493">
        <v>4.8499999999999996</v>
      </c>
    </row>
    <row r="1494" spans="1:14" x14ac:dyDescent="0.25">
      <c r="A1494" s="1" t="s">
        <v>1506</v>
      </c>
      <c r="B1494" t="str">
        <f>HYPERLINK("https://www.suredividend.com/sure-analysis-research-database/","SoundThinking Inc")</f>
        <v>SoundThinking Inc</v>
      </c>
      <c r="C1494" t="s">
        <v>1803</v>
      </c>
      <c r="D1494">
        <v>23.5</v>
      </c>
      <c r="E1494">
        <v>0</v>
      </c>
      <c r="F1494" t="s">
        <v>1797</v>
      </c>
      <c r="G1494" t="s">
        <v>1797</v>
      </c>
      <c r="H1494">
        <v>0</v>
      </c>
      <c r="I1494">
        <v>298.93428799999998</v>
      </c>
      <c r="J1494" t="s">
        <v>1797</v>
      </c>
      <c r="K1494">
        <v>0</v>
      </c>
      <c r="L1494">
        <v>1.0916123659990911</v>
      </c>
      <c r="M1494">
        <v>39.46</v>
      </c>
      <c r="N1494">
        <v>14.39</v>
      </c>
    </row>
    <row r="1495" spans="1:14" x14ac:dyDescent="0.25">
      <c r="A1495" s="1" t="s">
        <v>1507</v>
      </c>
      <c r="B1495" t="str">
        <f>HYPERLINK("https://www.suredividend.com/sure-analysis-research-database/","Shutterstock Inc")</f>
        <v>Shutterstock Inc</v>
      </c>
      <c r="C1495" t="s">
        <v>1806</v>
      </c>
      <c r="D1495">
        <v>48.75</v>
      </c>
      <c r="E1495">
        <v>2.1952278532011E-2</v>
      </c>
      <c r="F1495" t="s">
        <v>1797</v>
      </c>
      <c r="G1495" t="s">
        <v>1797</v>
      </c>
      <c r="H1495">
        <v>1.070173578435565</v>
      </c>
      <c r="I1495">
        <v>1740.989591</v>
      </c>
      <c r="J1495">
        <v>14.71412167958351</v>
      </c>
      <c r="K1495">
        <v>0.32827410381459049</v>
      </c>
      <c r="L1495">
        <v>1.557598037324718</v>
      </c>
      <c r="M1495">
        <v>79.48</v>
      </c>
      <c r="N1495">
        <v>33.6</v>
      </c>
    </row>
    <row r="1496" spans="1:14" x14ac:dyDescent="0.25">
      <c r="A1496" s="1" t="s">
        <v>1508</v>
      </c>
      <c r="B1496" t="str">
        <f>HYPERLINK("https://www.suredividend.com/sure-analysis-research-database/","Staar Surgical Co.")</f>
        <v>Staar Surgical Co.</v>
      </c>
      <c r="C1496" t="s">
        <v>1802</v>
      </c>
      <c r="D1496">
        <v>31.7</v>
      </c>
      <c r="E1496">
        <v>0</v>
      </c>
      <c r="F1496" t="s">
        <v>1797</v>
      </c>
      <c r="G1496" t="s">
        <v>1797</v>
      </c>
      <c r="H1496">
        <v>0</v>
      </c>
      <c r="I1496">
        <v>1547.5138939999999</v>
      </c>
      <c r="J1496">
        <v>79.588247999382844</v>
      </c>
      <c r="K1496">
        <v>0</v>
      </c>
      <c r="L1496">
        <v>1.958274913387078</v>
      </c>
      <c r="M1496">
        <v>81.81</v>
      </c>
      <c r="N1496">
        <v>27</v>
      </c>
    </row>
    <row r="1497" spans="1:14" x14ac:dyDescent="0.25">
      <c r="A1497" s="1" t="s">
        <v>1509</v>
      </c>
      <c r="B1497" t="str">
        <f>HYPERLINK("https://www.suredividend.com/sure-analysis-STAG/","STAG Industrial Inc")</f>
        <v>STAG Industrial Inc</v>
      </c>
      <c r="C1497" t="s">
        <v>1799</v>
      </c>
      <c r="D1497">
        <v>38.57</v>
      </c>
      <c r="E1497">
        <v>3.8112522686025413E-2</v>
      </c>
      <c r="F1497">
        <v>0</v>
      </c>
      <c r="G1497">
        <v>1.3655766214057949E-3</v>
      </c>
      <c r="H1497">
        <v>1.442371611959147</v>
      </c>
      <c r="I1497">
        <v>7003.1896900000002</v>
      </c>
      <c r="J1497">
        <v>38.758036914826498</v>
      </c>
      <c r="K1497">
        <v>1.442371611959147</v>
      </c>
      <c r="L1497">
        <v>1.0807698719717891</v>
      </c>
      <c r="M1497">
        <v>39.61</v>
      </c>
      <c r="N1497">
        <v>29.94</v>
      </c>
    </row>
    <row r="1498" spans="1:14" x14ac:dyDescent="0.25">
      <c r="A1498" s="1" t="s">
        <v>1510</v>
      </c>
      <c r="B1498" t="str">
        <f>HYPERLINK("https://www.suredividend.com/sure-analysis-research-database/","S &amp; T Bancorp, Inc.")</f>
        <v>S &amp; T Bancorp, Inc.</v>
      </c>
      <c r="C1498" t="s">
        <v>1800</v>
      </c>
      <c r="D1498">
        <v>32.75</v>
      </c>
      <c r="E1498">
        <v>3.8613888099328003E-2</v>
      </c>
      <c r="F1498" t="s">
        <v>1797</v>
      </c>
      <c r="G1498" t="s">
        <v>1797</v>
      </c>
      <c r="H1498">
        <v>1.264604835253015</v>
      </c>
      <c r="I1498">
        <v>1252.1896019999999</v>
      </c>
      <c r="J1498">
        <v>8.4725334029121608</v>
      </c>
      <c r="K1498">
        <v>0.33104838619188881</v>
      </c>
      <c r="L1498">
        <v>1.3130557527422519</v>
      </c>
      <c r="M1498">
        <v>36.68</v>
      </c>
      <c r="N1498">
        <v>23.79</v>
      </c>
    </row>
    <row r="1499" spans="1:14" x14ac:dyDescent="0.25">
      <c r="A1499" s="1" t="s">
        <v>1511</v>
      </c>
      <c r="B1499" t="str">
        <f>HYPERLINK("https://www.suredividend.com/sure-analysis-research-database/","Stewart Information Services Corp.")</f>
        <v>Stewart Information Services Corp.</v>
      </c>
      <c r="C1499" t="s">
        <v>1800</v>
      </c>
      <c r="D1499">
        <v>58.27</v>
      </c>
      <c r="E1499">
        <v>3.1306922582343001E-2</v>
      </c>
      <c r="F1499">
        <v>5.555555555555558E-2</v>
      </c>
      <c r="G1499">
        <v>9.6262279352954172E-2</v>
      </c>
      <c r="H1499">
        <v>1.824254378873178</v>
      </c>
      <c r="I1499">
        <v>1594.3982490000001</v>
      </c>
      <c r="J1499">
        <v>45.635074967943218</v>
      </c>
      <c r="K1499">
        <v>1.4251987334946701</v>
      </c>
      <c r="L1499">
        <v>0.87291470294355111</v>
      </c>
      <c r="M1499">
        <v>59.91</v>
      </c>
      <c r="N1499">
        <v>34.89</v>
      </c>
    </row>
    <row r="1500" spans="1:14" x14ac:dyDescent="0.25">
      <c r="A1500" s="1" t="s">
        <v>1512</v>
      </c>
      <c r="B1500" t="str">
        <f>HYPERLINK("https://www.suredividend.com/sure-analysis-research-database/","Stellar Bancorp Inc")</f>
        <v>Stellar Bancorp Inc</v>
      </c>
      <c r="C1500" t="s">
        <v>1797</v>
      </c>
      <c r="D1500">
        <v>26.23</v>
      </c>
      <c r="E1500">
        <v>1.4791969741353999E-2</v>
      </c>
      <c r="F1500" t="s">
        <v>1797</v>
      </c>
      <c r="G1500" t="s">
        <v>1797</v>
      </c>
      <c r="H1500">
        <v>0.38799336631572401</v>
      </c>
      <c r="I1500">
        <v>1397.067847</v>
      </c>
      <c r="J1500">
        <v>11.679802088300701</v>
      </c>
      <c r="K1500">
        <v>0.1838831119979735</v>
      </c>
      <c r="L1500">
        <v>1.244011714177379</v>
      </c>
      <c r="M1500">
        <v>29.74</v>
      </c>
      <c r="N1500">
        <v>19.82</v>
      </c>
    </row>
    <row r="1501" spans="1:14" x14ac:dyDescent="0.25">
      <c r="A1501" s="1" t="s">
        <v>1513</v>
      </c>
      <c r="B1501" t="str">
        <f>HYPERLINK("https://www.suredividend.com/sure-analysis-research-database/","Stem Inc")</f>
        <v>Stem Inc</v>
      </c>
      <c r="C1501" t="s">
        <v>1797</v>
      </c>
      <c r="D1501">
        <v>3.3</v>
      </c>
      <c r="E1501">
        <v>0</v>
      </c>
      <c r="F1501" t="s">
        <v>1797</v>
      </c>
      <c r="G1501" t="s">
        <v>1797</v>
      </c>
      <c r="H1501">
        <v>0</v>
      </c>
      <c r="I1501">
        <v>514.45561499999997</v>
      </c>
      <c r="J1501" t="s">
        <v>1797</v>
      </c>
      <c r="K1501">
        <v>0</v>
      </c>
      <c r="L1501">
        <v>2.7720747445167548</v>
      </c>
      <c r="M1501">
        <v>11.36</v>
      </c>
      <c r="N1501">
        <v>2.33</v>
      </c>
    </row>
    <row r="1502" spans="1:14" x14ac:dyDescent="0.25">
      <c r="A1502" s="1" t="s">
        <v>1514</v>
      </c>
      <c r="B1502" t="str">
        <f>HYPERLINK("https://www.suredividend.com/sure-analysis-research-database/","StepStone Group Inc")</f>
        <v>StepStone Group Inc</v>
      </c>
      <c r="C1502" t="s">
        <v>1797</v>
      </c>
      <c r="D1502">
        <v>32.04</v>
      </c>
      <c r="E1502">
        <v>2.5011746318143999E-2</v>
      </c>
      <c r="F1502" t="s">
        <v>1797</v>
      </c>
      <c r="G1502" t="s">
        <v>1797</v>
      </c>
      <c r="H1502">
        <v>0.80137635203334712</v>
      </c>
      <c r="I1502">
        <v>2052.7692219999999</v>
      </c>
      <c r="J1502">
        <v>29.597145523595309</v>
      </c>
      <c r="K1502">
        <v>0.74201514077161768</v>
      </c>
      <c r="L1502">
        <v>1.2902986013710891</v>
      </c>
      <c r="M1502">
        <v>32.49</v>
      </c>
      <c r="N1502">
        <v>18.93</v>
      </c>
    </row>
    <row r="1503" spans="1:14" x14ac:dyDescent="0.25">
      <c r="A1503" s="1" t="s">
        <v>1515</v>
      </c>
      <c r="B1503" t="str">
        <f>HYPERLINK("https://www.suredividend.com/sure-analysis-research-database/","Sterling Check Corp")</f>
        <v>Sterling Check Corp</v>
      </c>
      <c r="C1503" t="s">
        <v>1797</v>
      </c>
      <c r="D1503">
        <v>13.65</v>
      </c>
      <c r="E1503">
        <v>0</v>
      </c>
      <c r="F1503" t="s">
        <v>1797</v>
      </c>
      <c r="G1503" t="s">
        <v>1797</v>
      </c>
      <c r="H1503">
        <v>0</v>
      </c>
      <c r="I1503">
        <v>1286.991683</v>
      </c>
      <c r="J1503">
        <v>0</v>
      </c>
      <c r="K1503" t="s">
        <v>1797</v>
      </c>
      <c r="L1503">
        <v>1.2981828934471979</v>
      </c>
      <c r="M1503">
        <v>15.94</v>
      </c>
      <c r="N1503">
        <v>10</v>
      </c>
    </row>
    <row r="1504" spans="1:14" x14ac:dyDescent="0.25">
      <c r="A1504" s="1" t="s">
        <v>1516</v>
      </c>
      <c r="B1504" t="str">
        <f>HYPERLINK("https://www.suredividend.com/sure-analysis-research-database/","Stagwell Inc")</f>
        <v>Stagwell Inc</v>
      </c>
      <c r="C1504" t="s">
        <v>1797</v>
      </c>
      <c r="D1504">
        <v>6.5</v>
      </c>
      <c r="E1504">
        <v>0</v>
      </c>
      <c r="F1504" t="s">
        <v>1797</v>
      </c>
      <c r="G1504" t="s">
        <v>1797</v>
      </c>
      <c r="H1504">
        <v>0</v>
      </c>
      <c r="I1504">
        <v>784.12312599999996</v>
      </c>
      <c r="J1504" t="s">
        <v>1797</v>
      </c>
      <c r="K1504">
        <v>0</v>
      </c>
      <c r="L1504">
        <v>1.784666266488145</v>
      </c>
      <c r="M1504">
        <v>9.23</v>
      </c>
      <c r="N1504">
        <v>3.83</v>
      </c>
    </row>
    <row r="1505" spans="1:14" x14ac:dyDescent="0.25">
      <c r="A1505" s="1" t="s">
        <v>1517</v>
      </c>
      <c r="B1505" t="str">
        <f>HYPERLINK("https://www.suredividend.com/sure-analysis-research-database/","Star Holdings")</f>
        <v>Star Holdings</v>
      </c>
      <c r="C1505" t="s">
        <v>1797</v>
      </c>
      <c r="D1505">
        <v>13.61</v>
      </c>
      <c r="E1505">
        <v>0</v>
      </c>
      <c r="F1505" t="s">
        <v>1797</v>
      </c>
      <c r="G1505" t="s">
        <v>1797</v>
      </c>
      <c r="H1505">
        <v>0</v>
      </c>
      <c r="I1505">
        <v>181.27910299999999</v>
      </c>
      <c r="J1505">
        <v>0</v>
      </c>
      <c r="K1505" t="s">
        <v>1797</v>
      </c>
      <c r="L1505">
        <v>1.292681848615445</v>
      </c>
      <c r="M1505">
        <v>19.579999999999998</v>
      </c>
      <c r="N1505">
        <v>10.76</v>
      </c>
    </row>
    <row r="1506" spans="1:14" x14ac:dyDescent="0.25">
      <c r="A1506" s="1" t="s">
        <v>1518</v>
      </c>
      <c r="B1506" t="str">
        <f>HYPERLINK("https://www.suredividend.com/sure-analysis-research-database/","Sunopta, Inc.")</f>
        <v>Sunopta, Inc.</v>
      </c>
      <c r="C1506" t="s">
        <v>1804</v>
      </c>
      <c r="D1506">
        <v>5.65</v>
      </c>
      <c r="E1506">
        <v>0</v>
      </c>
      <c r="F1506" t="s">
        <v>1797</v>
      </c>
      <c r="G1506" t="s">
        <v>1797</v>
      </c>
      <c r="H1506">
        <v>0</v>
      </c>
      <c r="I1506">
        <v>667.86228400000005</v>
      </c>
      <c r="J1506" t="s">
        <v>1797</v>
      </c>
      <c r="K1506">
        <v>0</v>
      </c>
      <c r="L1506">
        <v>1.0479778119437591</v>
      </c>
      <c r="M1506">
        <v>9.0399999999999991</v>
      </c>
      <c r="N1506">
        <v>2.79</v>
      </c>
    </row>
    <row r="1507" spans="1:14" x14ac:dyDescent="0.25">
      <c r="A1507" s="1" t="s">
        <v>1519</v>
      </c>
      <c r="B1507" t="str">
        <f>HYPERLINK("https://www.suredividend.com/sure-analysis-research-database/","ONE Group Hospitality Inc")</f>
        <v>ONE Group Hospitality Inc</v>
      </c>
      <c r="C1507" t="s">
        <v>1801</v>
      </c>
      <c r="D1507">
        <v>5.42</v>
      </c>
      <c r="E1507">
        <v>0</v>
      </c>
      <c r="F1507" t="s">
        <v>1797</v>
      </c>
      <c r="G1507" t="s">
        <v>1797</v>
      </c>
      <c r="H1507">
        <v>0</v>
      </c>
      <c r="I1507">
        <v>169.501519</v>
      </c>
      <c r="J1507">
        <v>0</v>
      </c>
      <c r="K1507" t="s">
        <v>1797</v>
      </c>
      <c r="L1507">
        <v>1.3518924049090419</v>
      </c>
      <c r="M1507">
        <v>9.4</v>
      </c>
      <c r="N1507">
        <v>3.94</v>
      </c>
    </row>
    <row r="1508" spans="1:14" x14ac:dyDescent="0.25">
      <c r="A1508" s="1" t="s">
        <v>1520</v>
      </c>
      <c r="B1508" t="str">
        <f>HYPERLINK("https://www.suredividend.com/sure-analysis-research-database/","StoneCo Ltd")</f>
        <v>StoneCo Ltd</v>
      </c>
      <c r="C1508" t="s">
        <v>1803</v>
      </c>
      <c r="D1508">
        <v>17.11</v>
      </c>
      <c r="E1508">
        <v>0</v>
      </c>
      <c r="F1508" t="s">
        <v>1797</v>
      </c>
      <c r="G1508" t="s">
        <v>1797</v>
      </c>
      <c r="H1508">
        <v>0</v>
      </c>
      <c r="I1508">
        <v>5028.475985</v>
      </c>
      <c r="J1508">
        <v>23.660833842356588</v>
      </c>
      <c r="K1508">
        <v>0</v>
      </c>
      <c r="L1508">
        <v>1.835241131439862</v>
      </c>
      <c r="M1508">
        <v>18.61</v>
      </c>
      <c r="N1508">
        <v>8.09</v>
      </c>
    </row>
    <row r="1509" spans="1:14" x14ac:dyDescent="0.25">
      <c r="A1509" s="1" t="s">
        <v>1521</v>
      </c>
      <c r="B1509" t="str">
        <f>HYPERLINK("https://www.suredividend.com/sure-analysis-research-database/","Scorpio Tankers Inc")</f>
        <v>Scorpio Tankers Inc</v>
      </c>
      <c r="C1509" t="s">
        <v>1807</v>
      </c>
      <c r="D1509">
        <v>64.7</v>
      </c>
      <c r="E1509">
        <v>1.6108465453761999E-2</v>
      </c>
      <c r="F1509">
        <v>2.5</v>
      </c>
      <c r="G1509">
        <v>0.28473515712343928</v>
      </c>
      <c r="H1509">
        <v>1.0422177148584071</v>
      </c>
      <c r="I1509">
        <v>3589.706169</v>
      </c>
      <c r="J1509">
        <v>0</v>
      </c>
      <c r="K1509" t="s">
        <v>1797</v>
      </c>
      <c r="L1509">
        <v>0.6378000005370501</v>
      </c>
      <c r="M1509">
        <v>66.930000000000007</v>
      </c>
      <c r="N1509">
        <v>39.880000000000003</v>
      </c>
    </row>
    <row r="1510" spans="1:14" x14ac:dyDescent="0.25">
      <c r="A1510" s="1" t="s">
        <v>1522</v>
      </c>
      <c r="B1510" t="str">
        <f>HYPERLINK("https://www.suredividend.com/sure-analysis-research-database/","Stoke Therapeutics Inc")</f>
        <v>Stoke Therapeutics Inc</v>
      </c>
      <c r="C1510" t="s">
        <v>1802</v>
      </c>
      <c r="D1510">
        <v>5.12</v>
      </c>
      <c r="E1510">
        <v>0</v>
      </c>
      <c r="F1510" t="s">
        <v>1797</v>
      </c>
      <c r="G1510" t="s">
        <v>1797</v>
      </c>
      <c r="H1510">
        <v>0</v>
      </c>
      <c r="I1510">
        <v>228.627364</v>
      </c>
      <c r="J1510" t="s">
        <v>1797</v>
      </c>
      <c r="K1510">
        <v>0</v>
      </c>
      <c r="L1510">
        <v>1.454203158523758</v>
      </c>
      <c r="M1510">
        <v>14</v>
      </c>
      <c r="N1510">
        <v>3.35</v>
      </c>
    </row>
    <row r="1511" spans="1:14" x14ac:dyDescent="0.25">
      <c r="A1511" s="1" t="s">
        <v>1523</v>
      </c>
      <c r="B1511" t="str">
        <f>HYPERLINK("https://www.suredividend.com/sure-analysis-research-database/","Sitio Royalties Corp")</f>
        <v>Sitio Royalties Corp</v>
      </c>
      <c r="C1511" t="s">
        <v>1797</v>
      </c>
      <c r="D1511">
        <v>22.3</v>
      </c>
      <c r="E1511">
        <v>8.6488906726366013E-2</v>
      </c>
      <c r="F1511" t="s">
        <v>1797</v>
      </c>
      <c r="G1511" t="s">
        <v>1797</v>
      </c>
      <c r="H1511">
        <v>1.9287026199979711</v>
      </c>
      <c r="I1511">
        <v>3505.064762</v>
      </c>
      <c r="J1511">
        <v>0</v>
      </c>
      <c r="K1511" t="s">
        <v>1797</v>
      </c>
      <c r="L1511">
        <v>1.096735089733625</v>
      </c>
      <c r="M1511">
        <v>27.28</v>
      </c>
      <c r="N1511">
        <v>18.09</v>
      </c>
    </row>
    <row r="1512" spans="1:14" x14ac:dyDescent="0.25">
      <c r="A1512" s="1" t="s">
        <v>1524</v>
      </c>
      <c r="B1512" t="str">
        <f>HYPERLINK("https://www.suredividend.com/sure-analysis-research-database/","Strategic Education Inc")</f>
        <v>Strategic Education Inc</v>
      </c>
      <c r="C1512" t="s">
        <v>1804</v>
      </c>
      <c r="D1512">
        <v>92.05</v>
      </c>
      <c r="E1512">
        <v>2.5520857286628999E-2</v>
      </c>
      <c r="F1512">
        <v>0</v>
      </c>
      <c r="G1512">
        <v>3.7137289336648172E-2</v>
      </c>
      <c r="H1512">
        <v>2.3491949132342471</v>
      </c>
      <c r="I1512">
        <v>2247.4785320000001</v>
      </c>
      <c r="J1512">
        <v>45.875334903349597</v>
      </c>
      <c r="K1512">
        <v>1.1403858802108</v>
      </c>
      <c r="L1512">
        <v>0.47463370240760699</v>
      </c>
      <c r="M1512">
        <v>95.08</v>
      </c>
      <c r="N1512">
        <v>62.7</v>
      </c>
    </row>
    <row r="1513" spans="1:14" x14ac:dyDescent="0.25">
      <c r="A1513" s="1" t="s">
        <v>1525</v>
      </c>
      <c r="B1513" t="str">
        <f>HYPERLINK("https://www.suredividend.com/sure-analysis-research-database/","Sarcos Technology and Robotics Corporation")</f>
        <v>Sarcos Technology and Robotics Corporation</v>
      </c>
      <c r="C1513" t="s">
        <v>1797</v>
      </c>
      <c r="D1513">
        <v>0.68</v>
      </c>
      <c r="E1513">
        <v>0</v>
      </c>
      <c r="F1513" t="s">
        <v>1797</v>
      </c>
      <c r="G1513" t="s">
        <v>1797</v>
      </c>
      <c r="H1513">
        <v>0</v>
      </c>
      <c r="I1513">
        <v>17.611999999999998</v>
      </c>
      <c r="J1513" t="s">
        <v>1797</v>
      </c>
      <c r="K1513">
        <v>0</v>
      </c>
      <c r="L1513">
        <v>1.3028507283674271</v>
      </c>
      <c r="M1513">
        <v>4.76</v>
      </c>
      <c r="N1513">
        <v>0.3982</v>
      </c>
    </row>
    <row r="1514" spans="1:14" x14ac:dyDescent="0.25">
      <c r="A1514" s="1" t="s">
        <v>1526</v>
      </c>
      <c r="B1514" t="str">
        <f>HYPERLINK("https://www.suredividend.com/sure-analysis-research-database/","Sterling Infrastructure Inc")</f>
        <v>Sterling Infrastructure Inc</v>
      </c>
      <c r="C1514" t="s">
        <v>1798</v>
      </c>
      <c r="D1514">
        <v>78.400000000000006</v>
      </c>
      <c r="E1514">
        <v>0</v>
      </c>
      <c r="F1514" t="s">
        <v>1797</v>
      </c>
      <c r="G1514" t="s">
        <v>1797</v>
      </c>
      <c r="H1514">
        <v>0</v>
      </c>
      <c r="I1514">
        <v>2417.7154289999999</v>
      </c>
      <c r="J1514">
        <v>18.568244632009041</v>
      </c>
      <c r="K1514">
        <v>0</v>
      </c>
      <c r="L1514">
        <v>1.058319626114917</v>
      </c>
      <c r="M1514">
        <v>89.8</v>
      </c>
      <c r="N1514">
        <v>30.6</v>
      </c>
    </row>
    <row r="1515" spans="1:14" x14ac:dyDescent="0.25">
      <c r="A1515" s="1" t="s">
        <v>1527</v>
      </c>
      <c r="B1515" t="str">
        <f>HYPERLINK("https://www.suredividend.com/sure-analysis-research-database/","Sutro Biopharma Inc")</f>
        <v>Sutro Biopharma Inc</v>
      </c>
      <c r="C1515" t="s">
        <v>1802</v>
      </c>
      <c r="D1515">
        <v>4</v>
      </c>
      <c r="E1515">
        <v>0</v>
      </c>
      <c r="F1515" t="s">
        <v>1797</v>
      </c>
      <c r="G1515" t="s">
        <v>1797</v>
      </c>
      <c r="H1515">
        <v>0</v>
      </c>
      <c r="I1515">
        <v>243.812816</v>
      </c>
      <c r="J1515" t="s">
        <v>1797</v>
      </c>
      <c r="K1515">
        <v>0</v>
      </c>
      <c r="L1515">
        <v>1.282475166324252</v>
      </c>
      <c r="M1515">
        <v>8.0500000000000007</v>
      </c>
      <c r="N1515">
        <v>2.0099999999999998</v>
      </c>
    </row>
    <row r="1516" spans="1:14" x14ac:dyDescent="0.25">
      <c r="A1516" s="1" t="s">
        <v>1528</v>
      </c>
      <c r="B1516" t="str">
        <f>HYPERLINK("https://www.suredividend.com/sure-analysis-research-database/","Stratus Properties Inc.")</f>
        <v>Stratus Properties Inc.</v>
      </c>
      <c r="C1516" t="s">
        <v>1799</v>
      </c>
      <c r="D1516">
        <v>26.61</v>
      </c>
      <c r="E1516">
        <v>0</v>
      </c>
      <c r="F1516" t="s">
        <v>1797</v>
      </c>
      <c r="G1516" t="s">
        <v>1797</v>
      </c>
      <c r="H1516">
        <v>0</v>
      </c>
      <c r="I1516">
        <v>212.965711</v>
      </c>
      <c r="J1516">
        <v>0</v>
      </c>
      <c r="K1516" t="s">
        <v>1797</v>
      </c>
      <c r="L1516">
        <v>0.73452511557531996</v>
      </c>
      <c r="M1516">
        <v>29.99</v>
      </c>
      <c r="N1516">
        <v>18.55</v>
      </c>
    </row>
    <row r="1517" spans="1:14" x14ac:dyDescent="0.25">
      <c r="A1517" s="1" t="s">
        <v>1529</v>
      </c>
      <c r="B1517" t="str">
        <f>HYPERLINK("https://www.suredividend.com/sure-analysis-research-database/","Summit Materials Inc")</f>
        <v>Summit Materials Inc</v>
      </c>
      <c r="C1517" t="s">
        <v>1808</v>
      </c>
      <c r="D1517">
        <v>35.32</v>
      </c>
      <c r="E1517">
        <v>0</v>
      </c>
      <c r="F1517" t="s">
        <v>1797</v>
      </c>
      <c r="G1517" t="s">
        <v>1797</v>
      </c>
      <c r="H1517">
        <v>0</v>
      </c>
      <c r="I1517">
        <v>4219.347933</v>
      </c>
      <c r="J1517">
        <v>13.49271674935164</v>
      </c>
      <c r="K1517">
        <v>0</v>
      </c>
      <c r="L1517">
        <v>1.2723257908794381</v>
      </c>
      <c r="M1517">
        <v>39.56</v>
      </c>
      <c r="N1517">
        <v>25.43</v>
      </c>
    </row>
    <row r="1518" spans="1:14" x14ac:dyDescent="0.25">
      <c r="A1518" s="1" t="s">
        <v>1530</v>
      </c>
      <c r="B1518" t="str">
        <f>HYPERLINK("https://www.suredividend.com/sure-analysis-research-database/","Sunlight Financial Holdings Inc")</f>
        <v>Sunlight Financial Holdings Inc</v>
      </c>
      <c r="C1518" t="s">
        <v>1797</v>
      </c>
      <c r="D1518">
        <v>1.25</v>
      </c>
      <c r="E1518">
        <v>0</v>
      </c>
      <c r="F1518" t="s">
        <v>1797</v>
      </c>
      <c r="G1518" t="s">
        <v>1797</v>
      </c>
      <c r="H1518">
        <v>0</v>
      </c>
      <c r="I1518">
        <v>0</v>
      </c>
      <c r="J1518">
        <v>0</v>
      </c>
      <c r="K1518" t="s">
        <v>1797</v>
      </c>
    </row>
    <row r="1519" spans="1:14" x14ac:dyDescent="0.25">
      <c r="A1519" s="1" t="s">
        <v>1531</v>
      </c>
      <c r="B1519" t="str">
        <f>HYPERLINK("https://www.suredividend.com/sure-analysis-research-database/","Supernus Pharmaceuticals Inc")</f>
        <v>Supernus Pharmaceuticals Inc</v>
      </c>
      <c r="C1519" t="s">
        <v>1802</v>
      </c>
      <c r="D1519">
        <v>28.24</v>
      </c>
      <c r="E1519">
        <v>0</v>
      </c>
      <c r="F1519" t="s">
        <v>1797</v>
      </c>
      <c r="G1519" t="s">
        <v>1797</v>
      </c>
      <c r="H1519">
        <v>0</v>
      </c>
      <c r="I1519">
        <v>1542.8315990000001</v>
      </c>
      <c r="J1519">
        <v>60.215111985012882</v>
      </c>
      <c r="K1519">
        <v>0</v>
      </c>
      <c r="L1519">
        <v>0.68107329632901503</v>
      </c>
      <c r="M1519">
        <v>42.09</v>
      </c>
      <c r="N1519">
        <v>21.99</v>
      </c>
    </row>
    <row r="1520" spans="1:14" x14ac:dyDescent="0.25">
      <c r="A1520" s="1" t="s">
        <v>1532</v>
      </c>
      <c r="B1520" t="str">
        <f>HYPERLINK("https://www.suredividend.com/sure-analysis-research-database/","Service Properties Trust")</f>
        <v>Service Properties Trust</v>
      </c>
      <c r="C1520" t="s">
        <v>1799</v>
      </c>
      <c r="D1520">
        <v>8.15</v>
      </c>
      <c r="E1520">
        <v>9.2206108678415014E-2</v>
      </c>
      <c r="F1520">
        <v>0</v>
      </c>
      <c r="G1520">
        <v>-0.17709287005834459</v>
      </c>
      <c r="H1520">
        <v>0.75147978572908902</v>
      </c>
      <c r="I1520">
        <v>1351.027456</v>
      </c>
      <c r="J1520" t="s">
        <v>1797</v>
      </c>
      <c r="K1520" t="s">
        <v>1797</v>
      </c>
      <c r="L1520">
        <v>1.241309225977725</v>
      </c>
      <c r="M1520">
        <v>10.25</v>
      </c>
      <c r="N1520">
        <v>6.73</v>
      </c>
    </row>
    <row r="1521" spans="1:14" x14ac:dyDescent="0.25">
      <c r="A1521" s="1" t="s">
        <v>1533</v>
      </c>
      <c r="B1521" t="str">
        <f>HYPERLINK("https://www.suredividend.com/sure-analysis-research-database/","ShockWave Medical Inc")</f>
        <v>ShockWave Medical Inc</v>
      </c>
      <c r="C1521" t="s">
        <v>1802</v>
      </c>
      <c r="D1521">
        <v>216.16</v>
      </c>
      <c r="E1521">
        <v>0</v>
      </c>
      <c r="F1521" t="s">
        <v>1797</v>
      </c>
      <c r="G1521" t="s">
        <v>1797</v>
      </c>
      <c r="H1521">
        <v>0</v>
      </c>
      <c r="I1521">
        <v>7975.6014800000003</v>
      </c>
      <c r="J1521">
        <v>32.70243837234095</v>
      </c>
      <c r="K1521">
        <v>0</v>
      </c>
      <c r="L1521">
        <v>1.386615923608145</v>
      </c>
      <c r="M1521">
        <v>315.95</v>
      </c>
      <c r="N1521">
        <v>157</v>
      </c>
    </row>
    <row r="1522" spans="1:14" x14ac:dyDescent="0.25">
      <c r="A1522" s="1" t="s">
        <v>1534</v>
      </c>
      <c r="B1522" t="str">
        <f>HYPERLINK("https://www.suredividend.com/sure-analysis-research-database/","Smith &amp; Wesson Brands Inc")</f>
        <v>Smith &amp; Wesson Brands Inc</v>
      </c>
      <c r="C1522" t="s">
        <v>1797</v>
      </c>
      <c r="D1522">
        <v>13.5</v>
      </c>
      <c r="E1522">
        <v>3.3336125265196997E-2</v>
      </c>
      <c r="F1522" t="s">
        <v>1797</v>
      </c>
      <c r="G1522" t="s">
        <v>1797</v>
      </c>
      <c r="H1522">
        <v>0.45003769108016511</v>
      </c>
      <c r="I1522">
        <v>616.13123900000005</v>
      </c>
      <c r="J1522">
        <v>20.863173455912229</v>
      </c>
      <c r="K1522">
        <v>0.70627384036435192</v>
      </c>
      <c r="L1522">
        <v>0.39667791253136703</v>
      </c>
      <c r="M1522">
        <v>14.6</v>
      </c>
      <c r="N1522">
        <v>9.36</v>
      </c>
    </row>
    <row r="1523" spans="1:14" x14ac:dyDescent="0.25">
      <c r="A1523" s="1" t="s">
        <v>1535</v>
      </c>
      <c r="B1523" t="str">
        <f>HYPERLINK("https://www.suredividend.com/sure-analysis-research-database/","SolarWinds Corp")</f>
        <v>SolarWinds Corp</v>
      </c>
      <c r="C1523" t="s">
        <v>1803</v>
      </c>
      <c r="D1523">
        <v>11.85</v>
      </c>
      <c r="E1523">
        <v>0</v>
      </c>
      <c r="F1523" t="s">
        <v>1797</v>
      </c>
      <c r="G1523" t="s">
        <v>1797</v>
      </c>
      <c r="H1523">
        <v>0</v>
      </c>
      <c r="I1523">
        <v>1965.27036</v>
      </c>
      <c r="J1523" t="s">
        <v>1797</v>
      </c>
      <c r="K1523">
        <v>0</v>
      </c>
      <c r="L1523">
        <v>1.4521123252491199</v>
      </c>
      <c r="M1523">
        <v>12.55</v>
      </c>
      <c r="N1523">
        <v>8.07</v>
      </c>
    </row>
    <row r="1524" spans="1:14" x14ac:dyDescent="0.25">
      <c r="A1524" s="1" t="s">
        <v>1536</v>
      </c>
      <c r="B1524" t="str">
        <f>HYPERLINK("https://www.suredividend.com/sure-analysis-research-database/","Latham Group Inc")</f>
        <v>Latham Group Inc</v>
      </c>
      <c r="C1524" t="s">
        <v>1797</v>
      </c>
      <c r="D1524">
        <v>2.35</v>
      </c>
      <c r="E1524">
        <v>0</v>
      </c>
      <c r="F1524" t="s">
        <v>1797</v>
      </c>
      <c r="G1524" t="s">
        <v>1797</v>
      </c>
      <c r="H1524">
        <v>0</v>
      </c>
      <c r="I1524">
        <v>269.67647099999999</v>
      </c>
      <c r="J1524" t="s">
        <v>1797</v>
      </c>
      <c r="K1524">
        <v>0</v>
      </c>
      <c r="L1524">
        <v>2.5943630799982671</v>
      </c>
      <c r="M1524">
        <v>4.7699999999999996</v>
      </c>
      <c r="N1524">
        <v>2.04</v>
      </c>
    </row>
    <row r="1525" spans="1:14" x14ac:dyDescent="0.25">
      <c r="A1525" s="1" t="s">
        <v>1537</v>
      </c>
      <c r="B1525" t="str">
        <f>HYPERLINK("https://www.suredividend.com/sure-analysis-research-database/","Swk Holdings Corp")</f>
        <v>Swk Holdings Corp</v>
      </c>
      <c r="C1525" t="s">
        <v>1800</v>
      </c>
      <c r="D1525">
        <v>17.27</v>
      </c>
      <c r="E1525">
        <v>0</v>
      </c>
      <c r="F1525" t="s">
        <v>1797</v>
      </c>
      <c r="G1525" t="s">
        <v>1797</v>
      </c>
      <c r="H1525">
        <v>0</v>
      </c>
      <c r="I1525">
        <v>215.92876200000001</v>
      </c>
      <c r="J1525">
        <v>13.601811748661421</v>
      </c>
      <c r="K1525">
        <v>0</v>
      </c>
      <c r="L1525">
        <v>0.36937563526856398</v>
      </c>
      <c r="M1525">
        <v>19.489999999999998</v>
      </c>
      <c r="N1525">
        <v>15.26</v>
      </c>
    </row>
    <row r="1526" spans="1:14" x14ac:dyDescent="0.25">
      <c r="A1526" s="1" t="s">
        <v>1538</v>
      </c>
      <c r="B1526" t="str">
        <f>HYPERLINK("https://www.suredividend.com/sure-analysis-research-database/","SpringWorks Therapeutics Inc")</f>
        <v>SpringWorks Therapeutics Inc</v>
      </c>
      <c r="C1526" t="s">
        <v>1802</v>
      </c>
      <c r="D1526">
        <v>40.93</v>
      </c>
      <c r="E1526">
        <v>0</v>
      </c>
      <c r="F1526" t="s">
        <v>1797</v>
      </c>
      <c r="G1526" t="s">
        <v>1797</v>
      </c>
      <c r="H1526">
        <v>0</v>
      </c>
      <c r="I1526">
        <v>2561.3534359999999</v>
      </c>
      <c r="J1526">
        <v>0</v>
      </c>
      <c r="K1526" t="s">
        <v>1797</v>
      </c>
      <c r="L1526">
        <v>1.2610066194055669</v>
      </c>
      <c r="M1526">
        <v>42.9</v>
      </c>
      <c r="N1526">
        <v>18</v>
      </c>
    </row>
    <row r="1527" spans="1:14" x14ac:dyDescent="0.25">
      <c r="A1527" s="1" t="s">
        <v>1539</v>
      </c>
      <c r="B1527" t="str">
        <f>HYPERLINK("https://www.suredividend.com/sure-analysis-SWX/","Southwest Gas Holdings Inc")</f>
        <v>Southwest Gas Holdings Inc</v>
      </c>
      <c r="C1527" t="s">
        <v>1805</v>
      </c>
      <c r="D1527">
        <v>61.93</v>
      </c>
      <c r="E1527">
        <v>4.0045212336508963E-2</v>
      </c>
      <c r="F1527">
        <v>0</v>
      </c>
      <c r="G1527">
        <v>3.5804203580214189E-2</v>
      </c>
      <c r="H1527">
        <v>2.4420477575311659</v>
      </c>
      <c r="I1527">
        <v>4429.1732179999999</v>
      </c>
      <c r="J1527" t="s">
        <v>1797</v>
      </c>
      <c r="K1527" t="s">
        <v>1797</v>
      </c>
      <c r="L1527">
        <v>0.73936591025073106</v>
      </c>
      <c r="M1527">
        <v>66.67</v>
      </c>
      <c r="N1527">
        <v>52.14</v>
      </c>
    </row>
    <row r="1528" spans="1:14" x14ac:dyDescent="0.25">
      <c r="A1528" s="1" t="s">
        <v>1540</v>
      </c>
      <c r="B1528" t="str">
        <f>HYPERLINK("https://www.suredividend.com/sure-analysis-research-database/","SunCoke Energy Inc")</f>
        <v>SunCoke Energy Inc</v>
      </c>
      <c r="C1528" t="s">
        <v>1808</v>
      </c>
      <c r="D1528">
        <v>10.56</v>
      </c>
      <c r="E1528">
        <v>3.3563537150575001E-2</v>
      </c>
      <c r="F1528" t="s">
        <v>1797</v>
      </c>
      <c r="G1528" t="s">
        <v>1797</v>
      </c>
      <c r="H1528">
        <v>0.35443095231007798</v>
      </c>
      <c r="I1528">
        <v>884.46565199999998</v>
      </c>
      <c r="J1528">
        <v>15.936318045405409</v>
      </c>
      <c r="K1528">
        <v>0.54252403537437321</v>
      </c>
      <c r="L1528">
        <v>0.8893920350131661</v>
      </c>
      <c r="M1528">
        <v>11.21</v>
      </c>
      <c r="N1528">
        <v>6.56</v>
      </c>
    </row>
    <row r="1529" spans="1:14" x14ac:dyDescent="0.25">
      <c r="A1529" s="1" t="s">
        <v>1541</v>
      </c>
      <c r="B1529" t="str">
        <f>HYPERLINK("https://www.suredividend.com/sure-analysis-SXI/","Standex International Corp.")</f>
        <v>Standex International Corp.</v>
      </c>
      <c r="C1529" t="s">
        <v>1798</v>
      </c>
      <c r="D1529">
        <v>146.91</v>
      </c>
      <c r="E1529">
        <v>8.1682662854809067E-3</v>
      </c>
      <c r="F1529">
        <v>7.1428571428571397E-2</v>
      </c>
      <c r="G1529">
        <v>8.4471771197698553E-2</v>
      </c>
      <c r="H1529">
        <v>1.138427558186446</v>
      </c>
      <c r="I1529">
        <v>1748.1671510000001</v>
      </c>
      <c r="J1529">
        <v>12.528431020596839</v>
      </c>
      <c r="K1529">
        <v>9.7971390549608101E-2</v>
      </c>
      <c r="L1529">
        <v>1.037104584465057</v>
      </c>
      <c r="M1529">
        <v>168.81</v>
      </c>
      <c r="N1529">
        <v>104.07</v>
      </c>
    </row>
    <row r="1530" spans="1:14" x14ac:dyDescent="0.25">
      <c r="A1530" s="1" t="s">
        <v>1542</v>
      </c>
      <c r="B1530" t="str">
        <f>HYPERLINK("https://www.suredividend.com/sure-analysis-SXT/","Sensient Technologies Corp.")</f>
        <v>Sensient Technologies Corp.</v>
      </c>
      <c r="C1530" t="s">
        <v>1808</v>
      </c>
      <c r="D1530">
        <v>62.8</v>
      </c>
      <c r="E1530">
        <v>2.611464968152866E-2</v>
      </c>
      <c r="F1530">
        <v>0</v>
      </c>
      <c r="G1530">
        <v>2.635185407071083E-2</v>
      </c>
      <c r="H1530">
        <v>1.6236176283930801</v>
      </c>
      <c r="I1530">
        <v>2653.2691650000002</v>
      </c>
      <c r="J1530">
        <v>20.672462096799329</v>
      </c>
      <c r="K1530">
        <v>0.53408474618193424</v>
      </c>
      <c r="L1530">
        <v>0.90770800495002713</v>
      </c>
      <c r="M1530">
        <v>77.680000000000007</v>
      </c>
      <c r="N1530">
        <v>52.52</v>
      </c>
    </row>
    <row r="1531" spans="1:14" x14ac:dyDescent="0.25">
      <c r="A1531" s="1" t="s">
        <v>1543</v>
      </c>
      <c r="B1531" t="str">
        <f>HYPERLINK("https://www.suredividend.com/sure-analysis-SYBT/","Stock Yards Bancorp Inc")</f>
        <v>Stock Yards Bancorp Inc</v>
      </c>
      <c r="C1531" t="s">
        <v>1800</v>
      </c>
      <c r="D1531">
        <v>48.575000000000003</v>
      </c>
      <c r="E1531">
        <v>2.4704065877509E-2</v>
      </c>
      <c r="F1531">
        <v>3.4482758620689953E-2</v>
      </c>
      <c r="G1531">
        <v>3.7137289336648172E-2</v>
      </c>
      <c r="H1531">
        <v>1.158799198751546</v>
      </c>
      <c r="I1531">
        <v>1419.5800879999999</v>
      </c>
      <c r="J1531">
        <v>12.49399395798312</v>
      </c>
      <c r="K1531">
        <v>0.29943131750685942</v>
      </c>
      <c r="L1531">
        <v>1.1890019291164129</v>
      </c>
      <c r="M1531">
        <v>60.79</v>
      </c>
      <c r="N1531">
        <v>36.5</v>
      </c>
    </row>
    <row r="1532" spans="1:14" x14ac:dyDescent="0.25">
      <c r="A1532" s="1" t="s">
        <v>1544</v>
      </c>
      <c r="B1532" t="str">
        <f>HYPERLINK("https://www.suredividend.com/sure-analysis-research-database/","Synaptics Inc")</f>
        <v>Synaptics Inc</v>
      </c>
      <c r="C1532" t="s">
        <v>1803</v>
      </c>
      <c r="D1532">
        <v>104.48</v>
      </c>
      <c r="E1532">
        <v>0</v>
      </c>
      <c r="F1532" t="s">
        <v>1797</v>
      </c>
      <c r="G1532" t="s">
        <v>1797</v>
      </c>
      <c r="H1532">
        <v>0</v>
      </c>
      <c r="I1532">
        <v>4095.6102540000002</v>
      </c>
      <c r="J1532" t="s">
        <v>1797</v>
      </c>
      <c r="K1532">
        <v>0</v>
      </c>
      <c r="L1532">
        <v>2.1083091796059268</v>
      </c>
      <c r="M1532">
        <v>142.13999999999999</v>
      </c>
      <c r="N1532">
        <v>67.73</v>
      </c>
    </row>
    <row r="1533" spans="1:14" x14ac:dyDescent="0.25">
      <c r="A1533" s="1" t="s">
        <v>1545</v>
      </c>
      <c r="B1533" t="str">
        <f>HYPERLINK("https://www.suredividend.com/sure-analysis-research-database/","Talos Energy Inc")</f>
        <v>Talos Energy Inc</v>
      </c>
      <c r="C1533" t="s">
        <v>1807</v>
      </c>
      <c r="D1533">
        <v>13.51</v>
      </c>
      <c r="E1533">
        <v>0</v>
      </c>
      <c r="F1533" t="s">
        <v>1797</v>
      </c>
      <c r="G1533" t="s">
        <v>1797</v>
      </c>
      <c r="H1533">
        <v>0</v>
      </c>
      <c r="I1533">
        <v>1676.325677</v>
      </c>
      <c r="J1533">
        <v>16.09004911608308</v>
      </c>
      <c r="K1533">
        <v>0</v>
      </c>
      <c r="L1533">
        <v>1.5055066761923499</v>
      </c>
      <c r="M1533">
        <v>21.51</v>
      </c>
      <c r="N1533">
        <v>10.69</v>
      </c>
    </row>
    <row r="1534" spans="1:14" x14ac:dyDescent="0.25">
      <c r="A1534" s="1" t="s">
        <v>1546</v>
      </c>
      <c r="B1534" t="str">
        <f>HYPERLINK("https://www.suredividend.com/sure-analysis-research-database/","Tarsus Pharmaceuticals Inc")</f>
        <v>Tarsus Pharmaceuticals Inc</v>
      </c>
      <c r="C1534" t="s">
        <v>1797</v>
      </c>
      <c r="D1534">
        <v>22.1</v>
      </c>
      <c r="E1534">
        <v>0</v>
      </c>
      <c r="F1534" t="s">
        <v>1797</v>
      </c>
      <c r="G1534" t="s">
        <v>1797</v>
      </c>
      <c r="H1534">
        <v>0</v>
      </c>
      <c r="I1534">
        <v>731.61192500000004</v>
      </c>
      <c r="J1534" t="s">
        <v>1797</v>
      </c>
      <c r="K1534">
        <v>0</v>
      </c>
      <c r="L1534">
        <v>0.83738008027849009</v>
      </c>
      <c r="M1534">
        <v>25.25</v>
      </c>
      <c r="N1534">
        <v>11.33</v>
      </c>
    </row>
    <row r="1535" spans="1:14" x14ac:dyDescent="0.25">
      <c r="A1535" s="1" t="s">
        <v>1547</v>
      </c>
      <c r="B1535" t="str">
        <f>HYPERLINK("https://www.suredividend.com/sure-analysis-research-database/","Bancorp Inc. (The)")</f>
        <v>Bancorp Inc. (The)</v>
      </c>
      <c r="C1535" t="s">
        <v>1800</v>
      </c>
      <c r="D1535">
        <v>38.54</v>
      </c>
      <c r="E1535">
        <v>0</v>
      </c>
      <c r="F1535" t="s">
        <v>1797</v>
      </c>
      <c r="G1535" t="s">
        <v>1797</v>
      </c>
      <c r="H1535">
        <v>0</v>
      </c>
      <c r="I1535">
        <v>2067.8919879999999</v>
      </c>
      <c r="J1535">
        <v>10.969725521646181</v>
      </c>
      <c r="K1535">
        <v>0</v>
      </c>
      <c r="L1535">
        <v>1.913770864507655</v>
      </c>
      <c r="M1535">
        <v>42.46</v>
      </c>
      <c r="N1535">
        <v>25.13</v>
      </c>
    </row>
    <row r="1536" spans="1:14" x14ac:dyDescent="0.25">
      <c r="A1536" s="1" t="s">
        <v>1548</v>
      </c>
      <c r="B1536" t="str">
        <f>HYPERLINK("https://www.suredividend.com/sure-analysis-research-database/","TrueBlue Inc")</f>
        <v>TrueBlue Inc</v>
      </c>
      <c r="C1536" t="s">
        <v>1798</v>
      </c>
      <c r="D1536">
        <v>14.01</v>
      </c>
      <c r="E1536">
        <v>0</v>
      </c>
      <c r="F1536" t="s">
        <v>1797</v>
      </c>
      <c r="G1536" t="s">
        <v>1797</v>
      </c>
      <c r="H1536">
        <v>0</v>
      </c>
      <c r="I1536">
        <v>436.26784099999998</v>
      </c>
      <c r="J1536" t="s">
        <v>1797</v>
      </c>
      <c r="K1536">
        <v>0</v>
      </c>
      <c r="L1536">
        <v>0.70465619775367505</v>
      </c>
      <c r="M1536">
        <v>20.52</v>
      </c>
      <c r="N1536">
        <v>10.15</v>
      </c>
    </row>
    <row r="1537" spans="1:14" x14ac:dyDescent="0.25">
      <c r="A1537" s="1" t="s">
        <v>1549</v>
      </c>
      <c r="B1537" t="str">
        <f>HYPERLINK("https://www.suredividend.com/sure-analysis-research-database/","Theravance Biopharma Inc")</f>
        <v>Theravance Biopharma Inc</v>
      </c>
      <c r="C1537" t="s">
        <v>1802</v>
      </c>
      <c r="D1537">
        <v>9.83</v>
      </c>
      <c r="E1537">
        <v>0</v>
      </c>
      <c r="F1537" t="s">
        <v>1797</v>
      </c>
      <c r="G1537" t="s">
        <v>1797</v>
      </c>
      <c r="H1537">
        <v>0</v>
      </c>
      <c r="I1537">
        <v>489.51302299999998</v>
      </c>
      <c r="J1537" t="s">
        <v>1797</v>
      </c>
      <c r="K1537">
        <v>0</v>
      </c>
      <c r="L1537">
        <v>0.63073955624455702</v>
      </c>
      <c r="M1537">
        <v>12.03</v>
      </c>
      <c r="N1537">
        <v>8.25</v>
      </c>
    </row>
    <row r="1538" spans="1:14" x14ac:dyDescent="0.25">
      <c r="A1538" s="1" t="s">
        <v>1550</v>
      </c>
      <c r="B1538" t="str">
        <f>HYPERLINK("https://www.suredividend.com/sure-analysis-research-database/","Texas Capital Bancshares, Inc.")</f>
        <v>Texas Capital Bancshares, Inc.</v>
      </c>
      <c r="C1538" t="s">
        <v>1800</v>
      </c>
      <c r="D1538">
        <v>62.58</v>
      </c>
      <c r="E1538">
        <v>0</v>
      </c>
      <c r="F1538" t="s">
        <v>1797</v>
      </c>
      <c r="G1538" t="s">
        <v>1797</v>
      </c>
      <c r="H1538">
        <v>0</v>
      </c>
      <c r="I1538">
        <v>3005.1196359999999</v>
      </c>
      <c r="J1538">
        <v>8.1441322192351056</v>
      </c>
      <c r="K1538">
        <v>0</v>
      </c>
      <c r="L1538">
        <v>1.567267621192092</v>
      </c>
      <c r="M1538">
        <v>69.27</v>
      </c>
      <c r="N1538">
        <v>42.79</v>
      </c>
    </row>
    <row r="1539" spans="1:14" x14ac:dyDescent="0.25">
      <c r="A1539" s="1" t="s">
        <v>1551</v>
      </c>
      <c r="B1539" t="str">
        <f>HYPERLINK("https://www.suredividend.com/sure-analysis-research-database/","Trico Bancshares")</f>
        <v>Trico Bancshares</v>
      </c>
      <c r="C1539" t="s">
        <v>1800</v>
      </c>
      <c r="D1539">
        <v>39.86</v>
      </c>
      <c r="E1539">
        <v>2.9373688863736001E-2</v>
      </c>
      <c r="F1539">
        <v>0</v>
      </c>
      <c r="G1539">
        <v>9.5654257747853855E-2</v>
      </c>
      <c r="H1539">
        <v>1.170835238108539</v>
      </c>
      <c r="I1539">
        <v>1326.066546</v>
      </c>
      <c r="J1539">
        <v>10.38764938914913</v>
      </c>
      <c r="K1539">
        <v>0.30650137123260179</v>
      </c>
      <c r="L1539">
        <v>1.374558837941227</v>
      </c>
      <c r="M1539">
        <v>49.78</v>
      </c>
      <c r="N1539">
        <v>27.28</v>
      </c>
    </row>
    <row r="1540" spans="1:14" x14ac:dyDescent="0.25">
      <c r="A1540" s="1" t="s">
        <v>1552</v>
      </c>
      <c r="B1540" t="str">
        <f>HYPERLINK("https://www.suredividend.com/sure-analysis-research-database/","Third Coast Bancshares Inc")</f>
        <v>Third Coast Bancshares Inc</v>
      </c>
      <c r="C1540" t="s">
        <v>1797</v>
      </c>
      <c r="D1540">
        <v>19.05</v>
      </c>
      <c r="E1540">
        <v>0</v>
      </c>
      <c r="F1540" t="s">
        <v>1797</v>
      </c>
      <c r="G1540" t="s">
        <v>1797</v>
      </c>
      <c r="H1540">
        <v>0</v>
      </c>
      <c r="I1540">
        <v>259.16517299999998</v>
      </c>
      <c r="J1540">
        <v>9.8616884531963471</v>
      </c>
      <c r="K1540">
        <v>0</v>
      </c>
      <c r="L1540">
        <v>1.4190218020438461</v>
      </c>
      <c r="M1540">
        <v>21.5</v>
      </c>
      <c r="N1540">
        <v>12.31</v>
      </c>
    </row>
    <row r="1541" spans="1:14" x14ac:dyDescent="0.25">
      <c r="A1541" s="1" t="s">
        <v>1553</v>
      </c>
      <c r="B1541" t="str">
        <f>HYPERLINK("https://www.suredividend.com/sure-analysis-research-database/","Transcontinental Realty Investors, Inc.")</f>
        <v>Transcontinental Realty Investors, Inc.</v>
      </c>
      <c r="C1541" t="s">
        <v>1799</v>
      </c>
      <c r="D1541">
        <v>39.549999999999997</v>
      </c>
      <c r="E1541">
        <v>0</v>
      </c>
      <c r="F1541" t="s">
        <v>1797</v>
      </c>
      <c r="G1541" t="s">
        <v>1797</v>
      </c>
      <c r="H1541">
        <v>0</v>
      </c>
      <c r="I1541">
        <v>341.68494800000002</v>
      </c>
      <c r="J1541">
        <v>5.0660520683213237</v>
      </c>
      <c r="K1541">
        <v>0</v>
      </c>
      <c r="L1541">
        <v>0.51808380813710608</v>
      </c>
      <c r="M1541">
        <v>47.35</v>
      </c>
      <c r="N1541">
        <v>27.23</v>
      </c>
    </row>
    <row r="1542" spans="1:14" x14ac:dyDescent="0.25">
      <c r="A1542" s="1" t="s">
        <v>1554</v>
      </c>
      <c r="B1542" t="str">
        <f>HYPERLINK("https://www.suredividend.com/sure-analysis-research-database/","Tactile Systems Technology Inc")</f>
        <v>Tactile Systems Technology Inc</v>
      </c>
      <c r="C1542" t="s">
        <v>1802</v>
      </c>
      <c r="D1542">
        <v>14.29</v>
      </c>
      <c r="E1542">
        <v>0</v>
      </c>
      <c r="F1542" t="s">
        <v>1797</v>
      </c>
      <c r="G1542" t="s">
        <v>1797</v>
      </c>
      <c r="H1542">
        <v>0</v>
      </c>
      <c r="I1542">
        <v>335.78008999999997</v>
      </c>
      <c r="J1542">
        <v>13.466755816555709</v>
      </c>
      <c r="K1542">
        <v>0</v>
      </c>
      <c r="L1542">
        <v>1.226248489024232</v>
      </c>
      <c r="M1542">
        <v>26.11</v>
      </c>
      <c r="N1542">
        <v>9.6999999999999993</v>
      </c>
    </row>
    <row r="1543" spans="1:14" x14ac:dyDescent="0.25">
      <c r="A1543" s="1" t="s">
        <v>1555</v>
      </c>
      <c r="B1543" t="str">
        <f>HYPERLINK("https://www.suredividend.com/sure-analysis-research-database/","Container Store Group Inc")</f>
        <v>Container Store Group Inc</v>
      </c>
      <c r="C1543" t="s">
        <v>1801</v>
      </c>
      <c r="D1543">
        <v>1.71</v>
      </c>
      <c r="E1543">
        <v>0</v>
      </c>
      <c r="F1543" t="s">
        <v>1797</v>
      </c>
      <c r="G1543" t="s">
        <v>1797</v>
      </c>
      <c r="H1543">
        <v>0</v>
      </c>
      <c r="I1543">
        <v>88.444844000000003</v>
      </c>
      <c r="J1543" t="s">
        <v>1797</v>
      </c>
      <c r="K1543">
        <v>0</v>
      </c>
      <c r="L1543">
        <v>1.664816765767607</v>
      </c>
      <c r="M1543">
        <v>5.8</v>
      </c>
      <c r="N1543">
        <v>1.56</v>
      </c>
    </row>
    <row r="1544" spans="1:14" x14ac:dyDescent="0.25">
      <c r="A1544" s="1" t="s">
        <v>1556</v>
      </c>
      <c r="B1544" t="str">
        <f>HYPERLINK("https://www.suredividend.com/sure-analysis-research-database/","Tucows, Inc.")</f>
        <v>Tucows, Inc.</v>
      </c>
      <c r="C1544" t="s">
        <v>1803</v>
      </c>
      <c r="D1544">
        <v>22.02</v>
      </c>
      <c r="E1544">
        <v>0</v>
      </c>
      <c r="F1544" t="s">
        <v>1797</v>
      </c>
      <c r="G1544" t="s">
        <v>1797</v>
      </c>
      <c r="H1544">
        <v>0</v>
      </c>
      <c r="I1544">
        <v>239.91186400000001</v>
      </c>
      <c r="J1544" t="s">
        <v>1797</v>
      </c>
      <c r="K1544">
        <v>0</v>
      </c>
      <c r="L1544">
        <v>2.0200052670996418</v>
      </c>
      <c r="M1544">
        <v>36.950000000000003</v>
      </c>
      <c r="N1544">
        <v>15.65</v>
      </c>
    </row>
    <row r="1545" spans="1:14" x14ac:dyDescent="0.25">
      <c r="A1545" s="1" t="s">
        <v>1557</v>
      </c>
      <c r="B1545" t="str">
        <f>HYPERLINK("https://www.suredividend.com/sure-analysis-TDS/","Telephone And Data Systems, Inc.")</f>
        <v>Telephone And Data Systems, Inc.</v>
      </c>
      <c r="C1545" t="s">
        <v>1806</v>
      </c>
      <c r="D1545">
        <v>18.329999999999998</v>
      </c>
      <c r="E1545">
        <v>4.0370976541189312E-2</v>
      </c>
      <c r="F1545">
        <v>2.7777777777777901E-2</v>
      </c>
      <c r="G1545">
        <v>2.314587308046168E-2</v>
      </c>
      <c r="H1545">
        <v>0.7262469628896141</v>
      </c>
      <c r="I1545">
        <v>1942.98</v>
      </c>
      <c r="J1545" t="s">
        <v>1797</v>
      </c>
      <c r="K1545" t="s">
        <v>1797</v>
      </c>
      <c r="L1545">
        <v>0.60922629305756903</v>
      </c>
      <c r="M1545">
        <v>21.31</v>
      </c>
      <c r="N1545">
        <v>6.15</v>
      </c>
    </row>
    <row r="1546" spans="1:14" x14ac:dyDescent="0.25">
      <c r="A1546" s="1" t="s">
        <v>1558</v>
      </c>
      <c r="B1546" t="str">
        <f>HYPERLINK("https://www.suredividend.com/sure-analysis-research-database/","ThredUp Inc")</f>
        <v>ThredUp Inc</v>
      </c>
      <c r="C1546" t="s">
        <v>1797</v>
      </c>
      <c r="D1546">
        <v>2.06</v>
      </c>
      <c r="E1546">
        <v>0</v>
      </c>
      <c r="F1546" t="s">
        <v>1797</v>
      </c>
      <c r="G1546" t="s">
        <v>1797</v>
      </c>
      <c r="H1546">
        <v>0</v>
      </c>
      <c r="I1546">
        <v>159.21946</v>
      </c>
      <c r="J1546" t="s">
        <v>1797</v>
      </c>
      <c r="K1546">
        <v>0</v>
      </c>
      <c r="L1546">
        <v>1.9531710517918659</v>
      </c>
      <c r="M1546">
        <v>4.3899999999999997</v>
      </c>
      <c r="N1546">
        <v>1.32</v>
      </c>
    </row>
    <row r="1547" spans="1:14" x14ac:dyDescent="0.25">
      <c r="A1547" s="1" t="s">
        <v>1559</v>
      </c>
      <c r="B1547" t="str">
        <f>HYPERLINK("https://www.suredividend.com/sure-analysis-research-database/","Tidewater Inc.")</f>
        <v>Tidewater Inc.</v>
      </c>
      <c r="C1547" t="s">
        <v>1807</v>
      </c>
      <c r="D1547">
        <v>65.7</v>
      </c>
      <c r="E1547">
        <v>0</v>
      </c>
      <c r="F1547" t="s">
        <v>1797</v>
      </c>
      <c r="G1547" t="s">
        <v>1797</v>
      </c>
      <c r="H1547">
        <v>0</v>
      </c>
      <c r="I1547">
        <v>3471.7087569999999</v>
      </c>
      <c r="J1547">
        <v>49.496140012261023</v>
      </c>
      <c r="K1547">
        <v>0</v>
      </c>
      <c r="L1547">
        <v>0.91778327046673602</v>
      </c>
      <c r="M1547">
        <v>77.53</v>
      </c>
      <c r="N1547">
        <v>37.76</v>
      </c>
    </row>
    <row r="1548" spans="1:14" x14ac:dyDescent="0.25">
      <c r="A1548" s="1" t="s">
        <v>1560</v>
      </c>
      <c r="B1548" t="str">
        <f>HYPERLINK("https://www.suredividend.com/sure-analysis-research-database/","Tellurian Inc")</f>
        <v>Tellurian Inc</v>
      </c>
      <c r="C1548" t="s">
        <v>1807</v>
      </c>
      <c r="D1548">
        <v>0.6794</v>
      </c>
      <c r="E1548">
        <v>0</v>
      </c>
      <c r="F1548" t="s">
        <v>1797</v>
      </c>
      <c r="G1548" t="s">
        <v>1797</v>
      </c>
      <c r="H1548">
        <v>0</v>
      </c>
      <c r="I1548">
        <v>431.31190199999998</v>
      </c>
      <c r="J1548" t="s">
        <v>1797</v>
      </c>
      <c r="K1548">
        <v>0</v>
      </c>
      <c r="L1548">
        <v>2.0605613905885138</v>
      </c>
      <c r="M1548">
        <v>2.14</v>
      </c>
      <c r="N1548">
        <v>0.48309999999999997</v>
      </c>
    </row>
    <row r="1549" spans="1:14" x14ac:dyDescent="0.25">
      <c r="A1549" s="1" t="s">
        <v>1561</v>
      </c>
      <c r="B1549" t="str">
        <f>HYPERLINK("https://www.suredividend.com/sure-analysis-research-database/","Tenable Holdings Inc")</f>
        <v>Tenable Holdings Inc</v>
      </c>
      <c r="C1549" t="s">
        <v>1803</v>
      </c>
      <c r="D1549">
        <v>47.06</v>
      </c>
      <c r="E1549">
        <v>0</v>
      </c>
      <c r="F1549" t="s">
        <v>1797</v>
      </c>
      <c r="G1549" t="s">
        <v>1797</v>
      </c>
      <c r="H1549">
        <v>0</v>
      </c>
      <c r="I1549">
        <v>5502.9578529999999</v>
      </c>
      <c r="J1549" t="s">
        <v>1797</v>
      </c>
      <c r="K1549">
        <v>0</v>
      </c>
      <c r="L1549">
        <v>1.366806976933616</v>
      </c>
      <c r="M1549">
        <v>49.77</v>
      </c>
      <c r="N1549">
        <v>33.85</v>
      </c>
    </row>
    <row r="1550" spans="1:14" x14ac:dyDescent="0.25">
      <c r="A1550" s="1" t="s">
        <v>1562</v>
      </c>
      <c r="B1550" t="str">
        <f>HYPERLINK("https://www.suredividend.com/sure-analysis-research-database/","Terex Corp.")</f>
        <v>Terex Corp.</v>
      </c>
      <c r="C1550" t="s">
        <v>1798</v>
      </c>
      <c r="D1550">
        <v>57.18</v>
      </c>
      <c r="E1550">
        <v>1.1149164331637E-2</v>
      </c>
      <c r="F1550" t="s">
        <v>1797</v>
      </c>
      <c r="G1550" t="s">
        <v>1797</v>
      </c>
      <c r="H1550">
        <v>0.63750921648302106</v>
      </c>
      <c r="I1550">
        <v>3848.2139999999999</v>
      </c>
      <c r="J1550">
        <v>7.9607240380637148</v>
      </c>
      <c r="K1550">
        <v>9.0426839217449803E-2</v>
      </c>
      <c r="L1550">
        <v>1.659615528198658</v>
      </c>
      <c r="M1550">
        <v>65.23</v>
      </c>
      <c r="N1550">
        <v>41.63</v>
      </c>
    </row>
    <row r="1551" spans="1:14" x14ac:dyDescent="0.25">
      <c r="A1551" s="1" t="s">
        <v>1563</v>
      </c>
      <c r="B1551" t="str">
        <f>HYPERLINK("https://www.suredividend.com/sure-analysis-research-database/","Triumph Financial Inc")</f>
        <v>Triumph Financial Inc</v>
      </c>
      <c r="C1551" t="s">
        <v>1797</v>
      </c>
      <c r="D1551">
        <v>75.010000000000005</v>
      </c>
      <c r="E1551">
        <v>0</v>
      </c>
      <c r="F1551" t="s">
        <v>1797</v>
      </c>
      <c r="G1551" t="s">
        <v>1797</v>
      </c>
      <c r="H1551">
        <v>0</v>
      </c>
      <c r="I1551">
        <v>1747.1112419999999</v>
      </c>
      <c r="J1551">
        <v>38.139039099521931</v>
      </c>
      <c r="K1551">
        <v>0</v>
      </c>
      <c r="L1551">
        <v>1.579882278435724</v>
      </c>
      <c r="M1551">
        <v>81.64</v>
      </c>
      <c r="N1551">
        <v>46.37</v>
      </c>
    </row>
    <row r="1552" spans="1:14" x14ac:dyDescent="0.25">
      <c r="A1552" s="1" t="s">
        <v>1564</v>
      </c>
      <c r="B1552" t="str">
        <f>HYPERLINK("https://www.suredividend.com/sure-analysis-research-database/","Fresh Market Holdings Inc (The)")</f>
        <v>Fresh Market Holdings Inc (The)</v>
      </c>
      <c r="C1552" t="s">
        <v>1797</v>
      </c>
      <c r="E1552">
        <v>0</v>
      </c>
      <c r="F1552" t="s">
        <v>1797</v>
      </c>
      <c r="G1552" t="s">
        <v>1797</v>
      </c>
      <c r="H1552">
        <v>0</v>
      </c>
      <c r="I1552">
        <v>0</v>
      </c>
      <c r="J1552">
        <v>0</v>
      </c>
      <c r="K1552" t="s">
        <v>1797</v>
      </c>
    </row>
    <row r="1553" spans="1:14" x14ac:dyDescent="0.25">
      <c r="A1553" s="1" t="s">
        <v>1565</v>
      </c>
      <c r="B1553" t="str">
        <f>HYPERLINK("https://www.suredividend.com/sure-analysis-research-database/","Tredegar Corp.")</f>
        <v>Tredegar Corp.</v>
      </c>
      <c r="C1553" t="s">
        <v>1808</v>
      </c>
      <c r="D1553">
        <v>5.17</v>
      </c>
      <c r="E1553">
        <v>4.9780214988430001E-2</v>
      </c>
      <c r="F1553" t="s">
        <v>1797</v>
      </c>
      <c r="G1553" t="s">
        <v>1797</v>
      </c>
      <c r="H1553">
        <v>0.257363711490187</v>
      </c>
      <c r="I1553">
        <v>177.89265800000001</v>
      </c>
      <c r="J1553" t="s">
        <v>1797</v>
      </c>
      <c r="K1553" t="s">
        <v>1797</v>
      </c>
      <c r="L1553">
        <v>1.015880059561185</v>
      </c>
      <c r="M1553">
        <v>12.08</v>
      </c>
      <c r="N1553">
        <v>4.3499999999999996</v>
      </c>
    </row>
    <row r="1554" spans="1:14" x14ac:dyDescent="0.25">
      <c r="A1554" s="1" t="s">
        <v>1566</v>
      </c>
      <c r="B1554" t="str">
        <f>HYPERLINK("https://www.suredividend.com/sure-analysis-research-database/","Transphorm Inc")</f>
        <v>Transphorm Inc</v>
      </c>
      <c r="C1554" t="s">
        <v>1797</v>
      </c>
      <c r="D1554">
        <v>4.8</v>
      </c>
      <c r="E1554">
        <v>0</v>
      </c>
      <c r="F1554" t="s">
        <v>1797</v>
      </c>
      <c r="G1554" t="s">
        <v>1797</v>
      </c>
      <c r="H1554">
        <v>0</v>
      </c>
      <c r="I1554">
        <v>297.40800000000002</v>
      </c>
      <c r="J1554" t="s">
        <v>1797</v>
      </c>
      <c r="K1554">
        <v>0</v>
      </c>
      <c r="L1554">
        <v>1.803720146664372</v>
      </c>
      <c r="M1554">
        <v>5.54</v>
      </c>
      <c r="N1554">
        <v>1.94</v>
      </c>
    </row>
    <row r="1555" spans="1:14" x14ac:dyDescent="0.25">
      <c r="A1555" s="1" t="s">
        <v>1567</v>
      </c>
      <c r="B1555" t="str">
        <f>HYPERLINK("https://www.suredividend.com/sure-analysis-research-database/","Textainer Group Holdings Limited")</f>
        <v>Textainer Group Holdings Limited</v>
      </c>
      <c r="C1555" t="s">
        <v>1798</v>
      </c>
      <c r="D1555">
        <v>49.44</v>
      </c>
      <c r="E1555">
        <v>2.4020304116068002E-2</v>
      </c>
      <c r="F1555" t="s">
        <v>1797</v>
      </c>
      <c r="G1555" t="s">
        <v>1797</v>
      </c>
      <c r="H1555">
        <v>1.1875638354984339</v>
      </c>
      <c r="I1555">
        <v>2096.1209789999998</v>
      </c>
      <c r="J1555">
        <v>9.9112529699416996</v>
      </c>
      <c r="K1555">
        <v>0.24335324497918731</v>
      </c>
      <c r="L1555">
        <v>0.535331109660237</v>
      </c>
      <c r="M1555">
        <v>49.5</v>
      </c>
      <c r="N1555">
        <v>29.56</v>
      </c>
    </row>
    <row r="1556" spans="1:14" x14ac:dyDescent="0.25">
      <c r="A1556" s="1" t="s">
        <v>1568</v>
      </c>
      <c r="B1556" t="str">
        <f>HYPERLINK("https://www.suredividend.com/sure-analysis-research-database/","Triumph Group Inc.")</f>
        <v>Triumph Group Inc.</v>
      </c>
      <c r="C1556" t="s">
        <v>1798</v>
      </c>
      <c r="D1556">
        <v>15.27</v>
      </c>
      <c r="E1556">
        <v>0</v>
      </c>
      <c r="F1556" t="s">
        <v>1797</v>
      </c>
      <c r="G1556" t="s">
        <v>1797</v>
      </c>
      <c r="H1556">
        <v>0</v>
      </c>
      <c r="I1556">
        <v>1173.5902189999999</v>
      </c>
      <c r="J1556" t="s">
        <v>1797</v>
      </c>
      <c r="K1556">
        <v>0</v>
      </c>
      <c r="L1556">
        <v>1.7272563168526669</v>
      </c>
      <c r="M1556">
        <v>17.27</v>
      </c>
      <c r="N1556">
        <v>7</v>
      </c>
    </row>
    <row r="1557" spans="1:14" x14ac:dyDescent="0.25">
      <c r="A1557" s="1" t="s">
        <v>1569</v>
      </c>
      <c r="B1557" t="str">
        <f>HYPERLINK("https://www.suredividend.com/sure-analysis-research-database/","TEGNA Inc")</f>
        <v>TEGNA Inc</v>
      </c>
      <c r="C1557" t="s">
        <v>1806</v>
      </c>
      <c r="D1557">
        <v>15.55</v>
      </c>
      <c r="E1557">
        <v>2.672577112749E-2</v>
      </c>
      <c r="F1557">
        <v>0.19736842105263161</v>
      </c>
      <c r="G1557">
        <v>0.10197228772148011</v>
      </c>
      <c r="H1557">
        <v>0.41558574103247597</v>
      </c>
      <c r="I1557">
        <v>3062.85142</v>
      </c>
      <c r="J1557">
        <v>4.9465293807898041</v>
      </c>
      <c r="K1557">
        <v>0.1458195582570091</v>
      </c>
      <c r="L1557">
        <v>0.60319703819486803</v>
      </c>
      <c r="M1557">
        <v>21.88</v>
      </c>
      <c r="N1557">
        <v>13.66</v>
      </c>
    </row>
    <row r="1558" spans="1:14" x14ac:dyDescent="0.25">
      <c r="A1558" s="1" t="s">
        <v>1570</v>
      </c>
      <c r="B1558" t="str">
        <f>HYPERLINK("https://www.suredividend.com/sure-analysis-research-database/","TG Therapeutics Inc")</f>
        <v>TG Therapeutics Inc</v>
      </c>
      <c r="C1558" t="s">
        <v>1802</v>
      </c>
      <c r="D1558">
        <v>15.77</v>
      </c>
      <c r="E1558">
        <v>0</v>
      </c>
      <c r="F1558" t="s">
        <v>1797</v>
      </c>
      <c r="G1558" t="s">
        <v>1797</v>
      </c>
      <c r="H1558">
        <v>0</v>
      </c>
      <c r="I1558">
        <v>2387.7368510000001</v>
      </c>
      <c r="J1558" t="s">
        <v>1797</v>
      </c>
      <c r="K1558">
        <v>0</v>
      </c>
      <c r="L1558">
        <v>1.883319470889155</v>
      </c>
      <c r="M1558">
        <v>35.67</v>
      </c>
      <c r="N1558">
        <v>6.46</v>
      </c>
    </row>
    <row r="1559" spans="1:14" x14ac:dyDescent="0.25">
      <c r="A1559" s="1" t="s">
        <v>1571</v>
      </c>
      <c r="B1559" t="str">
        <f>HYPERLINK("https://www.suredividend.com/sure-analysis-research-database/","Target Hospitality Corp")</f>
        <v>Target Hospitality Corp</v>
      </c>
      <c r="C1559" t="s">
        <v>1807</v>
      </c>
      <c r="D1559">
        <v>9.24</v>
      </c>
      <c r="E1559">
        <v>0</v>
      </c>
      <c r="F1559" t="s">
        <v>1797</v>
      </c>
      <c r="G1559" t="s">
        <v>1797</v>
      </c>
      <c r="H1559">
        <v>0</v>
      </c>
      <c r="I1559">
        <v>939.35143800000003</v>
      </c>
      <c r="J1559">
        <v>5.6104464438060324</v>
      </c>
      <c r="K1559">
        <v>0</v>
      </c>
      <c r="L1559">
        <v>-5.7119936650540009E-3</v>
      </c>
      <c r="M1559">
        <v>18.25</v>
      </c>
      <c r="N1559">
        <v>8.85</v>
      </c>
    </row>
    <row r="1560" spans="1:14" x14ac:dyDescent="0.25">
      <c r="A1560" s="1" t="s">
        <v>1572</v>
      </c>
      <c r="B1560" t="str">
        <f>HYPERLINK("https://www.suredividend.com/sure-analysis-THFF/","First Financial Corp. - Indiana")</f>
        <v>First Financial Corp. - Indiana</v>
      </c>
      <c r="C1560" t="s">
        <v>1800</v>
      </c>
      <c r="D1560">
        <v>40.729999999999997</v>
      </c>
      <c r="E1560">
        <v>4.4193469187331212E-2</v>
      </c>
      <c r="F1560" t="s">
        <v>1797</v>
      </c>
      <c r="G1560" t="s">
        <v>1797</v>
      </c>
      <c r="H1560">
        <v>0.97909253113914507</v>
      </c>
      <c r="I1560">
        <v>478.76192500000002</v>
      </c>
      <c r="J1560">
        <v>7.3913810606271122</v>
      </c>
      <c r="K1560">
        <v>0.1813134316924343</v>
      </c>
      <c r="L1560">
        <v>1.0097703141485219</v>
      </c>
      <c r="M1560">
        <v>44</v>
      </c>
      <c r="N1560">
        <v>29.45</v>
      </c>
    </row>
    <row r="1561" spans="1:14" x14ac:dyDescent="0.25">
      <c r="A1561" s="1" t="s">
        <v>1573</v>
      </c>
      <c r="B1561" t="str">
        <f>HYPERLINK("https://www.suredividend.com/sure-analysis-research-database/","Thermon Group Holdings Inc")</f>
        <v>Thermon Group Holdings Inc</v>
      </c>
      <c r="C1561" t="s">
        <v>1798</v>
      </c>
      <c r="D1561">
        <v>31.08</v>
      </c>
      <c r="E1561">
        <v>0</v>
      </c>
      <c r="F1561" t="s">
        <v>1797</v>
      </c>
      <c r="G1561" t="s">
        <v>1797</v>
      </c>
      <c r="H1561">
        <v>0</v>
      </c>
      <c r="I1561">
        <v>1047.2953010000001</v>
      </c>
      <c r="J1561">
        <v>25.058508417476201</v>
      </c>
      <c r="K1561">
        <v>0</v>
      </c>
      <c r="L1561">
        <v>1.1180147943724701</v>
      </c>
      <c r="M1561">
        <v>33.619999999999997</v>
      </c>
      <c r="N1561">
        <v>20.56</v>
      </c>
    </row>
    <row r="1562" spans="1:14" x14ac:dyDescent="0.25">
      <c r="A1562" s="1" t="s">
        <v>1574</v>
      </c>
      <c r="B1562" t="str">
        <f>HYPERLINK("https://www.suredividend.com/sure-analysis-research-database/","Third Harmonic Bio Inc")</f>
        <v>Third Harmonic Bio Inc</v>
      </c>
      <c r="C1562" t="s">
        <v>1797</v>
      </c>
      <c r="D1562">
        <v>10.58</v>
      </c>
      <c r="E1562">
        <v>0</v>
      </c>
      <c r="F1562" t="s">
        <v>1797</v>
      </c>
      <c r="G1562" t="s">
        <v>1797</v>
      </c>
      <c r="H1562">
        <v>0</v>
      </c>
      <c r="I1562">
        <v>427.03601200000003</v>
      </c>
      <c r="J1562">
        <v>0</v>
      </c>
      <c r="K1562" t="s">
        <v>1797</v>
      </c>
      <c r="L1562">
        <v>0.31909922789678902</v>
      </c>
      <c r="M1562">
        <v>11.6</v>
      </c>
      <c r="N1562">
        <v>3.75</v>
      </c>
    </row>
    <row r="1563" spans="1:14" x14ac:dyDescent="0.25">
      <c r="A1563" s="1" t="s">
        <v>1575</v>
      </c>
      <c r="B1563" t="str">
        <f>HYPERLINK("https://www.suredividend.com/sure-analysis-research-database/","Gentherm Inc")</f>
        <v>Gentherm Inc</v>
      </c>
      <c r="C1563" t="s">
        <v>1801</v>
      </c>
      <c r="D1563">
        <v>47.8</v>
      </c>
      <c r="E1563">
        <v>0</v>
      </c>
      <c r="F1563" t="s">
        <v>1797</v>
      </c>
      <c r="G1563" t="s">
        <v>1797</v>
      </c>
      <c r="H1563">
        <v>0</v>
      </c>
      <c r="I1563">
        <v>1567.6629969999999</v>
      </c>
      <c r="J1563">
        <v>86.846324115007477</v>
      </c>
      <c r="K1563">
        <v>0</v>
      </c>
      <c r="L1563">
        <v>1.4642916477710199</v>
      </c>
      <c r="M1563">
        <v>76.13</v>
      </c>
      <c r="N1563">
        <v>38.21</v>
      </c>
    </row>
    <row r="1564" spans="1:14" x14ac:dyDescent="0.25">
      <c r="A1564" s="1" t="s">
        <v>1576</v>
      </c>
      <c r="B1564" t="str">
        <f>HYPERLINK("https://www.suredividend.com/sure-analysis-research-database/","Thorne Healthtech Inc")</f>
        <v>Thorne Healthtech Inc</v>
      </c>
      <c r="C1564" t="s">
        <v>1797</v>
      </c>
      <c r="D1564">
        <v>10.19</v>
      </c>
      <c r="E1564">
        <v>0</v>
      </c>
      <c r="F1564" t="s">
        <v>1797</v>
      </c>
      <c r="G1564" t="s">
        <v>1797</v>
      </c>
      <c r="H1564">
        <v>0</v>
      </c>
      <c r="I1564">
        <v>0</v>
      </c>
      <c r="J1564">
        <v>0</v>
      </c>
      <c r="K1564" t="s">
        <v>1797</v>
      </c>
    </row>
    <row r="1565" spans="1:14" x14ac:dyDescent="0.25">
      <c r="A1565" s="1" t="s">
        <v>1577</v>
      </c>
      <c r="B1565" t="str">
        <f>HYPERLINK("https://www.suredividend.com/sure-analysis-research-database/","Theseus Pharmaceuticals Inc")</f>
        <v>Theseus Pharmaceuticals Inc</v>
      </c>
      <c r="C1565" t="s">
        <v>1797</v>
      </c>
      <c r="D1565">
        <v>4.03</v>
      </c>
      <c r="E1565">
        <v>0</v>
      </c>
      <c r="F1565" t="s">
        <v>1797</v>
      </c>
      <c r="G1565" t="s">
        <v>1797</v>
      </c>
      <c r="H1565">
        <v>0</v>
      </c>
      <c r="I1565">
        <v>178.247444</v>
      </c>
      <c r="J1565">
        <v>0</v>
      </c>
      <c r="K1565" t="s">
        <v>1797</v>
      </c>
      <c r="L1565">
        <v>1.7951694954457711</v>
      </c>
      <c r="M1565">
        <v>14.77</v>
      </c>
      <c r="N1565">
        <v>2.0499999999999998</v>
      </c>
    </row>
    <row r="1566" spans="1:14" x14ac:dyDescent="0.25">
      <c r="A1566" s="1" t="s">
        <v>1578</v>
      </c>
      <c r="B1566" t="str">
        <f>HYPERLINK("https://www.suredividend.com/sure-analysis-research-database/","Thryv Holdings Inc")</f>
        <v>Thryv Holdings Inc</v>
      </c>
      <c r="C1566" t="s">
        <v>1797</v>
      </c>
      <c r="D1566">
        <v>18.62</v>
      </c>
      <c r="E1566">
        <v>0</v>
      </c>
      <c r="F1566" t="s">
        <v>1797</v>
      </c>
      <c r="G1566" t="s">
        <v>1797</v>
      </c>
      <c r="H1566">
        <v>0</v>
      </c>
      <c r="I1566">
        <v>654.77261699999997</v>
      </c>
      <c r="J1566" t="s">
        <v>1797</v>
      </c>
      <c r="K1566">
        <v>0</v>
      </c>
      <c r="L1566">
        <v>1.1074503907452691</v>
      </c>
      <c r="M1566">
        <v>26.01</v>
      </c>
      <c r="N1566">
        <v>15.99</v>
      </c>
    </row>
    <row r="1567" spans="1:14" x14ac:dyDescent="0.25">
      <c r="A1567" s="1" t="s">
        <v>1579</v>
      </c>
      <c r="B1567" t="str">
        <f>HYPERLINK("https://www.suredividend.com/sure-analysis-research-database/","Treehouse Foods Inc")</f>
        <v>Treehouse Foods Inc</v>
      </c>
      <c r="C1567" t="s">
        <v>1804</v>
      </c>
      <c r="D1567">
        <v>41.55</v>
      </c>
      <c r="E1567">
        <v>0</v>
      </c>
      <c r="F1567" t="s">
        <v>1797</v>
      </c>
      <c r="G1567" t="s">
        <v>1797</v>
      </c>
      <c r="H1567">
        <v>0</v>
      </c>
      <c r="I1567">
        <v>2297.7150000000001</v>
      </c>
      <c r="J1567">
        <v>103.50067567567569</v>
      </c>
      <c r="K1567">
        <v>0</v>
      </c>
      <c r="L1567">
        <v>0.45748640396650903</v>
      </c>
      <c r="M1567">
        <v>55.3</v>
      </c>
      <c r="N1567">
        <v>36.11</v>
      </c>
    </row>
    <row r="1568" spans="1:14" x14ac:dyDescent="0.25">
      <c r="A1568" s="1" t="s">
        <v>1580</v>
      </c>
      <c r="B1568" t="str">
        <f>HYPERLINK("https://www.suredividend.com/sure-analysis-research-database/","Instil Bio Inc")</f>
        <v>Instil Bio Inc</v>
      </c>
      <c r="C1568" t="s">
        <v>1797</v>
      </c>
      <c r="D1568">
        <v>7.59</v>
      </c>
      <c r="E1568">
        <v>0</v>
      </c>
      <c r="F1568" t="s">
        <v>1797</v>
      </c>
      <c r="G1568" t="s">
        <v>1797</v>
      </c>
      <c r="H1568">
        <v>0</v>
      </c>
      <c r="I1568">
        <v>987.30034599999999</v>
      </c>
      <c r="J1568">
        <v>0</v>
      </c>
      <c r="K1568" t="s">
        <v>1797</v>
      </c>
      <c r="L1568">
        <v>1.032875379645984</v>
      </c>
      <c r="M1568">
        <v>18.54</v>
      </c>
      <c r="N1568">
        <v>6.07</v>
      </c>
    </row>
    <row r="1569" spans="1:14" x14ac:dyDescent="0.25">
      <c r="A1569" s="1" t="s">
        <v>1581</v>
      </c>
      <c r="B1569" t="str">
        <f>HYPERLINK("https://www.suredividend.com/sure-analysis-research-database/","Interface Inc.")</f>
        <v>Interface Inc.</v>
      </c>
      <c r="C1569" t="s">
        <v>1801</v>
      </c>
      <c r="D1569">
        <v>12.04</v>
      </c>
      <c r="E1569">
        <v>3.3116945499000001E-3</v>
      </c>
      <c r="F1569">
        <v>0</v>
      </c>
      <c r="G1569">
        <v>-0.312271014707454</v>
      </c>
      <c r="H1569">
        <v>3.9872802380803013E-2</v>
      </c>
      <c r="I1569">
        <v>699.607979</v>
      </c>
      <c r="J1569">
        <v>929.09426162018599</v>
      </c>
      <c r="K1569">
        <v>3.0909149132405429</v>
      </c>
      <c r="L1569">
        <v>1.271336710102442</v>
      </c>
      <c r="M1569">
        <v>13</v>
      </c>
      <c r="N1569">
        <v>6.47</v>
      </c>
    </row>
    <row r="1570" spans="1:14" x14ac:dyDescent="0.25">
      <c r="A1570" s="1" t="s">
        <v>1582</v>
      </c>
      <c r="B1570" t="str">
        <f>HYPERLINK("https://www.suredividend.com/sure-analysis-research-database/","Tiptree Inc")</f>
        <v>Tiptree Inc</v>
      </c>
      <c r="C1570" t="s">
        <v>1800</v>
      </c>
      <c r="D1570">
        <v>20.52</v>
      </c>
      <c r="E1570">
        <v>9.6709503799820001E-3</v>
      </c>
      <c r="F1570">
        <v>0.25</v>
      </c>
      <c r="G1570">
        <v>7.3940923785779322E-2</v>
      </c>
      <c r="H1570">
        <v>0.198447901797244</v>
      </c>
      <c r="I1570">
        <v>754.10523899999998</v>
      </c>
      <c r="J1570">
        <v>0</v>
      </c>
      <c r="K1570" t="s">
        <v>1797</v>
      </c>
      <c r="L1570">
        <v>0.70159924035782606</v>
      </c>
      <c r="M1570">
        <v>20.8</v>
      </c>
      <c r="N1570">
        <v>11.92</v>
      </c>
    </row>
    <row r="1571" spans="1:14" x14ac:dyDescent="0.25">
      <c r="A1571" s="1" t="s">
        <v>1583</v>
      </c>
      <c r="B1571" t="str">
        <f>HYPERLINK("https://www.suredividend.com/sure-analysis-research-database/","Titan Machinery Inc")</f>
        <v>Titan Machinery Inc</v>
      </c>
      <c r="C1571" t="s">
        <v>1798</v>
      </c>
      <c r="D1571">
        <v>26.4</v>
      </c>
      <c r="E1571">
        <v>0</v>
      </c>
      <c r="F1571" t="s">
        <v>1797</v>
      </c>
      <c r="G1571" t="s">
        <v>1797</v>
      </c>
      <c r="H1571">
        <v>0</v>
      </c>
      <c r="I1571">
        <v>603.22381700000005</v>
      </c>
      <c r="J1571">
        <v>5.7340666996197713</v>
      </c>
      <c r="K1571">
        <v>0</v>
      </c>
      <c r="L1571">
        <v>0.8381887651739921</v>
      </c>
      <c r="M1571">
        <v>47.87</v>
      </c>
      <c r="N1571">
        <v>21.44</v>
      </c>
    </row>
    <row r="1572" spans="1:14" x14ac:dyDescent="0.25">
      <c r="A1572" s="1" t="s">
        <v>1584</v>
      </c>
      <c r="B1572" t="str">
        <f>HYPERLINK("https://www.suredividend.com/sure-analysis-research-database/","Teekay Corp")</f>
        <v>Teekay Corp</v>
      </c>
      <c r="C1572" t="s">
        <v>1807</v>
      </c>
      <c r="D1572">
        <v>8.09</v>
      </c>
      <c r="E1572">
        <v>0</v>
      </c>
      <c r="F1572" t="s">
        <v>1797</v>
      </c>
      <c r="G1572" t="s">
        <v>1797</v>
      </c>
      <c r="H1572">
        <v>0</v>
      </c>
      <c r="I1572">
        <v>735.78006400000004</v>
      </c>
      <c r="J1572">
        <v>4.7665571640872493</v>
      </c>
      <c r="K1572">
        <v>0</v>
      </c>
      <c r="L1572">
        <v>0.64048333399898305</v>
      </c>
      <c r="M1572">
        <v>8.2899999999999991</v>
      </c>
      <c r="N1572">
        <v>4.16</v>
      </c>
    </row>
    <row r="1573" spans="1:14" x14ac:dyDescent="0.25">
      <c r="A1573" s="1" t="s">
        <v>1585</v>
      </c>
      <c r="B1573" t="str">
        <f>HYPERLINK("https://www.suredividend.com/sure-analysis-research-database/","Alpha Teknova Inc")</f>
        <v>Alpha Teknova Inc</v>
      </c>
      <c r="C1573" t="s">
        <v>1797</v>
      </c>
      <c r="D1573">
        <v>3.2549999999999999</v>
      </c>
      <c r="E1573">
        <v>0</v>
      </c>
      <c r="F1573" t="s">
        <v>1797</v>
      </c>
      <c r="G1573" t="s">
        <v>1797</v>
      </c>
      <c r="H1573">
        <v>0</v>
      </c>
      <c r="I1573">
        <v>132.56892400000001</v>
      </c>
      <c r="J1573" t="s">
        <v>1797</v>
      </c>
      <c r="K1573">
        <v>0</v>
      </c>
      <c r="L1573">
        <v>0.56980024856600009</v>
      </c>
      <c r="M1573">
        <v>6.48</v>
      </c>
      <c r="N1573">
        <v>1.62</v>
      </c>
    </row>
    <row r="1574" spans="1:14" x14ac:dyDescent="0.25">
      <c r="A1574" s="1" t="s">
        <v>1586</v>
      </c>
      <c r="B1574" t="str">
        <f>HYPERLINK("https://www.suredividend.com/sure-analysis-research-database/","Telos Corp")</f>
        <v>Telos Corp</v>
      </c>
      <c r="C1574" t="s">
        <v>1797</v>
      </c>
      <c r="D1574">
        <v>4.6500000000000004</v>
      </c>
      <c r="E1574">
        <v>0</v>
      </c>
      <c r="F1574" t="s">
        <v>1797</v>
      </c>
      <c r="G1574" t="s">
        <v>1797</v>
      </c>
      <c r="H1574">
        <v>0</v>
      </c>
      <c r="I1574">
        <v>323.74792200000002</v>
      </c>
      <c r="J1574">
        <v>0</v>
      </c>
      <c r="K1574" t="s">
        <v>1797</v>
      </c>
      <c r="L1574">
        <v>1.421961668325493</v>
      </c>
      <c r="M1574">
        <v>5.36</v>
      </c>
      <c r="N1574">
        <v>1.53</v>
      </c>
    </row>
    <row r="1575" spans="1:14" x14ac:dyDescent="0.25">
      <c r="A1575" s="1" t="s">
        <v>1587</v>
      </c>
      <c r="B1575" t="str">
        <f>HYPERLINK("https://www.suredividend.com/sure-analysis-research-database/","Tillys Inc")</f>
        <v>Tillys Inc</v>
      </c>
      <c r="C1575" t="s">
        <v>1801</v>
      </c>
      <c r="D1575">
        <v>7.4</v>
      </c>
      <c r="E1575">
        <v>0</v>
      </c>
      <c r="F1575" t="s">
        <v>1797</v>
      </c>
      <c r="G1575" t="s">
        <v>1797</v>
      </c>
      <c r="H1575">
        <v>0</v>
      </c>
      <c r="I1575">
        <v>167.740351</v>
      </c>
      <c r="J1575" t="s">
        <v>1797</v>
      </c>
      <c r="K1575">
        <v>0</v>
      </c>
      <c r="L1575">
        <v>0.95298347044174703</v>
      </c>
      <c r="M1575">
        <v>9.5</v>
      </c>
      <c r="N1575">
        <v>6.05</v>
      </c>
    </row>
    <row r="1576" spans="1:14" x14ac:dyDescent="0.25">
      <c r="A1576" s="1" t="s">
        <v>1588</v>
      </c>
      <c r="B1576" t="str">
        <f>HYPERLINK("https://www.suredividend.com/sure-analysis-research-database/","Treace Medical Concepts Inc")</f>
        <v>Treace Medical Concepts Inc</v>
      </c>
      <c r="C1576" t="s">
        <v>1797</v>
      </c>
      <c r="D1576">
        <v>12.69</v>
      </c>
      <c r="E1576">
        <v>0</v>
      </c>
      <c r="F1576" t="s">
        <v>1797</v>
      </c>
      <c r="G1576" t="s">
        <v>1797</v>
      </c>
      <c r="H1576">
        <v>0</v>
      </c>
      <c r="I1576">
        <v>782.66667600000005</v>
      </c>
      <c r="J1576" t="s">
        <v>1797</v>
      </c>
      <c r="K1576">
        <v>0</v>
      </c>
      <c r="L1576">
        <v>1.1610401387814211</v>
      </c>
      <c r="M1576">
        <v>27.97</v>
      </c>
      <c r="N1576">
        <v>5.27</v>
      </c>
    </row>
    <row r="1577" spans="1:14" x14ac:dyDescent="0.25">
      <c r="A1577" s="1" t="s">
        <v>1589</v>
      </c>
      <c r="B1577" t="str">
        <f>HYPERLINK("https://www.suredividend.com/sure-analysis-research-database/","Transmedics Group Inc")</f>
        <v>Transmedics Group Inc</v>
      </c>
      <c r="C1577" t="s">
        <v>1802</v>
      </c>
      <c r="D1577">
        <v>81.45</v>
      </c>
      <c r="E1577">
        <v>0</v>
      </c>
      <c r="F1577" t="s">
        <v>1797</v>
      </c>
      <c r="G1577" t="s">
        <v>1797</v>
      </c>
      <c r="H1577">
        <v>0</v>
      </c>
      <c r="I1577">
        <v>2659.155002</v>
      </c>
      <c r="J1577" t="s">
        <v>1797</v>
      </c>
      <c r="K1577">
        <v>0</v>
      </c>
      <c r="L1577">
        <v>1.6460451754105621</v>
      </c>
      <c r="M1577">
        <v>99.63</v>
      </c>
      <c r="N1577">
        <v>36.42</v>
      </c>
    </row>
    <row r="1578" spans="1:14" x14ac:dyDescent="0.25">
      <c r="A1578" s="1" t="s">
        <v>1590</v>
      </c>
      <c r="B1578" t="str">
        <f>HYPERLINK("https://www.suredividend.com/sure-analysis-research-database/","Taylor Morrison Home Corp.")</f>
        <v>Taylor Morrison Home Corp.</v>
      </c>
      <c r="C1578" t="s">
        <v>1801</v>
      </c>
      <c r="D1578">
        <v>51.82</v>
      </c>
      <c r="E1578">
        <v>0</v>
      </c>
      <c r="F1578" t="s">
        <v>1797</v>
      </c>
      <c r="G1578" t="s">
        <v>1797</v>
      </c>
      <c r="H1578">
        <v>0</v>
      </c>
      <c r="I1578">
        <v>5567.9831869999998</v>
      </c>
      <c r="J1578">
        <v>6.387682550652479</v>
      </c>
      <c r="K1578">
        <v>0</v>
      </c>
      <c r="L1578">
        <v>1.5670401005438901</v>
      </c>
      <c r="M1578">
        <v>54.48</v>
      </c>
      <c r="N1578">
        <v>31.66</v>
      </c>
    </row>
    <row r="1579" spans="1:14" x14ac:dyDescent="0.25">
      <c r="A1579" s="1" t="s">
        <v>1591</v>
      </c>
      <c r="B1579" t="str">
        <f>HYPERLINK("https://www.suredividend.com/sure-analysis-TMP/","Tompkins Financial Corp")</f>
        <v>Tompkins Financial Corp</v>
      </c>
      <c r="C1579" t="s">
        <v>1800</v>
      </c>
      <c r="D1579">
        <v>53.47</v>
      </c>
      <c r="E1579">
        <v>4.4884982233027858E-2</v>
      </c>
      <c r="F1579">
        <v>0</v>
      </c>
      <c r="G1579">
        <v>3.7137289336648172E-2</v>
      </c>
      <c r="H1579">
        <v>2.3250138734707688</v>
      </c>
      <c r="I1579">
        <v>767.30396399999995</v>
      </c>
      <c r="J1579">
        <v>54.905471498389993</v>
      </c>
      <c r="K1579">
        <v>2.3851188689687821</v>
      </c>
      <c r="L1579">
        <v>1.308138584557428</v>
      </c>
      <c r="M1579">
        <v>74.56</v>
      </c>
      <c r="N1579">
        <v>45.67</v>
      </c>
    </row>
    <row r="1580" spans="1:14" x14ac:dyDescent="0.25">
      <c r="A1580" s="1" t="s">
        <v>1592</v>
      </c>
      <c r="B1580" t="str">
        <f>HYPERLINK("https://www.suredividend.com/sure-analysis-research-database/","TimkenSteel Corp")</f>
        <v>TimkenSteel Corp</v>
      </c>
      <c r="C1580" t="s">
        <v>1808</v>
      </c>
      <c r="D1580">
        <v>20.69</v>
      </c>
      <c r="E1580">
        <v>0</v>
      </c>
      <c r="F1580" t="s">
        <v>1797</v>
      </c>
      <c r="G1580" t="s">
        <v>1797</v>
      </c>
      <c r="H1580">
        <v>0</v>
      </c>
      <c r="I1580">
        <v>892.87314300000003</v>
      </c>
      <c r="J1580">
        <v>25.583757680229219</v>
      </c>
      <c r="K1580">
        <v>0</v>
      </c>
      <c r="L1580">
        <v>1.4837641821594101</v>
      </c>
      <c r="M1580">
        <v>24.3</v>
      </c>
      <c r="N1580">
        <v>15.59</v>
      </c>
    </row>
    <row r="1581" spans="1:14" x14ac:dyDescent="0.25">
      <c r="A1581" s="1" t="s">
        <v>1593</v>
      </c>
      <c r="B1581" t="str">
        <f>HYPERLINK("https://www.suredividend.com/sure-analysis-TNC/","Tennant Co.")</f>
        <v>Tennant Co.</v>
      </c>
      <c r="C1581" t="s">
        <v>1798</v>
      </c>
      <c r="D1581">
        <v>90.39</v>
      </c>
      <c r="E1581">
        <v>1.2390751189290851E-2</v>
      </c>
      <c r="F1581">
        <v>5.6603773584905648E-2</v>
      </c>
      <c r="G1581">
        <v>4.9414522844583919E-2</v>
      </c>
      <c r="H1581">
        <v>1.069799809451766</v>
      </c>
      <c r="I1581">
        <v>1688.504905</v>
      </c>
      <c r="J1581">
        <v>16.505424291495601</v>
      </c>
      <c r="K1581">
        <v>0.195934031035122</v>
      </c>
      <c r="L1581">
        <v>1.0900115234071479</v>
      </c>
      <c r="M1581">
        <v>93.78</v>
      </c>
      <c r="N1581">
        <v>62.67</v>
      </c>
    </row>
    <row r="1582" spans="1:14" x14ac:dyDescent="0.25">
      <c r="A1582" s="1" t="s">
        <v>1594</v>
      </c>
      <c r="B1582" t="str">
        <f>HYPERLINK("https://www.suredividend.com/sure-analysis-research-database/","TriNet Group Inc")</f>
        <v>TriNet Group Inc</v>
      </c>
      <c r="C1582" t="s">
        <v>1798</v>
      </c>
      <c r="D1582">
        <v>114.91</v>
      </c>
      <c r="E1582">
        <v>0</v>
      </c>
      <c r="F1582" t="s">
        <v>1797</v>
      </c>
      <c r="G1582" t="s">
        <v>1797</v>
      </c>
      <c r="H1582">
        <v>0</v>
      </c>
      <c r="I1582">
        <v>5803.9067999999997</v>
      </c>
      <c r="J1582">
        <v>16.349033238112671</v>
      </c>
      <c r="K1582">
        <v>0</v>
      </c>
      <c r="L1582">
        <v>0.91336490666142811</v>
      </c>
      <c r="M1582">
        <v>123.67</v>
      </c>
      <c r="N1582">
        <v>73.06</v>
      </c>
    </row>
    <row r="1583" spans="1:14" x14ac:dyDescent="0.25">
      <c r="A1583" s="1" t="s">
        <v>1595</v>
      </c>
      <c r="B1583" t="str">
        <f>HYPERLINK("https://www.suredividend.com/sure-analysis-research-database/","Tango Therapeutics Inc")</f>
        <v>Tango Therapeutics Inc</v>
      </c>
      <c r="C1583" t="s">
        <v>1797</v>
      </c>
      <c r="D1583">
        <v>10.94</v>
      </c>
      <c r="E1583">
        <v>0</v>
      </c>
      <c r="F1583" t="s">
        <v>1797</v>
      </c>
      <c r="G1583" t="s">
        <v>1797</v>
      </c>
      <c r="H1583">
        <v>0</v>
      </c>
      <c r="I1583">
        <v>1115.767274</v>
      </c>
      <c r="J1583" t="s">
        <v>1797</v>
      </c>
      <c r="K1583">
        <v>0</v>
      </c>
      <c r="L1583">
        <v>0.98426245130483803</v>
      </c>
      <c r="M1583">
        <v>13.03</v>
      </c>
      <c r="N1583">
        <v>2.4700000000000002</v>
      </c>
    </row>
    <row r="1584" spans="1:14" x14ac:dyDescent="0.25">
      <c r="A1584" s="1" t="s">
        <v>1596</v>
      </c>
      <c r="B1584" t="str">
        <f>HYPERLINK("https://www.suredividend.com/sure-analysis-research-database/","Teekay Tankers Ltd")</f>
        <v>Teekay Tankers Ltd</v>
      </c>
      <c r="C1584" t="s">
        <v>1807</v>
      </c>
      <c r="D1584">
        <v>56.34</v>
      </c>
      <c r="E1584">
        <v>8.8539114245750009E-3</v>
      </c>
      <c r="F1584" t="s">
        <v>1797</v>
      </c>
      <c r="G1584" t="s">
        <v>1797</v>
      </c>
      <c r="H1584">
        <v>0.49882936966058611</v>
      </c>
      <c r="I1584">
        <v>1656.396</v>
      </c>
      <c r="J1584">
        <v>3.0203937243346139</v>
      </c>
      <c r="K1584">
        <v>3.1452040962205927E-2</v>
      </c>
      <c r="L1584">
        <v>0.39840480418236801</v>
      </c>
      <c r="M1584">
        <v>57.28</v>
      </c>
      <c r="N1584">
        <v>27.31</v>
      </c>
    </row>
    <row r="1585" spans="1:14" x14ac:dyDescent="0.25">
      <c r="A1585" s="1" t="s">
        <v>1597</v>
      </c>
      <c r="B1585" t="str">
        <f>HYPERLINK("https://www.suredividend.com/sure-analysis-research-database/","Tenaya Therapeutics Inc")</f>
        <v>Tenaya Therapeutics Inc</v>
      </c>
      <c r="C1585" t="s">
        <v>1797</v>
      </c>
      <c r="D1585">
        <v>3.06</v>
      </c>
      <c r="E1585">
        <v>0</v>
      </c>
      <c r="F1585" t="s">
        <v>1797</v>
      </c>
      <c r="G1585" t="s">
        <v>1797</v>
      </c>
      <c r="H1585">
        <v>0</v>
      </c>
      <c r="I1585">
        <v>208.41971799999999</v>
      </c>
      <c r="J1585">
        <v>0</v>
      </c>
      <c r="K1585" t="s">
        <v>1797</v>
      </c>
      <c r="L1585">
        <v>1.9622203118014701</v>
      </c>
      <c r="M1585">
        <v>8.09</v>
      </c>
      <c r="N1585">
        <v>1.66</v>
      </c>
    </row>
    <row r="1586" spans="1:14" x14ac:dyDescent="0.25">
      <c r="A1586" s="1" t="s">
        <v>1598</v>
      </c>
      <c r="B1586" t="str">
        <f>HYPERLINK("https://www.suredividend.com/sure-analysis-research-database/","Oncology Institute Inc (The)")</f>
        <v>Oncology Institute Inc (The)</v>
      </c>
      <c r="C1586" t="s">
        <v>1797</v>
      </c>
      <c r="D1586">
        <v>2.0699999999999998</v>
      </c>
      <c r="E1586">
        <v>0</v>
      </c>
      <c r="F1586" t="s">
        <v>1797</v>
      </c>
      <c r="G1586" t="s">
        <v>1797</v>
      </c>
      <c r="H1586">
        <v>0</v>
      </c>
      <c r="I1586">
        <v>151.11000000000001</v>
      </c>
      <c r="J1586" t="s">
        <v>1797</v>
      </c>
      <c r="K1586">
        <v>0</v>
      </c>
      <c r="L1586">
        <v>1.0533646060011539</v>
      </c>
      <c r="M1586">
        <v>2.66</v>
      </c>
      <c r="N1586">
        <v>0.33</v>
      </c>
    </row>
    <row r="1587" spans="1:14" x14ac:dyDescent="0.25">
      <c r="A1587" s="1" t="s">
        <v>1599</v>
      </c>
      <c r="B1587" t="str">
        <f>HYPERLINK("https://www.suredividend.com/sure-analysis-research-database/","Townebank Portsmouth VA")</f>
        <v>Townebank Portsmouth VA</v>
      </c>
      <c r="C1587" t="s">
        <v>1800</v>
      </c>
      <c r="D1587">
        <v>28.74</v>
      </c>
      <c r="E1587">
        <v>3.3167442512178E-2</v>
      </c>
      <c r="F1587">
        <v>8.6956521739130377E-2</v>
      </c>
      <c r="G1587">
        <v>9.3362073943278112E-2</v>
      </c>
      <c r="H1587">
        <v>0.95323229780000307</v>
      </c>
      <c r="I1587">
        <v>1485.2448899999999</v>
      </c>
      <c r="J1587">
        <v>0</v>
      </c>
      <c r="K1587" t="s">
        <v>1797</v>
      </c>
      <c r="L1587">
        <v>1.197016561538083</v>
      </c>
      <c r="M1587">
        <v>30.62</v>
      </c>
      <c r="N1587">
        <v>19.989999999999998</v>
      </c>
    </row>
    <row r="1588" spans="1:14" x14ac:dyDescent="0.25">
      <c r="A1588" s="1" t="s">
        <v>1600</v>
      </c>
      <c r="B1588" t="str">
        <f>HYPERLINK("https://www.suredividend.com/sure-analysis-research-database/","Turning Point Brands Inc")</f>
        <v>Turning Point Brands Inc</v>
      </c>
      <c r="C1588" t="s">
        <v>1804</v>
      </c>
      <c r="D1588">
        <v>25.16</v>
      </c>
      <c r="E1588">
        <v>1.0292768144541E-2</v>
      </c>
      <c r="F1588">
        <v>8.3333333333333481E-2</v>
      </c>
      <c r="G1588">
        <v>7.6316922514810814E-2</v>
      </c>
      <c r="H1588">
        <v>0.25896604651667099</v>
      </c>
      <c r="I1588">
        <v>442.92989899999998</v>
      </c>
      <c r="J1588">
        <v>36.800423672316377</v>
      </c>
      <c r="K1588">
        <v>0.37170381299938432</v>
      </c>
      <c r="L1588">
        <v>0.70432136287583302</v>
      </c>
      <c r="M1588">
        <v>26.69</v>
      </c>
      <c r="N1588">
        <v>19.62</v>
      </c>
    </row>
    <row r="1589" spans="1:14" x14ac:dyDescent="0.25">
      <c r="A1589" s="1" t="s">
        <v>1601</v>
      </c>
      <c r="B1589" t="str">
        <f>HYPERLINK("https://www.suredividend.com/sure-analysis-research-database/","Tutor Perini Corp")</f>
        <v>Tutor Perini Corp</v>
      </c>
      <c r="C1589" t="s">
        <v>1798</v>
      </c>
      <c r="D1589">
        <v>8.83</v>
      </c>
      <c r="E1589">
        <v>0</v>
      </c>
      <c r="F1589" t="s">
        <v>1797</v>
      </c>
      <c r="G1589" t="s">
        <v>1797</v>
      </c>
      <c r="H1589">
        <v>0</v>
      </c>
      <c r="I1589">
        <v>459.355752</v>
      </c>
      <c r="J1589" t="s">
        <v>1797</v>
      </c>
      <c r="K1589">
        <v>0</v>
      </c>
      <c r="L1589">
        <v>1.447477591786867</v>
      </c>
      <c r="M1589">
        <v>9.6</v>
      </c>
      <c r="N1589">
        <v>4.9000000000000004</v>
      </c>
    </row>
    <row r="1590" spans="1:14" x14ac:dyDescent="0.25">
      <c r="A1590" s="1" t="s">
        <v>1602</v>
      </c>
      <c r="B1590" t="str">
        <f>HYPERLINK("https://www.suredividend.com/sure-analysis-research-database/","Tri Pointe Homes Inc.")</f>
        <v>Tri Pointe Homes Inc.</v>
      </c>
      <c r="C1590" t="s">
        <v>1801</v>
      </c>
      <c r="D1590">
        <v>34.590000000000003</v>
      </c>
      <c r="E1590">
        <v>0</v>
      </c>
      <c r="F1590" t="s">
        <v>1797</v>
      </c>
      <c r="G1590" t="s">
        <v>1797</v>
      </c>
      <c r="H1590">
        <v>0</v>
      </c>
      <c r="I1590">
        <v>3357.0340409999999</v>
      </c>
      <c r="J1590">
        <v>8.1118933151862684</v>
      </c>
      <c r="K1590">
        <v>0</v>
      </c>
      <c r="L1590">
        <v>1.4676320372152201</v>
      </c>
      <c r="M1590">
        <v>36.28</v>
      </c>
      <c r="N1590">
        <v>19.97</v>
      </c>
    </row>
    <row r="1591" spans="1:14" x14ac:dyDescent="0.25">
      <c r="A1591" s="1" t="s">
        <v>1603</v>
      </c>
      <c r="B1591" t="str">
        <f>HYPERLINK("https://www.suredividend.com/sure-analysis-research-database/","TPI Composites Inc")</f>
        <v>TPI Composites Inc</v>
      </c>
      <c r="C1591" t="s">
        <v>1798</v>
      </c>
      <c r="D1591">
        <v>3.18</v>
      </c>
      <c r="E1591">
        <v>0</v>
      </c>
      <c r="F1591" t="s">
        <v>1797</v>
      </c>
      <c r="G1591" t="s">
        <v>1797</v>
      </c>
      <c r="H1591">
        <v>0</v>
      </c>
      <c r="I1591">
        <v>135.37650500000001</v>
      </c>
      <c r="J1591" t="s">
        <v>1797</v>
      </c>
      <c r="K1591">
        <v>0</v>
      </c>
      <c r="L1591">
        <v>3.6060412689470169</v>
      </c>
      <c r="M1591">
        <v>14.8</v>
      </c>
      <c r="N1591">
        <v>1.63</v>
      </c>
    </row>
    <row r="1592" spans="1:14" x14ac:dyDescent="0.25">
      <c r="A1592" s="1" t="s">
        <v>1604</v>
      </c>
      <c r="B1592" t="str">
        <f>HYPERLINK("https://www.suredividend.com/sure-analysis-TR/","Tootsie Roll Industries, Inc.")</f>
        <v>Tootsie Roll Industries, Inc.</v>
      </c>
      <c r="C1592" t="s">
        <v>1804</v>
      </c>
      <c r="D1592">
        <v>35.21</v>
      </c>
      <c r="E1592">
        <v>1.022436807725078E-2</v>
      </c>
      <c r="F1592">
        <v>0</v>
      </c>
      <c r="G1592">
        <v>0</v>
      </c>
      <c r="H1592">
        <v>0.35854192475233898</v>
      </c>
      <c r="I1592">
        <v>1414.464148</v>
      </c>
      <c r="J1592">
        <v>16.100351130638678</v>
      </c>
      <c r="K1592">
        <v>0.28683353980187121</v>
      </c>
      <c r="L1592">
        <v>0.41916417847395498</v>
      </c>
      <c r="M1592">
        <v>45.65</v>
      </c>
      <c r="N1592">
        <v>28.99</v>
      </c>
    </row>
    <row r="1593" spans="1:14" x14ac:dyDescent="0.25">
      <c r="A1593" s="1" t="s">
        <v>1605</v>
      </c>
      <c r="B1593" t="str">
        <f>HYPERLINK("https://www.suredividend.com/sure-analysis-research-database/","Tejon Ranch Co.")</f>
        <v>Tejon Ranch Co.</v>
      </c>
      <c r="C1593" t="s">
        <v>1798</v>
      </c>
      <c r="D1593">
        <v>16.29</v>
      </c>
      <c r="E1593">
        <v>0</v>
      </c>
      <c r="F1593" t="s">
        <v>1797</v>
      </c>
      <c r="G1593" t="s">
        <v>1797</v>
      </c>
      <c r="H1593">
        <v>0</v>
      </c>
      <c r="I1593">
        <v>435.50000399999999</v>
      </c>
      <c r="J1593">
        <v>118.213899014658</v>
      </c>
      <c r="K1593">
        <v>0</v>
      </c>
      <c r="L1593">
        <v>0.93027537648816006</v>
      </c>
      <c r="M1593">
        <v>20.65</v>
      </c>
      <c r="N1593">
        <v>15.25</v>
      </c>
    </row>
    <row r="1594" spans="1:14" x14ac:dyDescent="0.25">
      <c r="A1594" s="1" t="s">
        <v>1606</v>
      </c>
      <c r="B1594" t="str">
        <f>HYPERLINK("https://www.suredividend.com/sure-analysis-research-database/","LendingTree Inc.")</f>
        <v>LendingTree Inc.</v>
      </c>
      <c r="C1594" t="s">
        <v>1800</v>
      </c>
      <c r="D1594">
        <v>28.62</v>
      </c>
      <c r="E1594">
        <v>0</v>
      </c>
      <c r="F1594" t="s">
        <v>1797</v>
      </c>
      <c r="G1594" t="s">
        <v>1797</v>
      </c>
      <c r="H1594">
        <v>0</v>
      </c>
      <c r="I1594">
        <v>372.13973499999997</v>
      </c>
      <c r="J1594" t="s">
        <v>1797</v>
      </c>
      <c r="K1594">
        <v>0</v>
      </c>
      <c r="L1594">
        <v>3.2904267016526458</v>
      </c>
      <c r="M1594">
        <v>47.82</v>
      </c>
      <c r="N1594">
        <v>10.119999999999999</v>
      </c>
    </row>
    <row r="1595" spans="1:14" x14ac:dyDescent="0.25">
      <c r="A1595" s="1" t="s">
        <v>1607</v>
      </c>
      <c r="B1595" t="str">
        <f>HYPERLINK("https://www.suredividend.com/sure-analysis-research-database/","Trustmark Corp.")</f>
        <v>Trustmark Corp.</v>
      </c>
      <c r="C1595" t="s">
        <v>1800</v>
      </c>
      <c r="D1595">
        <v>26.71</v>
      </c>
      <c r="E1595">
        <v>3.3426683286124012E-2</v>
      </c>
      <c r="F1595">
        <v>0</v>
      </c>
      <c r="G1595">
        <v>0</v>
      </c>
      <c r="H1595">
        <v>0.89282671057238805</v>
      </c>
      <c r="I1595">
        <v>1631.191372</v>
      </c>
      <c r="J1595">
        <v>17.115844960494421</v>
      </c>
      <c r="K1595">
        <v>0.57232481446947947</v>
      </c>
      <c r="L1595">
        <v>1.2336266258707269</v>
      </c>
      <c r="M1595">
        <v>33.07</v>
      </c>
      <c r="N1595">
        <v>18.579999999999998</v>
      </c>
    </row>
    <row r="1596" spans="1:14" x14ac:dyDescent="0.25">
      <c r="A1596" s="1" t="s">
        <v>1608</v>
      </c>
      <c r="B1596" t="str">
        <f>HYPERLINK("https://www.suredividend.com/sure-analysis-TRN/","Trinity Industries, Inc.")</f>
        <v>Trinity Industries, Inc.</v>
      </c>
      <c r="C1596" t="s">
        <v>1798</v>
      </c>
      <c r="D1596">
        <v>24.84</v>
      </c>
      <c r="E1596">
        <v>4.5088566827697268E-2</v>
      </c>
      <c r="F1596">
        <v>7.6923076923077094E-2</v>
      </c>
      <c r="G1596">
        <v>0.10494795379650319</v>
      </c>
      <c r="H1596">
        <v>1.042900469211077</v>
      </c>
      <c r="I1596">
        <v>2033.6878859999999</v>
      </c>
      <c r="J1596">
        <v>27.297823974765102</v>
      </c>
      <c r="K1596">
        <v>1.1678616676495821</v>
      </c>
      <c r="L1596">
        <v>1.378890659835275</v>
      </c>
      <c r="M1596">
        <v>28.54</v>
      </c>
      <c r="N1596">
        <v>19.420000000000002</v>
      </c>
    </row>
    <row r="1597" spans="1:14" x14ac:dyDescent="0.25">
      <c r="A1597" s="1" t="s">
        <v>1609</v>
      </c>
      <c r="B1597" t="str">
        <f>HYPERLINK("https://www.suredividend.com/sure-analysis-research-database/","Terreno Realty Corp")</f>
        <v>Terreno Realty Corp</v>
      </c>
      <c r="C1597" t="s">
        <v>1799</v>
      </c>
      <c r="D1597">
        <v>62.87</v>
      </c>
      <c r="E1597">
        <v>2.6750968768478999E-2</v>
      </c>
      <c r="F1597">
        <v>0.125</v>
      </c>
      <c r="G1597">
        <v>0.13396657763302719</v>
      </c>
      <c r="H1597">
        <v>1.6818334064742979</v>
      </c>
      <c r="I1597">
        <v>5368.2118469999996</v>
      </c>
      <c r="J1597">
        <v>35.303015548694269</v>
      </c>
      <c r="K1597">
        <v>0.89459223748632877</v>
      </c>
      <c r="L1597">
        <v>0.90836384415010107</v>
      </c>
      <c r="M1597">
        <v>65.14</v>
      </c>
      <c r="N1597">
        <v>50.05</v>
      </c>
    </row>
    <row r="1598" spans="1:14" x14ac:dyDescent="0.25">
      <c r="A1598" s="1" t="s">
        <v>1610</v>
      </c>
      <c r="B1598" t="str">
        <f>HYPERLINK("https://www.suredividend.com/sure-analysis-research-database/","Transcat Inc")</f>
        <v>Transcat Inc</v>
      </c>
      <c r="C1598" t="s">
        <v>1798</v>
      </c>
      <c r="D1598">
        <v>97.92</v>
      </c>
      <c r="E1598">
        <v>0</v>
      </c>
      <c r="F1598" t="s">
        <v>1797</v>
      </c>
      <c r="G1598" t="s">
        <v>1797</v>
      </c>
      <c r="H1598">
        <v>0</v>
      </c>
      <c r="I1598">
        <v>864.27364599999999</v>
      </c>
      <c r="J1598">
        <v>0</v>
      </c>
      <c r="K1598" t="s">
        <v>1797</v>
      </c>
      <c r="L1598">
        <v>0.81048056238365807</v>
      </c>
      <c r="M1598">
        <v>115.41</v>
      </c>
      <c r="N1598">
        <v>74.89</v>
      </c>
    </row>
    <row r="1599" spans="1:14" x14ac:dyDescent="0.25">
      <c r="A1599" s="1" t="s">
        <v>1611</v>
      </c>
      <c r="B1599" t="str">
        <f>HYPERLINK("https://www.suredividend.com/sure-analysis-research-database/","Tronox Holdings plc")</f>
        <v>Tronox Holdings plc</v>
      </c>
      <c r="C1599" t="s">
        <v>1808</v>
      </c>
      <c r="D1599">
        <v>12.62</v>
      </c>
      <c r="E1599">
        <v>3.8991952495484997E-2</v>
      </c>
      <c r="F1599">
        <v>0</v>
      </c>
      <c r="G1599">
        <v>0.2267032046963888</v>
      </c>
      <c r="H1599">
        <v>0.49207844049303312</v>
      </c>
      <c r="I1599">
        <v>1978.7371880000001</v>
      </c>
      <c r="J1599">
        <v>0</v>
      </c>
      <c r="K1599" t="s">
        <v>1797</v>
      </c>
      <c r="L1599">
        <v>1.820108985136845</v>
      </c>
      <c r="M1599">
        <v>16.93</v>
      </c>
      <c r="N1599">
        <v>9.9700000000000006</v>
      </c>
    </row>
    <row r="1600" spans="1:14" x14ac:dyDescent="0.25">
      <c r="A1600" s="1" t="s">
        <v>1612</v>
      </c>
      <c r="B1600" t="str">
        <f>HYPERLINK("https://www.suredividend.com/sure-analysis-research-database/","Trimas Corporation")</f>
        <v>Trimas Corporation</v>
      </c>
      <c r="C1600" t="s">
        <v>1798</v>
      </c>
      <c r="D1600">
        <v>24.32</v>
      </c>
      <c r="E1600">
        <v>6.5473761489250014E-3</v>
      </c>
      <c r="F1600" t="s">
        <v>1797</v>
      </c>
      <c r="G1600" t="s">
        <v>1797</v>
      </c>
      <c r="H1600">
        <v>0.15923218794187199</v>
      </c>
      <c r="I1600">
        <v>1007.198694</v>
      </c>
      <c r="J1600">
        <v>19.64882353492002</v>
      </c>
      <c r="K1600">
        <v>0.12945706336737561</v>
      </c>
      <c r="L1600">
        <v>0.80642301019369111</v>
      </c>
      <c r="M1600">
        <v>31.54</v>
      </c>
      <c r="N1600">
        <v>22.52</v>
      </c>
    </row>
    <row r="1601" spans="1:14" x14ac:dyDescent="0.25">
      <c r="A1601" s="1" t="s">
        <v>1613</v>
      </c>
      <c r="B1601" t="str">
        <f>HYPERLINK("https://www.suredividend.com/sure-analysis-TRST/","Trustco Bank Corp.")</f>
        <v>Trustco Bank Corp.</v>
      </c>
      <c r="C1601" t="s">
        <v>1800</v>
      </c>
      <c r="D1601">
        <v>29.414999999999999</v>
      </c>
      <c r="E1601">
        <v>4.8954614992350841E-2</v>
      </c>
      <c r="F1601">
        <v>0</v>
      </c>
      <c r="G1601">
        <v>0.39508027119532563</v>
      </c>
      <c r="H1601">
        <v>1.385593679857843</v>
      </c>
      <c r="I1601">
        <v>559.60369700000001</v>
      </c>
      <c r="J1601">
        <v>8.0278260270700628</v>
      </c>
      <c r="K1601">
        <v>0.3785775081578806</v>
      </c>
      <c r="L1601">
        <v>1.0526654861759019</v>
      </c>
      <c r="M1601">
        <v>35.57</v>
      </c>
      <c r="N1601">
        <v>23.16</v>
      </c>
    </row>
    <row r="1602" spans="1:14" x14ac:dyDescent="0.25">
      <c r="A1602" s="1" t="s">
        <v>1614</v>
      </c>
      <c r="B1602" t="str">
        <f>HYPERLINK("https://www.suredividend.com/sure-analysis-research-database/","Triton International Ltd")</f>
        <v>Triton International Ltd</v>
      </c>
      <c r="C1602" t="s">
        <v>1798</v>
      </c>
      <c r="D1602">
        <v>79.55</v>
      </c>
      <c r="E1602">
        <v>3.4738928593399013E-2</v>
      </c>
      <c r="F1602" t="s">
        <v>1797</v>
      </c>
      <c r="G1602" t="s">
        <v>1797</v>
      </c>
      <c r="H1602">
        <v>2.763481769604919</v>
      </c>
      <c r="I1602">
        <v>4380.1152780000002</v>
      </c>
      <c r="J1602">
        <v>7.3676305079157887</v>
      </c>
      <c r="K1602">
        <v>0.26803896892385248</v>
      </c>
      <c r="L1602">
        <v>0.57600958577738903</v>
      </c>
      <c r="M1602">
        <v>84</v>
      </c>
      <c r="N1602">
        <v>51.32</v>
      </c>
    </row>
    <row r="1603" spans="1:14" x14ac:dyDescent="0.25">
      <c r="A1603" s="1" t="s">
        <v>1615</v>
      </c>
      <c r="B1603" t="str">
        <f>HYPERLINK("https://www.suredividend.com/sure-analysis-research-database/","TPG RE Finance Trust Inc")</f>
        <v>TPG RE Finance Trust Inc</v>
      </c>
      <c r="C1603" t="s">
        <v>1799</v>
      </c>
      <c r="D1603">
        <v>6.46</v>
      </c>
      <c r="E1603">
        <v>0.14121181776460401</v>
      </c>
      <c r="F1603">
        <v>0</v>
      </c>
      <c r="G1603">
        <v>-0.11008493827036971</v>
      </c>
      <c r="H1603">
        <v>0.91222834275934506</v>
      </c>
      <c r="I1603">
        <v>502.166718</v>
      </c>
      <c r="J1603" t="s">
        <v>1797</v>
      </c>
      <c r="K1603" t="s">
        <v>1797</v>
      </c>
      <c r="L1603">
        <v>1.804316346926943</v>
      </c>
      <c r="M1603">
        <v>8.0500000000000007</v>
      </c>
      <c r="N1603">
        <v>4.49</v>
      </c>
    </row>
    <row r="1604" spans="1:14" x14ac:dyDescent="0.25">
      <c r="A1604" s="1" t="s">
        <v>1616</v>
      </c>
      <c r="B1604" t="str">
        <f>HYPERLINK("https://www.suredividend.com/sure-analysis-research-database/","Truecar Inc")</f>
        <v>Truecar Inc</v>
      </c>
      <c r="C1604" t="s">
        <v>1806</v>
      </c>
      <c r="D1604">
        <v>3.23</v>
      </c>
      <c r="E1604">
        <v>0</v>
      </c>
      <c r="F1604" t="s">
        <v>1797</v>
      </c>
      <c r="G1604" t="s">
        <v>1797</v>
      </c>
      <c r="H1604">
        <v>0</v>
      </c>
      <c r="I1604">
        <v>293.22009800000001</v>
      </c>
      <c r="J1604" t="s">
        <v>1797</v>
      </c>
      <c r="K1604">
        <v>0</v>
      </c>
      <c r="L1604">
        <v>1.794315865244213</v>
      </c>
      <c r="M1604">
        <v>3.77</v>
      </c>
      <c r="N1604">
        <v>1.76</v>
      </c>
    </row>
    <row r="1605" spans="1:14" x14ac:dyDescent="0.25">
      <c r="A1605" s="1" t="s">
        <v>1617</v>
      </c>
      <c r="B1605" t="str">
        <f>HYPERLINK("https://www.suredividend.com/sure-analysis-research-database/","Trupanion Inc")</f>
        <v>Trupanion Inc</v>
      </c>
      <c r="C1605" t="s">
        <v>1800</v>
      </c>
      <c r="D1605">
        <v>28.29</v>
      </c>
      <c r="E1605">
        <v>0</v>
      </c>
      <c r="F1605" t="s">
        <v>1797</v>
      </c>
      <c r="G1605" t="s">
        <v>1797</v>
      </c>
      <c r="H1605">
        <v>0</v>
      </c>
      <c r="I1605">
        <v>1175.3130860000001</v>
      </c>
      <c r="J1605" t="s">
        <v>1797</v>
      </c>
      <c r="K1605">
        <v>0</v>
      </c>
      <c r="L1605">
        <v>2.2595743398597739</v>
      </c>
      <c r="M1605">
        <v>69.150000000000006</v>
      </c>
      <c r="N1605">
        <v>18.45</v>
      </c>
    </row>
    <row r="1606" spans="1:14" x14ac:dyDescent="0.25">
      <c r="A1606" s="1" t="s">
        <v>1618</v>
      </c>
      <c r="B1606" t="str">
        <f>HYPERLINK("https://www.suredividend.com/sure-analysis-research-database/","Trinseo PLC")</f>
        <v>Trinseo PLC</v>
      </c>
      <c r="C1606" t="s">
        <v>1808</v>
      </c>
      <c r="D1606">
        <v>6.17</v>
      </c>
      <c r="E1606">
        <v>2.7475430404826001E-2</v>
      </c>
      <c r="F1606">
        <v>-0.96875</v>
      </c>
      <c r="G1606">
        <v>-0.52182375010498161</v>
      </c>
      <c r="H1606">
        <v>0.16952340559778001</v>
      </c>
      <c r="I1606">
        <v>217.154662</v>
      </c>
      <c r="J1606" t="s">
        <v>1797</v>
      </c>
      <c r="K1606" t="s">
        <v>1797</v>
      </c>
      <c r="L1606">
        <v>2.1928506914972918</v>
      </c>
      <c r="M1606">
        <v>30.24</v>
      </c>
      <c r="N1606">
        <v>5.47</v>
      </c>
    </row>
    <row r="1607" spans="1:14" x14ac:dyDescent="0.25">
      <c r="A1607" s="1" t="s">
        <v>1619</v>
      </c>
      <c r="B1607" t="str">
        <f>HYPERLINK("https://www.suredividend.com/sure-analysis-research-database/","TuSimple Holdings Inc")</f>
        <v>TuSimple Holdings Inc</v>
      </c>
      <c r="C1607" t="s">
        <v>1797</v>
      </c>
      <c r="D1607">
        <v>0.73499999999999999</v>
      </c>
      <c r="E1607">
        <v>0</v>
      </c>
      <c r="F1607" t="s">
        <v>1797</v>
      </c>
      <c r="G1607" t="s">
        <v>1797</v>
      </c>
      <c r="H1607">
        <v>0</v>
      </c>
      <c r="I1607">
        <v>151.32965200000001</v>
      </c>
      <c r="J1607" t="s">
        <v>1797</v>
      </c>
      <c r="K1607">
        <v>0</v>
      </c>
      <c r="L1607">
        <v>3.2776257176937622</v>
      </c>
      <c r="M1607">
        <v>2.89</v>
      </c>
      <c r="N1607">
        <v>0.72</v>
      </c>
    </row>
    <row r="1608" spans="1:14" x14ac:dyDescent="0.25">
      <c r="A1608" s="1" t="s">
        <v>1620</v>
      </c>
      <c r="B1608" t="str">
        <f>HYPERLINK("https://www.suredividend.com/sure-analysis-research-database/","2seventy bio Inc")</f>
        <v>2seventy bio Inc</v>
      </c>
      <c r="C1608" t="s">
        <v>1797</v>
      </c>
      <c r="D1608">
        <v>3.74</v>
      </c>
      <c r="E1608">
        <v>0</v>
      </c>
      <c r="F1608" t="s">
        <v>1797</v>
      </c>
      <c r="G1608" t="s">
        <v>1797</v>
      </c>
      <c r="H1608">
        <v>0</v>
      </c>
      <c r="I1608">
        <v>189.336026</v>
      </c>
      <c r="J1608" t="s">
        <v>1797</v>
      </c>
      <c r="K1608">
        <v>0</v>
      </c>
      <c r="L1608">
        <v>1.699153383309238</v>
      </c>
      <c r="M1608">
        <v>15.25</v>
      </c>
      <c r="N1608">
        <v>1.54</v>
      </c>
    </row>
    <row r="1609" spans="1:14" x14ac:dyDescent="0.25">
      <c r="A1609" s="1" t="s">
        <v>1621</v>
      </c>
      <c r="B1609" t="str">
        <f>HYPERLINK("https://www.suredividend.com/sure-analysis-research-database/","Tattooed Chef Inc")</f>
        <v>Tattooed Chef Inc</v>
      </c>
      <c r="C1609" t="s">
        <v>1797</v>
      </c>
      <c r="D1609">
        <v>0.158</v>
      </c>
      <c r="E1609">
        <v>0</v>
      </c>
      <c r="F1609" t="s">
        <v>1797</v>
      </c>
      <c r="G1609" t="s">
        <v>1797</v>
      </c>
      <c r="H1609">
        <v>0</v>
      </c>
      <c r="I1609">
        <v>0</v>
      </c>
      <c r="J1609">
        <v>0</v>
      </c>
      <c r="K1609">
        <v>0</v>
      </c>
    </row>
    <row r="1610" spans="1:14" x14ac:dyDescent="0.25">
      <c r="A1610" s="1" t="s">
        <v>1622</v>
      </c>
      <c r="B1610" t="str">
        <f>HYPERLINK("https://www.suredividend.com/sure-analysis-research-database/","TTEC Holdings Inc")</f>
        <v>TTEC Holdings Inc</v>
      </c>
      <c r="C1610" t="s">
        <v>1803</v>
      </c>
      <c r="D1610">
        <v>20.36</v>
      </c>
      <c r="E1610">
        <v>4.9964893072699003E-2</v>
      </c>
      <c r="F1610" t="s">
        <v>1797</v>
      </c>
      <c r="G1610" t="s">
        <v>1797</v>
      </c>
      <c r="H1610">
        <v>1.017285222960171</v>
      </c>
      <c r="I1610">
        <v>965.56019400000002</v>
      </c>
      <c r="J1610">
        <v>23.734917862392759</v>
      </c>
      <c r="K1610">
        <v>1.18537080279675</v>
      </c>
      <c r="L1610">
        <v>1.737848554635796</v>
      </c>
      <c r="M1610">
        <v>51.1</v>
      </c>
      <c r="N1610">
        <v>15.27</v>
      </c>
    </row>
    <row r="1611" spans="1:14" x14ac:dyDescent="0.25">
      <c r="A1611" s="1" t="s">
        <v>1623</v>
      </c>
      <c r="B1611" t="str">
        <f>HYPERLINK("https://www.suredividend.com/sure-analysis-research-database/","Techtarget Inc.")</f>
        <v>Techtarget Inc.</v>
      </c>
      <c r="C1611" t="s">
        <v>1806</v>
      </c>
      <c r="D1611">
        <v>34.81</v>
      </c>
      <c r="E1611">
        <v>0</v>
      </c>
      <c r="F1611" t="s">
        <v>1797</v>
      </c>
      <c r="G1611" t="s">
        <v>1797</v>
      </c>
      <c r="H1611">
        <v>0</v>
      </c>
      <c r="I1611">
        <v>988.05396699999994</v>
      </c>
      <c r="J1611">
        <v>74.564483223152976</v>
      </c>
      <c r="K1611">
        <v>0</v>
      </c>
      <c r="L1611">
        <v>1.443126936224518</v>
      </c>
      <c r="M1611">
        <v>52.95</v>
      </c>
      <c r="N1611">
        <v>23.43</v>
      </c>
    </row>
    <row r="1612" spans="1:14" x14ac:dyDescent="0.25">
      <c r="A1612" s="1" t="s">
        <v>1624</v>
      </c>
      <c r="B1612" t="str">
        <f>HYPERLINK("https://www.suredividend.com/sure-analysis-research-database/","Tetra Technologies, Inc.")</f>
        <v>Tetra Technologies, Inc.</v>
      </c>
      <c r="C1612" t="s">
        <v>1807</v>
      </c>
      <c r="D1612">
        <v>4.09</v>
      </c>
      <c r="E1612">
        <v>0</v>
      </c>
      <c r="F1612" t="s">
        <v>1797</v>
      </c>
      <c r="G1612" t="s">
        <v>1797</v>
      </c>
      <c r="H1612">
        <v>0</v>
      </c>
      <c r="I1612">
        <v>532.02381800000001</v>
      </c>
      <c r="J1612">
        <v>19.157531870296349</v>
      </c>
      <c r="K1612">
        <v>0</v>
      </c>
      <c r="L1612">
        <v>1.1567711727653569</v>
      </c>
      <c r="M1612">
        <v>6.77</v>
      </c>
      <c r="N1612">
        <v>2.4300000000000002</v>
      </c>
    </row>
    <row r="1613" spans="1:14" x14ac:dyDescent="0.25">
      <c r="A1613" s="1" t="s">
        <v>1625</v>
      </c>
      <c r="B1613" t="str">
        <f>HYPERLINK("https://www.suredividend.com/sure-analysis-research-database/","TTM Technologies Inc")</f>
        <v>TTM Technologies Inc</v>
      </c>
      <c r="C1613" t="s">
        <v>1803</v>
      </c>
      <c r="D1613">
        <v>14.84</v>
      </c>
      <c r="E1613">
        <v>0</v>
      </c>
      <c r="F1613" t="s">
        <v>1797</v>
      </c>
      <c r="G1613" t="s">
        <v>1797</v>
      </c>
      <c r="H1613">
        <v>0</v>
      </c>
      <c r="I1613">
        <v>1517.3101899999999</v>
      </c>
      <c r="J1613" t="s">
        <v>1797</v>
      </c>
      <c r="K1613">
        <v>0</v>
      </c>
      <c r="L1613">
        <v>1.3551942034855939</v>
      </c>
      <c r="M1613">
        <v>17.46</v>
      </c>
      <c r="N1613">
        <v>11.13</v>
      </c>
    </row>
    <row r="1614" spans="1:14" x14ac:dyDescent="0.25">
      <c r="A1614" s="1" t="s">
        <v>1626</v>
      </c>
      <c r="B1614" t="str">
        <f>HYPERLINK("https://www.suredividend.com/sure-analysis-research-database/","Tile Shop Hldgs Inc")</f>
        <v>Tile Shop Hldgs Inc</v>
      </c>
      <c r="C1614" t="s">
        <v>1801</v>
      </c>
      <c r="D1614">
        <v>7.01</v>
      </c>
      <c r="E1614">
        <v>0</v>
      </c>
      <c r="F1614" t="s">
        <v>1797</v>
      </c>
      <c r="G1614" t="s">
        <v>1797</v>
      </c>
      <c r="H1614">
        <v>0</v>
      </c>
      <c r="I1614">
        <v>312.16152499999998</v>
      </c>
      <c r="J1614">
        <v>28.67023556943424</v>
      </c>
      <c r="K1614">
        <v>0</v>
      </c>
      <c r="L1614">
        <v>1.096942876094712</v>
      </c>
      <c r="M1614">
        <v>7.67</v>
      </c>
      <c r="N1614">
        <v>4.07</v>
      </c>
    </row>
    <row r="1615" spans="1:14" x14ac:dyDescent="0.25">
      <c r="A1615" s="1" t="s">
        <v>1627</v>
      </c>
      <c r="B1615" t="str">
        <f>HYPERLINK("https://www.suredividend.com/sure-analysis-research-database/","Tupperware Brands Corporation")</f>
        <v>Tupperware Brands Corporation</v>
      </c>
      <c r="C1615" t="s">
        <v>1801</v>
      </c>
      <c r="D1615">
        <v>2.04</v>
      </c>
      <c r="E1615">
        <v>0</v>
      </c>
      <c r="F1615" t="s">
        <v>1797</v>
      </c>
      <c r="G1615" t="s">
        <v>1797</v>
      </c>
      <c r="H1615">
        <v>0</v>
      </c>
      <c r="I1615">
        <v>94.389413000000005</v>
      </c>
      <c r="J1615" t="s">
        <v>1797</v>
      </c>
      <c r="K1615">
        <v>0</v>
      </c>
      <c r="L1615">
        <v>2.6210219362911502</v>
      </c>
      <c r="M1615">
        <v>5.91</v>
      </c>
      <c r="N1615">
        <v>0.61</v>
      </c>
    </row>
    <row r="1616" spans="1:14" x14ac:dyDescent="0.25">
      <c r="A1616" s="1" t="s">
        <v>1628</v>
      </c>
      <c r="B1616" t="str">
        <f>HYPERLINK("https://www.suredividend.com/sure-analysis-research-database/","Travere Therapeutics Inc")</f>
        <v>Travere Therapeutics Inc</v>
      </c>
      <c r="C1616" t="s">
        <v>1797</v>
      </c>
      <c r="D1616">
        <v>9.5299999999999994</v>
      </c>
      <c r="E1616">
        <v>0</v>
      </c>
      <c r="F1616" t="s">
        <v>1797</v>
      </c>
      <c r="G1616" t="s">
        <v>1797</v>
      </c>
      <c r="H1616">
        <v>0</v>
      </c>
      <c r="I1616">
        <v>716.139769</v>
      </c>
      <c r="J1616">
        <v>0</v>
      </c>
      <c r="K1616" t="s">
        <v>1797</v>
      </c>
      <c r="L1616">
        <v>1.3716454160427309</v>
      </c>
      <c r="M1616">
        <v>23.18</v>
      </c>
      <c r="N1616">
        <v>5.25</v>
      </c>
    </row>
    <row r="1617" spans="1:14" x14ac:dyDescent="0.25">
      <c r="A1617" s="1" t="s">
        <v>1629</v>
      </c>
      <c r="B1617" t="str">
        <f>HYPERLINK("https://www.suredividend.com/sure-analysis-research-database/","Titan International, Inc.")</f>
        <v>Titan International, Inc.</v>
      </c>
      <c r="C1617" t="s">
        <v>1798</v>
      </c>
      <c r="D1617">
        <v>14.06</v>
      </c>
      <c r="E1617">
        <v>0</v>
      </c>
      <c r="F1617" t="s">
        <v>1797</v>
      </c>
      <c r="G1617" t="s">
        <v>1797</v>
      </c>
      <c r="H1617">
        <v>0</v>
      </c>
      <c r="I1617">
        <v>870.17027900000005</v>
      </c>
      <c r="J1617">
        <v>7.053623626474284</v>
      </c>
      <c r="K1617">
        <v>0</v>
      </c>
      <c r="L1617">
        <v>1.2116477542541739</v>
      </c>
      <c r="M1617">
        <v>17.23</v>
      </c>
      <c r="N1617">
        <v>9.23</v>
      </c>
    </row>
    <row r="1618" spans="1:14" x14ac:dyDescent="0.25">
      <c r="A1618" s="1" t="s">
        <v>1630</v>
      </c>
      <c r="B1618" t="str">
        <f>HYPERLINK("https://www.suredividend.com/sure-analysis-research-database/","Hostess Brands Inc")</f>
        <v>Hostess Brands Inc</v>
      </c>
      <c r="C1618" t="s">
        <v>1804</v>
      </c>
      <c r="D1618">
        <v>33.299999999999997</v>
      </c>
      <c r="E1618">
        <v>0</v>
      </c>
      <c r="F1618" t="s">
        <v>1797</v>
      </c>
      <c r="G1618" t="s">
        <v>1797</v>
      </c>
      <c r="H1618">
        <v>0</v>
      </c>
      <c r="I1618">
        <v>0</v>
      </c>
      <c r="J1618">
        <v>0</v>
      </c>
      <c r="K1618">
        <v>0</v>
      </c>
    </row>
    <row r="1619" spans="1:14" x14ac:dyDescent="0.25">
      <c r="A1619" s="1" t="s">
        <v>1631</v>
      </c>
      <c r="B1619" t="str">
        <f>HYPERLINK("https://www.suredividend.com/sure-analysis-TWO/","Two Harbors Investment Corp")</f>
        <v>Two Harbors Investment Corp</v>
      </c>
      <c r="C1619" t="s">
        <v>1799</v>
      </c>
      <c r="D1619">
        <v>13.59</v>
      </c>
      <c r="E1619">
        <v>0.1324503311258278</v>
      </c>
      <c r="F1619">
        <v>-0.25000000000000011</v>
      </c>
      <c r="G1619">
        <v>-8.6593126886237437E-3</v>
      </c>
      <c r="H1619">
        <v>1.8491894311344681</v>
      </c>
      <c r="I1619">
        <v>1307.19318</v>
      </c>
      <c r="J1619">
        <v>45.863208914462142</v>
      </c>
      <c r="K1619">
        <v>6.6517605436491651</v>
      </c>
      <c r="L1619">
        <v>1.40931072530294</v>
      </c>
      <c r="M1619">
        <v>16.2</v>
      </c>
      <c r="N1619">
        <v>9.51</v>
      </c>
    </row>
    <row r="1620" spans="1:14" x14ac:dyDescent="0.25">
      <c r="A1620" s="1" t="s">
        <v>1632</v>
      </c>
      <c r="B1620" t="str">
        <f>HYPERLINK("https://www.suredividend.com/sure-analysis-research-database/","2U Inc")</f>
        <v>2U Inc</v>
      </c>
      <c r="C1620" t="s">
        <v>1804</v>
      </c>
      <c r="D1620">
        <v>0.97310000000000008</v>
      </c>
      <c r="E1620">
        <v>0</v>
      </c>
      <c r="F1620" t="s">
        <v>1797</v>
      </c>
      <c r="G1620" t="s">
        <v>1797</v>
      </c>
      <c r="H1620">
        <v>0</v>
      </c>
      <c r="I1620">
        <v>79.861502999999999</v>
      </c>
      <c r="J1620" t="s">
        <v>1797</v>
      </c>
      <c r="K1620">
        <v>0</v>
      </c>
      <c r="L1620">
        <v>3.0357480475651708</v>
      </c>
      <c r="M1620">
        <v>13.15</v>
      </c>
      <c r="N1620">
        <v>0.88</v>
      </c>
    </row>
    <row r="1621" spans="1:14" x14ac:dyDescent="0.25">
      <c r="A1621" s="1" t="s">
        <v>1633</v>
      </c>
      <c r="B1621" t="str">
        <f>HYPERLINK("https://www.suredividend.com/sure-analysis-research-database/","Twist Bioscience Corp")</f>
        <v>Twist Bioscience Corp</v>
      </c>
      <c r="C1621" t="s">
        <v>1802</v>
      </c>
      <c r="D1621">
        <v>36.119999999999997</v>
      </c>
      <c r="E1621">
        <v>0</v>
      </c>
      <c r="F1621" t="s">
        <v>1797</v>
      </c>
      <c r="G1621" t="s">
        <v>1797</v>
      </c>
      <c r="H1621">
        <v>0</v>
      </c>
      <c r="I1621">
        <v>2086.9786720000002</v>
      </c>
      <c r="J1621" t="s">
        <v>1797</v>
      </c>
      <c r="K1621">
        <v>0</v>
      </c>
      <c r="L1621">
        <v>3.030779465346026</v>
      </c>
      <c r="M1621">
        <v>39.74</v>
      </c>
      <c r="N1621">
        <v>11.46</v>
      </c>
    </row>
    <row r="1622" spans="1:14" x14ac:dyDescent="0.25">
      <c r="A1622" s="1" t="s">
        <v>1634</v>
      </c>
      <c r="B1622" t="str">
        <f>HYPERLINK("https://www.suredividend.com/sure-analysis-research-database/","Texas Roadhouse Inc")</f>
        <v>Texas Roadhouse Inc</v>
      </c>
      <c r="C1622" t="s">
        <v>1801</v>
      </c>
      <c r="D1622">
        <v>116.78</v>
      </c>
      <c r="E1622">
        <v>1.8649770245520999E-2</v>
      </c>
      <c r="F1622" t="s">
        <v>1797</v>
      </c>
      <c r="G1622" t="s">
        <v>1797</v>
      </c>
      <c r="H1622">
        <v>2.1779201692719652</v>
      </c>
      <c r="I1622">
        <v>7798.9329870000001</v>
      </c>
      <c r="J1622">
        <v>26.680258311045421</v>
      </c>
      <c r="K1622">
        <v>0.50067130328091158</v>
      </c>
      <c r="L1622">
        <v>0.58408093059588506</v>
      </c>
      <c r="M1622">
        <v>124.02</v>
      </c>
      <c r="N1622">
        <v>90.62</v>
      </c>
    </row>
    <row r="1623" spans="1:14" x14ac:dyDescent="0.25">
      <c r="A1623" s="1" t="s">
        <v>1635</v>
      </c>
      <c r="B1623" t="str">
        <f>HYPERLINK("https://www.suredividend.com/sure-analysis-research-database/","Tyra Biosciences Inc")</f>
        <v>Tyra Biosciences Inc</v>
      </c>
      <c r="C1623" t="s">
        <v>1797</v>
      </c>
      <c r="D1623">
        <v>12.81</v>
      </c>
      <c r="E1623">
        <v>0</v>
      </c>
      <c r="F1623" t="s">
        <v>1797</v>
      </c>
      <c r="G1623" t="s">
        <v>1797</v>
      </c>
      <c r="H1623">
        <v>0</v>
      </c>
      <c r="I1623">
        <v>551.58254899999997</v>
      </c>
      <c r="J1623">
        <v>0</v>
      </c>
      <c r="K1623" t="s">
        <v>1797</v>
      </c>
      <c r="L1623">
        <v>2.1026643774627538</v>
      </c>
      <c r="M1623">
        <v>19.739999999999998</v>
      </c>
      <c r="N1623">
        <v>7.18</v>
      </c>
    </row>
    <row r="1624" spans="1:14" x14ac:dyDescent="0.25">
      <c r="A1624" s="1" t="s">
        <v>1636</v>
      </c>
      <c r="B1624" t="str">
        <f>HYPERLINK("https://www.suredividend.com/sure-analysis-research-database/","Urstadt Biddle Properties, Inc.")</f>
        <v>Urstadt Biddle Properties, Inc.</v>
      </c>
      <c r="C1624" t="s">
        <v>1799</v>
      </c>
      <c r="D1624">
        <v>21.14</v>
      </c>
      <c r="E1624">
        <v>5.5464129916136001E-2</v>
      </c>
      <c r="F1624" t="s">
        <v>1797</v>
      </c>
      <c r="G1624" t="s">
        <v>1797</v>
      </c>
      <c r="H1624">
        <v>1.1725117064271331</v>
      </c>
      <c r="I1624">
        <v>832.17413299999998</v>
      </c>
      <c r="J1624">
        <v>32.572965921011431</v>
      </c>
      <c r="K1624">
        <v>1.743771127940412</v>
      </c>
      <c r="L1624">
        <v>0.81191969794392305</v>
      </c>
      <c r="M1624">
        <v>23.16</v>
      </c>
      <c r="N1624">
        <v>14.51</v>
      </c>
    </row>
    <row r="1625" spans="1:14" x14ac:dyDescent="0.25">
      <c r="A1625" s="1" t="s">
        <v>1637</v>
      </c>
      <c r="B1625" t="str">
        <f>HYPERLINK("https://www.suredividend.com/sure-analysis-UBSI/","United Bankshares, Inc.")</f>
        <v>United Bankshares, Inc.</v>
      </c>
      <c r="C1625" t="s">
        <v>1800</v>
      </c>
      <c r="D1625">
        <v>36.33</v>
      </c>
      <c r="E1625">
        <v>4.0737682356179472E-2</v>
      </c>
      <c r="F1625">
        <v>2.7777777777777901E-2</v>
      </c>
      <c r="G1625">
        <v>1.7055286171035359E-2</v>
      </c>
      <c r="H1625">
        <v>1.4025073501417049</v>
      </c>
      <c r="I1625">
        <v>4902.1164349999999</v>
      </c>
      <c r="J1625">
        <v>12.677187900710649</v>
      </c>
      <c r="K1625">
        <v>0.4886785192131376</v>
      </c>
      <c r="L1625">
        <v>1.4445187215918209</v>
      </c>
      <c r="M1625">
        <v>39.299999999999997</v>
      </c>
      <c r="N1625">
        <v>24.81</v>
      </c>
    </row>
    <row r="1626" spans="1:14" x14ac:dyDescent="0.25">
      <c r="A1626" s="1" t="s">
        <v>1638</v>
      </c>
      <c r="B1626" t="str">
        <f>HYPERLINK("https://www.suredividend.com/sure-analysis-research-database/","United Community Banks Inc")</f>
        <v>United Community Banks Inc</v>
      </c>
      <c r="C1626" t="s">
        <v>1800</v>
      </c>
      <c r="D1626">
        <v>28.87</v>
      </c>
      <c r="E1626">
        <v>3.1146107975565E-2</v>
      </c>
      <c r="F1626">
        <v>4.5454545454545407E-2</v>
      </c>
      <c r="G1626">
        <v>7.5280006405569644E-2</v>
      </c>
      <c r="H1626">
        <v>0.89918813725458302</v>
      </c>
      <c r="I1626">
        <v>3434.9482979999998</v>
      </c>
      <c r="J1626">
        <v>13.87740150682164</v>
      </c>
      <c r="K1626">
        <v>0.41629080428452908</v>
      </c>
      <c r="L1626">
        <v>1.7923176450186169</v>
      </c>
      <c r="M1626">
        <v>33.47</v>
      </c>
      <c r="N1626">
        <v>19.52</v>
      </c>
    </row>
    <row r="1627" spans="1:14" x14ac:dyDescent="0.25">
      <c r="A1627" s="1" t="s">
        <v>1639</v>
      </c>
      <c r="B1627" t="str">
        <f>HYPERLINK("https://www.suredividend.com/sure-analysis-research-database/","Ultra Clean Hldgs Inc")</f>
        <v>Ultra Clean Hldgs Inc</v>
      </c>
      <c r="C1627" t="s">
        <v>1803</v>
      </c>
      <c r="D1627">
        <v>32.82</v>
      </c>
      <c r="E1627">
        <v>0</v>
      </c>
      <c r="F1627" t="s">
        <v>1797</v>
      </c>
      <c r="G1627" t="s">
        <v>1797</v>
      </c>
      <c r="H1627">
        <v>0</v>
      </c>
      <c r="I1627">
        <v>1471.3461669999999</v>
      </c>
      <c r="J1627">
        <v>2452.2436112999999</v>
      </c>
      <c r="K1627">
        <v>0</v>
      </c>
      <c r="L1627">
        <v>1.7259387654618119</v>
      </c>
      <c r="M1627">
        <v>40.799999999999997</v>
      </c>
      <c r="N1627">
        <v>22.15</v>
      </c>
    </row>
    <row r="1628" spans="1:14" x14ac:dyDescent="0.25">
      <c r="A1628" s="1" t="s">
        <v>1640</v>
      </c>
      <c r="B1628" t="str">
        <f>HYPERLINK("https://www.suredividend.com/sure-analysis-research-database/","Udemy Inc")</f>
        <v>Udemy Inc</v>
      </c>
      <c r="C1628" t="s">
        <v>1797</v>
      </c>
      <c r="D1628">
        <v>13.59</v>
      </c>
      <c r="E1628">
        <v>0</v>
      </c>
      <c r="F1628" t="s">
        <v>1797</v>
      </c>
      <c r="G1628" t="s">
        <v>1797</v>
      </c>
      <c r="H1628">
        <v>0</v>
      </c>
      <c r="I1628">
        <v>2083.7470079999998</v>
      </c>
      <c r="J1628" t="s">
        <v>1797</v>
      </c>
      <c r="K1628">
        <v>0</v>
      </c>
      <c r="L1628">
        <v>1.831687058308948</v>
      </c>
      <c r="M1628">
        <v>16.010000000000002</v>
      </c>
      <c r="N1628">
        <v>8.17</v>
      </c>
    </row>
    <row r="1629" spans="1:14" x14ac:dyDescent="0.25">
      <c r="A1629" s="1" t="s">
        <v>1641</v>
      </c>
      <c r="B1629" t="str">
        <f>HYPERLINK("https://www.suredividend.com/sure-analysis-UE/","Urban Edge Properties")</f>
        <v>Urban Edge Properties</v>
      </c>
      <c r="C1629" t="s">
        <v>1799</v>
      </c>
      <c r="D1629">
        <v>17.88</v>
      </c>
      <c r="E1629">
        <v>3.5794183445190163E-2</v>
      </c>
      <c r="F1629" t="s">
        <v>1797</v>
      </c>
      <c r="G1629" t="s">
        <v>1797</v>
      </c>
      <c r="H1629">
        <v>0.630959824952255</v>
      </c>
      <c r="I1629">
        <v>2103.4475779999998</v>
      </c>
      <c r="J1629">
        <v>51.421492645577672</v>
      </c>
      <c r="K1629">
        <v>1.878975059417078</v>
      </c>
      <c r="L1629">
        <v>1.2094867613671929</v>
      </c>
      <c r="M1629">
        <v>18.79</v>
      </c>
      <c r="N1629">
        <v>12.74</v>
      </c>
    </row>
    <row r="1630" spans="1:14" x14ac:dyDescent="0.25">
      <c r="A1630" s="1" t="s">
        <v>1642</v>
      </c>
      <c r="B1630" t="str">
        <f>HYPERLINK("https://www.suredividend.com/sure-analysis-research-database/","Uranium Energy Corp")</f>
        <v>Uranium Energy Corp</v>
      </c>
      <c r="C1630" t="s">
        <v>1807</v>
      </c>
      <c r="D1630">
        <v>7.77</v>
      </c>
      <c r="E1630">
        <v>0</v>
      </c>
      <c r="F1630" t="s">
        <v>1797</v>
      </c>
      <c r="G1630" t="s">
        <v>1797</v>
      </c>
      <c r="H1630">
        <v>0</v>
      </c>
      <c r="I1630">
        <v>3053.4524550000001</v>
      </c>
      <c r="J1630">
        <v>809.93433832360745</v>
      </c>
      <c r="K1630">
        <v>0</v>
      </c>
      <c r="L1630">
        <v>1.155027095328176</v>
      </c>
      <c r="M1630">
        <v>7.83</v>
      </c>
      <c r="N1630">
        <v>2.2999999999999998</v>
      </c>
    </row>
    <row r="1631" spans="1:14" x14ac:dyDescent="0.25">
      <c r="A1631" s="1" t="s">
        <v>1643</v>
      </c>
      <c r="B1631" t="str">
        <f>HYPERLINK("https://www.suredividend.com/sure-analysis-research-database/","Universal Electronics Inc.")</f>
        <v>Universal Electronics Inc.</v>
      </c>
      <c r="C1631" t="s">
        <v>1803</v>
      </c>
      <c r="D1631">
        <v>9.09</v>
      </c>
      <c r="E1631">
        <v>0</v>
      </c>
      <c r="F1631" t="s">
        <v>1797</v>
      </c>
      <c r="G1631" t="s">
        <v>1797</v>
      </c>
      <c r="H1631">
        <v>0</v>
      </c>
      <c r="I1631">
        <v>117.73497999999999</v>
      </c>
      <c r="J1631" t="s">
        <v>1797</v>
      </c>
      <c r="K1631">
        <v>0</v>
      </c>
      <c r="L1631">
        <v>1.2468832974343429</v>
      </c>
      <c r="M1631">
        <v>25.91</v>
      </c>
      <c r="N1631">
        <v>7.02</v>
      </c>
    </row>
    <row r="1632" spans="1:14" x14ac:dyDescent="0.25">
      <c r="A1632" s="1" t="s">
        <v>1644</v>
      </c>
      <c r="B1632" t="str">
        <f>HYPERLINK("https://www.suredividend.com/sure-analysis-research-database/","United Fire Group Inc")</f>
        <v>United Fire Group Inc</v>
      </c>
      <c r="C1632" t="s">
        <v>1800</v>
      </c>
      <c r="D1632">
        <v>21.05</v>
      </c>
      <c r="E1632">
        <v>2.9709328932019E-2</v>
      </c>
      <c r="F1632">
        <v>0</v>
      </c>
      <c r="G1632">
        <v>-0.1239040801101997</v>
      </c>
      <c r="H1632">
        <v>0.62538137401901805</v>
      </c>
      <c r="I1632">
        <v>531.83563900000001</v>
      </c>
      <c r="J1632" t="s">
        <v>1797</v>
      </c>
      <c r="K1632" t="s">
        <v>1797</v>
      </c>
      <c r="L1632">
        <v>0.56902713647761305</v>
      </c>
      <c r="M1632">
        <v>30.89</v>
      </c>
      <c r="N1632">
        <v>18.13</v>
      </c>
    </row>
    <row r="1633" spans="1:14" x14ac:dyDescent="0.25">
      <c r="A1633" s="1" t="s">
        <v>1645</v>
      </c>
      <c r="B1633" t="str">
        <f>HYPERLINK("https://www.suredividend.com/sure-analysis-research-database/","UNIFI, Inc.")</f>
        <v>UNIFI, Inc.</v>
      </c>
      <c r="C1633" t="s">
        <v>1801</v>
      </c>
      <c r="D1633">
        <v>6.65</v>
      </c>
      <c r="E1633">
        <v>0</v>
      </c>
      <c r="F1633" t="s">
        <v>1797</v>
      </c>
      <c r="G1633" t="s">
        <v>1797</v>
      </c>
      <c r="H1633">
        <v>0</v>
      </c>
      <c r="I1633">
        <v>120.47542300000001</v>
      </c>
      <c r="J1633" t="s">
        <v>1797</v>
      </c>
      <c r="K1633">
        <v>0</v>
      </c>
      <c r="L1633">
        <v>1.4146407843305919</v>
      </c>
      <c r="M1633">
        <v>10.54</v>
      </c>
      <c r="N1633">
        <v>5.85</v>
      </c>
    </row>
    <row r="1634" spans="1:14" x14ac:dyDescent="0.25">
      <c r="A1634" s="1" t="s">
        <v>1646</v>
      </c>
      <c r="B1634" t="str">
        <f>HYPERLINK("https://www.suredividend.com/sure-analysis-research-database/","UFP Industries Inc")</f>
        <v>UFP Industries Inc</v>
      </c>
      <c r="C1634" t="s">
        <v>1808</v>
      </c>
      <c r="D1634">
        <v>116.67</v>
      </c>
      <c r="E1634">
        <v>9.3602209503160002E-3</v>
      </c>
      <c r="F1634" t="s">
        <v>1797</v>
      </c>
      <c r="G1634" t="s">
        <v>1797</v>
      </c>
      <c r="H1634">
        <v>1.0920569782733811</v>
      </c>
      <c r="I1634">
        <v>7197.0222899999999</v>
      </c>
      <c r="J1634">
        <v>13.89450918575378</v>
      </c>
      <c r="K1634">
        <v>0.12802543707777039</v>
      </c>
      <c r="L1634">
        <v>1.4708405834257889</v>
      </c>
      <c r="M1634">
        <v>128.65</v>
      </c>
      <c r="N1634">
        <v>73.95</v>
      </c>
    </row>
    <row r="1635" spans="1:14" x14ac:dyDescent="0.25">
      <c r="A1635" s="1" t="s">
        <v>1647</v>
      </c>
      <c r="B1635" t="str">
        <f>HYPERLINK("https://www.suredividend.com/sure-analysis-research-database/","UFP Technologies Inc.")</f>
        <v>UFP Technologies Inc.</v>
      </c>
      <c r="C1635" t="s">
        <v>1801</v>
      </c>
      <c r="D1635">
        <v>167.21</v>
      </c>
      <c r="E1635">
        <v>0</v>
      </c>
      <c r="F1635" t="s">
        <v>1797</v>
      </c>
      <c r="G1635" t="s">
        <v>1797</v>
      </c>
      <c r="H1635">
        <v>0</v>
      </c>
      <c r="I1635">
        <v>1277.2857550000001</v>
      </c>
      <c r="J1635">
        <v>30.573166607305279</v>
      </c>
      <c r="K1635">
        <v>0</v>
      </c>
      <c r="L1635">
        <v>1.0047740997047621</v>
      </c>
      <c r="M1635">
        <v>205.08</v>
      </c>
      <c r="N1635">
        <v>103.64</v>
      </c>
    </row>
    <row r="1636" spans="1:14" x14ac:dyDescent="0.25">
      <c r="A1636" s="1" t="s">
        <v>1648</v>
      </c>
      <c r="B1636" t="str">
        <f>HYPERLINK("https://www.suredividend.com/sure-analysis-UHT/","Universal Health Realty Income Trust")</f>
        <v>Universal Health Realty Income Trust</v>
      </c>
      <c r="C1636" t="s">
        <v>1799</v>
      </c>
      <c r="D1636">
        <v>42.27</v>
      </c>
      <c r="E1636">
        <v>6.8606576768393657E-2</v>
      </c>
      <c r="F1636">
        <v>1.398601398601396E-2</v>
      </c>
      <c r="G1636">
        <v>1.4394408739590411E-2</v>
      </c>
      <c r="H1636">
        <v>2.8125652303141488</v>
      </c>
      <c r="I1636">
        <v>584.30044999999996</v>
      </c>
      <c r="J1636">
        <v>33.507308768780817</v>
      </c>
      <c r="K1636">
        <v>2.2321946272334521</v>
      </c>
      <c r="L1636">
        <v>0.83421517850017401</v>
      </c>
      <c r="M1636">
        <v>54.08</v>
      </c>
      <c r="N1636">
        <v>36.4</v>
      </c>
    </row>
    <row r="1637" spans="1:14" x14ac:dyDescent="0.25">
      <c r="A1637" s="1" t="s">
        <v>1649</v>
      </c>
      <c r="B1637" t="str">
        <f>HYPERLINK("https://www.suredividend.com/sure-analysis-research-database/","Unisys Corp.")</f>
        <v>Unisys Corp.</v>
      </c>
      <c r="C1637" t="s">
        <v>1803</v>
      </c>
      <c r="D1637">
        <v>6.41</v>
      </c>
      <c r="E1637">
        <v>0</v>
      </c>
      <c r="F1637" t="s">
        <v>1797</v>
      </c>
      <c r="G1637" t="s">
        <v>1797</v>
      </c>
      <c r="H1637">
        <v>0</v>
      </c>
      <c r="I1637">
        <v>438.40655900000002</v>
      </c>
      <c r="J1637" t="s">
        <v>1797</v>
      </c>
      <c r="K1637">
        <v>0</v>
      </c>
      <c r="L1637">
        <v>2.1091823376255672</v>
      </c>
      <c r="M1637">
        <v>7.04</v>
      </c>
      <c r="N1637">
        <v>2.6</v>
      </c>
    </row>
    <row r="1638" spans="1:14" x14ac:dyDescent="0.25">
      <c r="A1638" s="1" t="s">
        <v>1650</v>
      </c>
      <c r="B1638" t="str">
        <f>HYPERLINK("https://www.suredividend.com/sure-analysis-research-database/","Frontier Group Holdings Inc")</f>
        <v>Frontier Group Holdings Inc</v>
      </c>
      <c r="C1638" t="s">
        <v>1797</v>
      </c>
      <c r="D1638">
        <v>4.72</v>
      </c>
      <c r="E1638">
        <v>0</v>
      </c>
      <c r="F1638" t="s">
        <v>1797</v>
      </c>
      <c r="G1638" t="s">
        <v>1797</v>
      </c>
      <c r="H1638">
        <v>0</v>
      </c>
      <c r="I1638">
        <v>1043.4207630000001</v>
      </c>
      <c r="J1638">
        <v>15.80940550181818</v>
      </c>
      <c r="K1638">
        <v>0</v>
      </c>
      <c r="L1638">
        <v>1.8781011725223831</v>
      </c>
      <c r="M1638">
        <v>14.1</v>
      </c>
      <c r="N1638">
        <v>3.19</v>
      </c>
    </row>
    <row r="1639" spans="1:14" x14ac:dyDescent="0.25">
      <c r="A1639" s="1" t="s">
        <v>1651</v>
      </c>
      <c r="B1639" t="str">
        <f>HYPERLINK("https://www.suredividend.com/sure-analysis-research-database/","Universal Logistics Holdings Inc")</f>
        <v>Universal Logistics Holdings Inc</v>
      </c>
      <c r="C1639" t="s">
        <v>1798</v>
      </c>
      <c r="D1639">
        <v>30.65</v>
      </c>
      <c r="E1639">
        <v>1.3537336322156E-2</v>
      </c>
      <c r="F1639">
        <v>0</v>
      </c>
      <c r="G1639">
        <v>0</v>
      </c>
      <c r="H1639">
        <v>0.41491935827409898</v>
      </c>
      <c r="I1639">
        <v>805.61143500000003</v>
      </c>
      <c r="J1639">
        <v>7.6773155978996312</v>
      </c>
      <c r="K1639">
        <v>0.1039898141037842</v>
      </c>
      <c r="L1639">
        <v>1.107030667538986</v>
      </c>
      <c r="M1639">
        <v>43.78</v>
      </c>
      <c r="N1639">
        <v>20.67</v>
      </c>
    </row>
    <row r="1640" spans="1:14" x14ac:dyDescent="0.25">
      <c r="A1640" s="1" t="s">
        <v>1652</v>
      </c>
      <c r="B1640" t="str">
        <f>HYPERLINK("https://www.suredividend.com/sure-analysis-UMBF/","UMB Financial Corp.")</f>
        <v>UMB Financial Corp.</v>
      </c>
      <c r="C1640" t="s">
        <v>1800</v>
      </c>
      <c r="D1640">
        <v>79.540000000000006</v>
      </c>
      <c r="E1640">
        <v>1.96127734473221E-2</v>
      </c>
      <c r="F1640">
        <v>2.6315789473684289E-2</v>
      </c>
      <c r="G1640">
        <v>5.387395206178347E-2</v>
      </c>
      <c r="H1640">
        <v>1.5047991756355139</v>
      </c>
      <c r="I1640">
        <v>3860.5475540000002</v>
      </c>
      <c r="J1640">
        <v>10.17878250035594</v>
      </c>
      <c r="K1640">
        <v>0.19341891717680129</v>
      </c>
      <c r="L1640">
        <v>1.555219662084282</v>
      </c>
      <c r="M1640">
        <v>89.17</v>
      </c>
      <c r="N1640">
        <v>48.98</v>
      </c>
    </row>
    <row r="1641" spans="1:14" x14ac:dyDescent="0.25">
      <c r="A1641" s="1" t="s">
        <v>1653</v>
      </c>
      <c r="B1641" t="str">
        <f>HYPERLINK("https://www.suredividend.com/sure-analysis-UMH/","UMH Properties Inc")</f>
        <v>UMH Properties Inc</v>
      </c>
      <c r="C1641" t="s">
        <v>1799</v>
      </c>
      <c r="D1641">
        <v>15.8</v>
      </c>
      <c r="E1641">
        <v>5.1898734177215182E-2</v>
      </c>
      <c r="F1641">
        <v>2.4999999999999911E-2</v>
      </c>
      <c r="G1641">
        <v>2.635185407071083E-2</v>
      </c>
      <c r="H1641">
        <v>0.80330870133070409</v>
      </c>
      <c r="I1641">
        <v>1049.0906440000001</v>
      </c>
      <c r="J1641" t="s">
        <v>1797</v>
      </c>
      <c r="K1641" t="s">
        <v>1797</v>
      </c>
      <c r="L1641">
        <v>1.089121612565243</v>
      </c>
      <c r="M1641">
        <v>17.920000000000002</v>
      </c>
      <c r="N1641">
        <v>13.07</v>
      </c>
    </row>
    <row r="1642" spans="1:14" x14ac:dyDescent="0.25">
      <c r="A1642" s="1" t="s">
        <v>1654</v>
      </c>
      <c r="B1642" t="str">
        <f>HYPERLINK("https://www.suredividend.com/sure-analysis-UNF/","Unifirst Corp.")</f>
        <v>Unifirst Corp.</v>
      </c>
      <c r="C1642" t="s">
        <v>1798</v>
      </c>
      <c r="D1642">
        <v>169.03</v>
      </c>
      <c r="E1642">
        <v>7.335975862272969E-3</v>
      </c>
      <c r="F1642">
        <v>6.4516129032258229E-2</v>
      </c>
      <c r="G1642">
        <v>0.2401444770294936</v>
      </c>
      <c r="H1642">
        <v>1.2566441551257259</v>
      </c>
      <c r="I1642">
        <v>2554.2170630000001</v>
      </c>
      <c r="J1642">
        <v>22.796960629406829</v>
      </c>
      <c r="K1642">
        <v>0.21049315831251689</v>
      </c>
      <c r="L1642">
        <v>0.75369407826338608</v>
      </c>
      <c r="M1642">
        <v>204.16</v>
      </c>
      <c r="N1642">
        <v>149.96</v>
      </c>
    </row>
    <row r="1643" spans="1:14" x14ac:dyDescent="0.25">
      <c r="A1643" s="1" t="s">
        <v>1655</v>
      </c>
      <c r="B1643" t="str">
        <f>HYPERLINK("https://www.suredividend.com/sure-analysis-research-database/","United Natural Foods Inc.")</f>
        <v>United Natural Foods Inc.</v>
      </c>
      <c r="C1643" t="s">
        <v>1804</v>
      </c>
      <c r="D1643">
        <v>14.84</v>
      </c>
      <c r="E1643">
        <v>0</v>
      </c>
      <c r="F1643" t="s">
        <v>1797</v>
      </c>
      <c r="G1643" t="s">
        <v>1797</v>
      </c>
      <c r="H1643">
        <v>0</v>
      </c>
      <c r="I1643">
        <v>881.61425999999994</v>
      </c>
      <c r="J1643" t="s">
        <v>1797</v>
      </c>
      <c r="K1643">
        <v>0</v>
      </c>
      <c r="L1643">
        <v>1.3837516320287191</v>
      </c>
      <c r="M1643">
        <v>43.95</v>
      </c>
      <c r="N1643">
        <v>12.88</v>
      </c>
    </row>
    <row r="1644" spans="1:14" x14ac:dyDescent="0.25">
      <c r="A1644" s="1" t="s">
        <v>1656</v>
      </c>
      <c r="B1644" t="str">
        <f>HYPERLINK("https://www.suredividend.com/sure-analysis-UNIT/","Uniti Group Inc")</f>
        <v>Uniti Group Inc</v>
      </c>
      <c r="C1644" t="s">
        <v>1799</v>
      </c>
      <c r="D1644">
        <v>5.71</v>
      </c>
      <c r="E1644">
        <v>0.1050788091068301</v>
      </c>
      <c r="F1644">
        <v>0</v>
      </c>
      <c r="G1644">
        <v>0.2457309396155174</v>
      </c>
      <c r="H1644">
        <v>0.57096649798518406</v>
      </c>
      <c r="I1644">
        <v>1362.8177020000001</v>
      </c>
      <c r="J1644" t="s">
        <v>1797</v>
      </c>
      <c r="K1644" t="s">
        <v>1797</v>
      </c>
      <c r="L1644">
        <v>2.1932127726758308</v>
      </c>
      <c r="M1644">
        <v>6</v>
      </c>
      <c r="N1644">
        <v>2.6</v>
      </c>
    </row>
    <row r="1645" spans="1:14" x14ac:dyDescent="0.25">
      <c r="A1645" s="1" t="s">
        <v>1657</v>
      </c>
      <c r="B1645" t="str">
        <f>HYPERLINK("https://www.suredividend.com/sure-analysis-research-database/","Unity Bancorp, Inc.")</f>
        <v>Unity Bancorp, Inc.</v>
      </c>
      <c r="C1645" t="s">
        <v>1800</v>
      </c>
      <c r="D1645">
        <v>27.92</v>
      </c>
      <c r="E1645">
        <v>1.6950913593956E-2</v>
      </c>
      <c r="F1645">
        <v>9.0909090909090828E-2</v>
      </c>
      <c r="G1645">
        <v>0.1138241786028789</v>
      </c>
      <c r="H1645">
        <v>0.47326950754325497</v>
      </c>
      <c r="I1645">
        <v>280.81131900000003</v>
      </c>
      <c r="J1645">
        <v>0</v>
      </c>
      <c r="K1645" t="s">
        <v>1797</v>
      </c>
      <c r="L1645">
        <v>0.83620566457535006</v>
      </c>
      <c r="M1645">
        <v>29.88</v>
      </c>
      <c r="N1645">
        <v>19.440000000000001</v>
      </c>
    </row>
    <row r="1646" spans="1:14" x14ac:dyDescent="0.25">
      <c r="A1646" s="1" t="s">
        <v>1658</v>
      </c>
      <c r="B1646" t="str">
        <f>HYPERLINK("https://www.suredividend.com/sure-analysis-research-database/","Urban One Inc")</f>
        <v>Urban One Inc</v>
      </c>
      <c r="C1646" t="s">
        <v>1806</v>
      </c>
      <c r="D1646">
        <v>3.88</v>
      </c>
      <c r="E1646">
        <v>0</v>
      </c>
      <c r="F1646" t="s">
        <v>1797</v>
      </c>
      <c r="G1646" t="s">
        <v>1797</v>
      </c>
      <c r="H1646">
        <v>0</v>
      </c>
      <c r="I1646">
        <v>168.05693299999999</v>
      </c>
      <c r="J1646">
        <v>11.396781036213209</v>
      </c>
      <c r="K1646">
        <v>0</v>
      </c>
      <c r="L1646">
        <v>1.0126202902368191</v>
      </c>
      <c r="M1646">
        <v>8.0399999999999991</v>
      </c>
      <c r="N1646">
        <v>3.47</v>
      </c>
    </row>
    <row r="1647" spans="1:14" x14ac:dyDescent="0.25">
      <c r="A1647" s="1" t="s">
        <v>1659</v>
      </c>
      <c r="B1647" t="str">
        <f>HYPERLINK("https://www.suredividend.com/sure-analysis-research-database/","Urban One Inc")</f>
        <v>Urban One Inc</v>
      </c>
      <c r="C1647" t="s">
        <v>1806</v>
      </c>
      <c r="D1647">
        <v>3.8</v>
      </c>
      <c r="E1647">
        <v>0</v>
      </c>
      <c r="F1647" t="s">
        <v>1797</v>
      </c>
      <c r="G1647" t="s">
        <v>1797</v>
      </c>
      <c r="H1647">
        <v>0</v>
      </c>
      <c r="I1647">
        <v>168.05693299999999</v>
      </c>
      <c r="J1647">
        <v>11.396781036213209</v>
      </c>
      <c r="K1647">
        <v>0</v>
      </c>
      <c r="L1647">
        <v>0.84471036893573903</v>
      </c>
      <c r="M1647">
        <v>6.34</v>
      </c>
      <c r="N1647">
        <v>3.33</v>
      </c>
    </row>
    <row r="1648" spans="1:14" x14ac:dyDescent="0.25">
      <c r="A1648" s="1" t="s">
        <v>1660</v>
      </c>
      <c r="B1648" t="str">
        <f>HYPERLINK("https://www.suredividend.com/sure-analysis-research-database/","Wheels Up Experience Inc")</f>
        <v>Wheels Up Experience Inc</v>
      </c>
      <c r="C1648" t="s">
        <v>1797</v>
      </c>
      <c r="D1648">
        <v>4.1399999999999997</v>
      </c>
      <c r="E1648">
        <v>0</v>
      </c>
      <c r="F1648" t="s">
        <v>1797</v>
      </c>
      <c r="G1648" t="s">
        <v>1797</v>
      </c>
      <c r="H1648">
        <v>0</v>
      </c>
      <c r="I1648">
        <v>690.60377100000005</v>
      </c>
      <c r="J1648" t="s">
        <v>1797</v>
      </c>
      <c r="K1648">
        <v>0</v>
      </c>
      <c r="L1648">
        <v>2.959939636510573</v>
      </c>
      <c r="M1648">
        <v>14.8</v>
      </c>
      <c r="N1648">
        <v>0.98</v>
      </c>
    </row>
    <row r="1649" spans="1:14" x14ac:dyDescent="0.25">
      <c r="A1649" s="1" t="s">
        <v>1661</v>
      </c>
      <c r="B1649" t="str">
        <f>HYPERLINK("https://www.suredividend.com/sure-analysis-research-database/","Upbound Group Inc")</f>
        <v>Upbound Group Inc</v>
      </c>
      <c r="C1649" t="s">
        <v>1797</v>
      </c>
      <c r="D1649">
        <v>32.54</v>
      </c>
      <c r="E1649">
        <v>4.1350959666581998E-2</v>
      </c>
      <c r="F1649" t="s">
        <v>1797</v>
      </c>
      <c r="G1649" t="s">
        <v>1797</v>
      </c>
      <c r="H1649">
        <v>1.34556022755058</v>
      </c>
      <c r="I1649">
        <v>1766.754484</v>
      </c>
      <c r="J1649">
        <v>0</v>
      </c>
      <c r="K1649" t="s">
        <v>1797</v>
      </c>
      <c r="L1649">
        <v>1.409011886102</v>
      </c>
      <c r="M1649">
        <v>34.93</v>
      </c>
      <c r="N1649">
        <v>20.69</v>
      </c>
    </row>
    <row r="1650" spans="1:14" x14ac:dyDescent="0.25">
      <c r="A1650" s="1" t="s">
        <v>1662</v>
      </c>
      <c r="B1650" t="str">
        <f>HYPERLINK("https://www.suredividend.com/sure-analysis-research-database/","Upland Software Inc")</f>
        <v>Upland Software Inc</v>
      </c>
      <c r="C1650" t="s">
        <v>1803</v>
      </c>
      <c r="D1650">
        <v>4.05</v>
      </c>
      <c r="E1650">
        <v>0</v>
      </c>
      <c r="F1650" t="s">
        <v>1797</v>
      </c>
      <c r="G1650" t="s">
        <v>1797</v>
      </c>
      <c r="H1650">
        <v>0</v>
      </c>
      <c r="I1650">
        <v>127.17</v>
      </c>
      <c r="J1650" t="s">
        <v>1797</v>
      </c>
      <c r="K1650">
        <v>0</v>
      </c>
      <c r="L1650">
        <v>2.4795755396262469</v>
      </c>
      <c r="M1650">
        <v>9.7100000000000009</v>
      </c>
      <c r="N1650">
        <v>2.42</v>
      </c>
    </row>
    <row r="1651" spans="1:14" x14ac:dyDescent="0.25">
      <c r="A1651" s="1" t="s">
        <v>1663</v>
      </c>
      <c r="B1651" t="str">
        <f>HYPERLINK("https://www.suredividend.com/sure-analysis-research-database/","Upwork Inc")</f>
        <v>Upwork Inc</v>
      </c>
      <c r="C1651" t="s">
        <v>1798</v>
      </c>
      <c r="D1651">
        <v>14.87</v>
      </c>
      <c r="E1651">
        <v>0</v>
      </c>
      <c r="F1651" t="s">
        <v>1797</v>
      </c>
      <c r="G1651" t="s">
        <v>1797</v>
      </c>
      <c r="H1651">
        <v>0</v>
      </c>
      <c r="I1651">
        <v>2023.94822</v>
      </c>
      <c r="J1651">
        <v>155.53279185353111</v>
      </c>
      <c r="K1651">
        <v>0</v>
      </c>
      <c r="L1651">
        <v>2.0533096186079609</v>
      </c>
      <c r="M1651">
        <v>16.36</v>
      </c>
      <c r="N1651">
        <v>6.56</v>
      </c>
    </row>
    <row r="1652" spans="1:14" x14ac:dyDescent="0.25">
      <c r="A1652" s="1" t="s">
        <v>1664</v>
      </c>
      <c r="B1652" t="str">
        <f>HYPERLINK("https://www.suredividend.com/sure-analysis-research-database/","Urban Outfitters, Inc.")</f>
        <v>Urban Outfitters, Inc.</v>
      </c>
      <c r="C1652" t="s">
        <v>1801</v>
      </c>
      <c r="D1652">
        <v>39.11</v>
      </c>
      <c r="E1652">
        <v>0</v>
      </c>
      <c r="F1652" t="s">
        <v>1797</v>
      </c>
      <c r="G1652" t="s">
        <v>1797</v>
      </c>
      <c r="H1652">
        <v>0</v>
      </c>
      <c r="I1652">
        <v>3628.7956939999999</v>
      </c>
      <c r="J1652">
        <v>13.371393753670979</v>
      </c>
      <c r="K1652">
        <v>0</v>
      </c>
      <c r="L1652">
        <v>0.94085678318839006</v>
      </c>
      <c r="M1652">
        <v>39.71</v>
      </c>
      <c r="N1652">
        <v>24.73</v>
      </c>
    </row>
    <row r="1653" spans="1:14" x14ac:dyDescent="0.25">
      <c r="A1653" s="1" t="s">
        <v>1665</v>
      </c>
      <c r="B1653" t="str">
        <f>HYPERLINK("https://www.suredividend.com/sure-analysis-research-database/","Ur-Energy Inc.")</f>
        <v>Ur-Energy Inc.</v>
      </c>
      <c r="C1653" t="s">
        <v>1807</v>
      </c>
      <c r="D1653">
        <v>1.73</v>
      </c>
      <c r="E1653">
        <v>0</v>
      </c>
      <c r="F1653" t="s">
        <v>1797</v>
      </c>
      <c r="G1653" t="s">
        <v>1797</v>
      </c>
      <c r="H1653">
        <v>0</v>
      </c>
      <c r="I1653">
        <v>460.13536900000003</v>
      </c>
      <c r="J1653">
        <v>0</v>
      </c>
      <c r="K1653" t="s">
        <v>1797</v>
      </c>
      <c r="L1653">
        <v>1.3027938683217419</v>
      </c>
      <c r="M1653">
        <v>1.76</v>
      </c>
      <c r="N1653">
        <v>0.82010000000000005</v>
      </c>
    </row>
    <row r="1654" spans="1:14" x14ac:dyDescent="0.25">
      <c r="A1654" s="1" t="s">
        <v>1666</v>
      </c>
      <c r="B1654" t="str">
        <f>HYPERLINK("https://www.suredividend.com/sure-analysis-research-database/","USCB Financial Holdings Inc")</f>
        <v>USCB Financial Holdings Inc</v>
      </c>
      <c r="C1654" t="s">
        <v>1797</v>
      </c>
      <c r="D1654">
        <v>12.2</v>
      </c>
      <c r="E1654">
        <v>0</v>
      </c>
      <c r="F1654" t="s">
        <v>1797</v>
      </c>
      <c r="G1654" t="s">
        <v>1797</v>
      </c>
      <c r="H1654">
        <v>0</v>
      </c>
      <c r="I1654">
        <v>238.41593800000001</v>
      </c>
      <c r="J1654">
        <v>0</v>
      </c>
      <c r="K1654" t="s">
        <v>1797</v>
      </c>
      <c r="L1654">
        <v>0.64900071780611701</v>
      </c>
      <c r="M1654">
        <v>13.1</v>
      </c>
      <c r="N1654">
        <v>8.56</v>
      </c>
    </row>
    <row r="1655" spans="1:14" x14ac:dyDescent="0.25">
      <c r="A1655" s="1" t="s">
        <v>1667</v>
      </c>
      <c r="B1655" t="str">
        <f>HYPERLINK("https://www.suredividend.com/sure-analysis-research-database/","United States Lime &amp; Minerals Inc.")</f>
        <v>United States Lime &amp; Minerals Inc.</v>
      </c>
      <c r="C1655" t="s">
        <v>1808</v>
      </c>
      <c r="D1655">
        <v>224</v>
      </c>
      <c r="E1655">
        <v>3.5609852616020001E-3</v>
      </c>
      <c r="F1655">
        <v>0</v>
      </c>
      <c r="G1655">
        <v>8.1780741066402873E-2</v>
      </c>
      <c r="H1655">
        <v>0.79766069859896704</v>
      </c>
      <c r="I1655">
        <v>1276.7941760000001</v>
      </c>
      <c r="J1655">
        <v>18.681329938840609</v>
      </c>
      <c r="K1655">
        <v>6.6527164186736196E-2</v>
      </c>
      <c r="L1655">
        <v>0.8558006545509601</v>
      </c>
      <c r="M1655">
        <v>240.69</v>
      </c>
      <c r="N1655">
        <v>139.08000000000001</v>
      </c>
    </row>
    <row r="1656" spans="1:14" x14ac:dyDescent="0.25">
      <c r="A1656" s="1" t="s">
        <v>1668</v>
      </c>
      <c r="B1656" t="str">
        <f>HYPERLINK("https://www.suredividend.com/sure-analysis-research-database/","United States Cellular Corporation")</f>
        <v>United States Cellular Corporation</v>
      </c>
      <c r="C1656" t="s">
        <v>1806</v>
      </c>
      <c r="D1656">
        <v>43.07</v>
      </c>
      <c r="E1656">
        <v>0</v>
      </c>
      <c r="F1656" t="s">
        <v>1797</v>
      </c>
      <c r="G1656" t="s">
        <v>1797</v>
      </c>
      <c r="H1656">
        <v>0</v>
      </c>
      <c r="I1656">
        <v>2251.1181550000001</v>
      </c>
      <c r="J1656">
        <v>173.162935</v>
      </c>
      <c r="K1656">
        <v>0</v>
      </c>
      <c r="L1656">
        <v>0.51172329200362809</v>
      </c>
      <c r="M1656">
        <v>47.94</v>
      </c>
      <c r="N1656">
        <v>13.79</v>
      </c>
    </row>
    <row r="1657" spans="1:14" x14ac:dyDescent="0.25">
      <c r="A1657" s="1" t="s">
        <v>1669</v>
      </c>
      <c r="B1657" t="str">
        <f>HYPERLINK("https://www.suredividend.com/sure-analysis-research-database/","Usana Health Sciences Inc")</f>
        <v>Usana Health Sciences Inc</v>
      </c>
      <c r="C1657" t="s">
        <v>1804</v>
      </c>
      <c r="D1657">
        <v>50.52</v>
      </c>
      <c r="E1657">
        <v>0</v>
      </c>
      <c r="F1657" t="s">
        <v>1797</v>
      </c>
      <c r="G1657" t="s">
        <v>1797</v>
      </c>
      <c r="H1657">
        <v>0</v>
      </c>
      <c r="I1657">
        <v>966.43779900000004</v>
      </c>
      <c r="J1657">
        <v>16.15657420332013</v>
      </c>
      <c r="K1657">
        <v>0</v>
      </c>
      <c r="L1657">
        <v>0.80207705692172104</v>
      </c>
      <c r="M1657">
        <v>69.599999999999994</v>
      </c>
      <c r="N1657">
        <v>44.01</v>
      </c>
    </row>
    <row r="1658" spans="1:14" x14ac:dyDescent="0.25">
      <c r="A1658" s="1" t="s">
        <v>1670</v>
      </c>
      <c r="B1658" t="str">
        <f>HYPERLINK("https://www.suredividend.com/sure-analysis-research-database/","U.S. Physical Therapy, Inc.")</f>
        <v>U.S. Physical Therapy, Inc.</v>
      </c>
      <c r="C1658" t="s">
        <v>1802</v>
      </c>
      <c r="D1658">
        <v>94.65</v>
      </c>
      <c r="E1658">
        <v>1.8049189373442E-2</v>
      </c>
      <c r="F1658" t="s">
        <v>1797</v>
      </c>
      <c r="G1658" t="s">
        <v>1797</v>
      </c>
      <c r="H1658">
        <v>1.708355774196372</v>
      </c>
      <c r="I1658">
        <v>1418.5235250000001</v>
      </c>
      <c r="J1658">
        <v>59.891219138695377</v>
      </c>
      <c r="K1658">
        <v>0.98748888681871216</v>
      </c>
      <c r="L1658">
        <v>1.014826195202809</v>
      </c>
      <c r="M1658">
        <v>122.97</v>
      </c>
      <c r="N1658">
        <v>77.7</v>
      </c>
    </row>
    <row r="1659" spans="1:14" x14ac:dyDescent="0.25">
      <c r="A1659" s="1" t="s">
        <v>1671</v>
      </c>
      <c r="B1659" t="str">
        <f>HYPERLINK("https://www.suredividend.com/sure-analysis-research-database/","Universal Technical Institute Inc")</f>
        <v>Universal Technical Institute Inc</v>
      </c>
      <c r="C1659" t="s">
        <v>1804</v>
      </c>
      <c r="D1659">
        <v>13.05</v>
      </c>
      <c r="E1659">
        <v>0</v>
      </c>
      <c r="F1659" t="s">
        <v>1797</v>
      </c>
      <c r="G1659" t="s">
        <v>1797</v>
      </c>
      <c r="H1659">
        <v>0</v>
      </c>
      <c r="I1659">
        <v>444.67325599999998</v>
      </c>
      <c r="J1659">
        <v>97.924081909271095</v>
      </c>
      <c r="K1659">
        <v>0</v>
      </c>
      <c r="L1659">
        <v>0.79453100086811201</v>
      </c>
      <c r="M1659">
        <v>13.28</v>
      </c>
      <c r="N1659">
        <v>5.63</v>
      </c>
    </row>
    <row r="1660" spans="1:14" x14ac:dyDescent="0.25">
      <c r="A1660" s="1" t="s">
        <v>1672</v>
      </c>
      <c r="B1660" t="str">
        <f>HYPERLINK("https://www.suredividend.com/sure-analysis-research-database/","Unitil Corp.")</f>
        <v>Unitil Corp.</v>
      </c>
      <c r="C1660" t="s">
        <v>1805</v>
      </c>
      <c r="D1660">
        <v>49.65</v>
      </c>
      <c r="E1660">
        <v>3.2235486902518012E-2</v>
      </c>
      <c r="F1660">
        <v>3.8461538461538547E-2</v>
      </c>
      <c r="G1660">
        <v>1.824118682704667E-2</v>
      </c>
      <c r="H1660">
        <v>1.6004919247100471</v>
      </c>
      <c r="I1660">
        <v>799.27781500000003</v>
      </c>
      <c r="J1660">
        <v>18.083208475113121</v>
      </c>
      <c r="K1660">
        <v>0.57988837851813302</v>
      </c>
      <c r="L1660">
        <v>0.52635992576512702</v>
      </c>
      <c r="M1660">
        <v>59.18</v>
      </c>
      <c r="N1660">
        <v>41.08</v>
      </c>
    </row>
    <row r="1661" spans="1:14" x14ac:dyDescent="0.25">
      <c r="A1661" s="1" t="s">
        <v>1673</v>
      </c>
      <c r="B1661" t="str">
        <f>HYPERLINK("https://www.suredividend.com/sure-analysis-research-database/","Utah Medical Products, Inc.")</f>
        <v>Utah Medical Products, Inc.</v>
      </c>
      <c r="C1661" t="s">
        <v>1802</v>
      </c>
      <c r="D1661">
        <v>83</v>
      </c>
      <c r="E1661">
        <v>1.4132205795792999E-2</v>
      </c>
      <c r="F1661">
        <v>1.6949152542373062E-2</v>
      </c>
      <c r="G1661">
        <v>1.7554577175587619E-2</v>
      </c>
      <c r="H1661">
        <v>1.1729730810508401</v>
      </c>
      <c r="I1661">
        <v>301.25057500000003</v>
      </c>
      <c r="J1661">
        <v>0</v>
      </c>
      <c r="K1661" t="s">
        <v>1797</v>
      </c>
      <c r="L1661">
        <v>0.87329703413499804</v>
      </c>
      <c r="M1661">
        <v>98.58</v>
      </c>
      <c r="N1661">
        <v>74.459999999999994</v>
      </c>
    </row>
    <row r="1662" spans="1:14" x14ac:dyDescent="0.25">
      <c r="A1662" s="1" t="s">
        <v>1674</v>
      </c>
      <c r="B1662" t="str">
        <f>HYPERLINK("https://www.suredividend.com/sure-analysis-research-database/","Utz Brands Inc")</f>
        <v>Utz Brands Inc</v>
      </c>
      <c r="C1662" t="s">
        <v>1797</v>
      </c>
      <c r="D1662">
        <v>16.25</v>
      </c>
      <c r="E1662">
        <v>1.3949880258298001E-2</v>
      </c>
      <c r="F1662" t="s">
        <v>1797</v>
      </c>
      <c r="G1662" t="s">
        <v>1797</v>
      </c>
      <c r="H1662">
        <v>0.22668555419735401</v>
      </c>
      <c r="I1662">
        <v>1318.5480259999999</v>
      </c>
      <c r="J1662">
        <v>0</v>
      </c>
      <c r="K1662" t="s">
        <v>1797</v>
      </c>
      <c r="L1662">
        <v>0.56048489820542902</v>
      </c>
      <c r="M1662">
        <v>18.89</v>
      </c>
      <c r="N1662">
        <v>11.13</v>
      </c>
    </row>
    <row r="1663" spans="1:14" x14ac:dyDescent="0.25">
      <c r="A1663" s="1" t="s">
        <v>1675</v>
      </c>
      <c r="B1663" t="str">
        <f>HYPERLINK("https://www.suredividend.com/sure-analysis-research-database/","Energy Fuels Inc")</f>
        <v>Energy Fuels Inc</v>
      </c>
      <c r="C1663" t="s">
        <v>1807</v>
      </c>
      <c r="D1663">
        <v>7.66</v>
      </c>
      <c r="E1663">
        <v>0</v>
      </c>
      <c r="F1663" t="s">
        <v>1797</v>
      </c>
      <c r="G1663" t="s">
        <v>1797</v>
      </c>
      <c r="H1663">
        <v>0</v>
      </c>
      <c r="I1663">
        <v>1235.346331</v>
      </c>
      <c r="J1663">
        <v>0</v>
      </c>
      <c r="K1663" t="s">
        <v>1797</v>
      </c>
      <c r="L1663">
        <v>1.3339767739933881</v>
      </c>
      <c r="M1663">
        <v>9.0299999999999994</v>
      </c>
      <c r="N1663">
        <v>4.8499999999999996</v>
      </c>
    </row>
    <row r="1664" spans="1:14" x14ac:dyDescent="0.25">
      <c r="A1664" s="1" t="s">
        <v>1676</v>
      </c>
      <c r="B1664" t="str">
        <f>HYPERLINK("https://www.suredividend.com/sure-analysis-research-database/","Universal Insurance Holdings Inc")</f>
        <v>Universal Insurance Holdings Inc</v>
      </c>
      <c r="C1664" t="s">
        <v>1800</v>
      </c>
      <c r="D1664">
        <v>16.489999999999998</v>
      </c>
      <c r="E1664">
        <v>3.8281545988861E-2</v>
      </c>
      <c r="F1664">
        <v>0</v>
      </c>
      <c r="G1664">
        <v>0</v>
      </c>
      <c r="H1664">
        <v>0.63126269335632901</v>
      </c>
      <c r="I1664">
        <v>481.27397400000001</v>
      </c>
      <c r="J1664">
        <v>6.6913308852276669</v>
      </c>
      <c r="K1664">
        <v>0.26635556681701639</v>
      </c>
      <c r="L1664">
        <v>0.62953843712009205</v>
      </c>
      <c r="M1664">
        <v>19.579999999999998</v>
      </c>
      <c r="N1664">
        <v>11.07</v>
      </c>
    </row>
    <row r="1665" spans="1:14" x14ac:dyDescent="0.25">
      <c r="A1665" s="1" t="s">
        <v>1677</v>
      </c>
      <c r="B1665" t="str">
        <f>HYPERLINK("https://www.suredividend.com/sure-analysis-research-database/","Univest Financial Corp")</f>
        <v>Univest Financial Corp</v>
      </c>
      <c r="C1665" t="s">
        <v>1800</v>
      </c>
      <c r="D1665">
        <v>20.260000000000002</v>
      </c>
      <c r="E1665">
        <v>4.0089380103451998E-2</v>
      </c>
      <c r="F1665" t="s">
        <v>1797</v>
      </c>
      <c r="G1665" t="s">
        <v>1797</v>
      </c>
      <c r="H1665">
        <v>0.81221084089595708</v>
      </c>
      <c r="I1665">
        <v>597.83467299999995</v>
      </c>
      <c r="J1665">
        <v>7.5977260666446389</v>
      </c>
      <c r="K1665">
        <v>0.30419881681496519</v>
      </c>
      <c r="L1665">
        <v>1.3433079083969111</v>
      </c>
      <c r="M1665">
        <v>27.13</v>
      </c>
      <c r="N1665">
        <v>15.41</v>
      </c>
    </row>
    <row r="1666" spans="1:14" x14ac:dyDescent="0.25">
      <c r="A1666" s="1" t="s">
        <v>1678</v>
      </c>
      <c r="B1666" t="str">
        <f>HYPERLINK("https://www.suredividend.com/sure-analysis-UVV/","Universal Corp.")</f>
        <v>Universal Corp.</v>
      </c>
      <c r="C1666" t="s">
        <v>1804</v>
      </c>
      <c r="D1666">
        <v>60.32</v>
      </c>
      <c r="E1666">
        <v>5.3050397877984087E-2</v>
      </c>
      <c r="F1666">
        <v>1.265822784810133E-2</v>
      </c>
      <c r="G1666">
        <v>1.0311459317936089E-2</v>
      </c>
      <c r="H1666">
        <v>3.1218144123865148</v>
      </c>
      <c r="I1666">
        <v>1481.4097979999999</v>
      </c>
      <c r="J1666">
        <v>12.199601402607239</v>
      </c>
      <c r="K1666">
        <v>0.64102965346745677</v>
      </c>
      <c r="L1666">
        <v>0.51748778720956901</v>
      </c>
      <c r="M1666">
        <v>66.97</v>
      </c>
      <c r="N1666">
        <v>43.86</v>
      </c>
    </row>
    <row r="1667" spans="1:14" x14ac:dyDescent="0.25">
      <c r="A1667" s="1" t="s">
        <v>1679</v>
      </c>
      <c r="B1667" t="str">
        <f>HYPERLINK("https://www.suredividend.com/sure-analysis-research-database/","Valaris Ltd")</f>
        <v>Valaris Ltd</v>
      </c>
      <c r="C1667" t="s">
        <v>1807</v>
      </c>
      <c r="D1667">
        <v>66.8</v>
      </c>
      <c r="E1667">
        <v>0</v>
      </c>
      <c r="F1667" t="s">
        <v>1797</v>
      </c>
      <c r="G1667" t="s">
        <v>1797</v>
      </c>
      <c r="H1667">
        <v>0</v>
      </c>
      <c r="I1667">
        <v>4869.3969550000002</v>
      </c>
      <c r="J1667">
        <v>81.97637971717171</v>
      </c>
      <c r="K1667">
        <v>0</v>
      </c>
      <c r="L1667">
        <v>1.1136903604009309</v>
      </c>
      <c r="M1667">
        <v>80</v>
      </c>
      <c r="N1667">
        <v>54.13</v>
      </c>
    </row>
    <row r="1668" spans="1:14" x14ac:dyDescent="0.25">
      <c r="A1668" s="1" t="s">
        <v>1680</v>
      </c>
      <c r="B1668" t="str">
        <f>HYPERLINK("https://www.suredividend.com/sure-analysis-research-database/","Value Line, Inc.")</f>
        <v>Value Line, Inc.</v>
      </c>
      <c r="C1668" t="s">
        <v>1800</v>
      </c>
      <c r="D1668">
        <v>45.33</v>
      </c>
      <c r="E1668">
        <v>2.3579420766803E-2</v>
      </c>
      <c r="F1668">
        <v>0.12000000000000011</v>
      </c>
      <c r="G1668">
        <v>8.0639619600400225E-2</v>
      </c>
      <c r="H1668">
        <v>1.068855143359204</v>
      </c>
      <c r="I1668">
        <v>427.32513899999998</v>
      </c>
      <c r="J1668">
        <v>24.241271805650101</v>
      </c>
      <c r="K1668">
        <v>0.57158029056641924</v>
      </c>
      <c r="M1668">
        <v>61.12</v>
      </c>
      <c r="N1668">
        <v>31.57</v>
      </c>
    </row>
    <row r="1669" spans="1:14" x14ac:dyDescent="0.25">
      <c r="A1669" s="1" t="s">
        <v>1681</v>
      </c>
      <c r="B1669" t="str">
        <f>HYPERLINK("https://www.suredividend.com/sure-analysis-research-database/","VBI Vaccines Inc.")</f>
        <v>VBI Vaccines Inc.</v>
      </c>
      <c r="C1669" t="s">
        <v>1802</v>
      </c>
      <c r="D1669">
        <v>0.61009999999999998</v>
      </c>
      <c r="E1669">
        <v>0</v>
      </c>
      <c r="F1669" t="s">
        <v>1797</v>
      </c>
      <c r="G1669" t="s">
        <v>1797</v>
      </c>
      <c r="H1669">
        <v>0</v>
      </c>
      <c r="I1669">
        <v>14.451862999999999</v>
      </c>
      <c r="J1669" t="s">
        <v>1797</v>
      </c>
      <c r="K1669">
        <v>0</v>
      </c>
      <c r="L1669">
        <v>2.1244912485383551</v>
      </c>
      <c r="M1669">
        <v>21</v>
      </c>
      <c r="N1669">
        <v>0.45</v>
      </c>
    </row>
    <row r="1670" spans="1:14" x14ac:dyDescent="0.25">
      <c r="A1670" s="1" t="s">
        <v>1682</v>
      </c>
      <c r="B1670" t="str">
        <f>HYPERLINK("https://www.suredividend.com/sure-analysis-research-database/","Veritex Holdings Inc")</f>
        <v>Veritex Holdings Inc</v>
      </c>
      <c r="C1670" t="s">
        <v>1800</v>
      </c>
      <c r="D1670">
        <v>22.08</v>
      </c>
      <c r="E1670">
        <v>3.5263103558094998E-2</v>
      </c>
      <c r="F1670">
        <v>0</v>
      </c>
      <c r="G1670">
        <v>9.8560543306117854E-2</v>
      </c>
      <c r="H1670">
        <v>0.77860932656275506</v>
      </c>
      <c r="I1670">
        <v>1199.43921</v>
      </c>
      <c r="J1670">
        <v>8.2914938596285062</v>
      </c>
      <c r="K1670">
        <v>0.29381484021236037</v>
      </c>
      <c r="L1670">
        <v>1.8917365794086189</v>
      </c>
      <c r="M1670">
        <v>27.93</v>
      </c>
      <c r="N1670">
        <v>14.3</v>
      </c>
    </row>
    <row r="1671" spans="1:14" x14ac:dyDescent="0.25">
      <c r="A1671" s="1" t="s">
        <v>1683</v>
      </c>
      <c r="B1671" t="str">
        <f>HYPERLINK("https://www.suredividend.com/sure-analysis-research-database/","Visteon Corp.")</f>
        <v>Visteon Corp.</v>
      </c>
      <c r="C1671" t="s">
        <v>1801</v>
      </c>
      <c r="D1671">
        <v>114.04</v>
      </c>
      <c r="E1671">
        <v>0</v>
      </c>
      <c r="F1671" t="s">
        <v>1797</v>
      </c>
      <c r="G1671" t="s">
        <v>1797</v>
      </c>
      <c r="H1671">
        <v>0</v>
      </c>
      <c r="I1671">
        <v>3171.58959</v>
      </c>
      <c r="J1671">
        <v>20.594737598181819</v>
      </c>
      <c r="K1671">
        <v>0</v>
      </c>
      <c r="L1671">
        <v>1.1218702453819389</v>
      </c>
      <c r="M1671">
        <v>171.66</v>
      </c>
      <c r="N1671">
        <v>108.66</v>
      </c>
    </row>
    <row r="1672" spans="1:14" x14ac:dyDescent="0.25">
      <c r="A1672" s="1" t="s">
        <v>1684</v>
      </c>
      <c r="B1672" t="str">
        <f>HYPERLINK("https://www.suredividend.com/sure-analysis-research-database/","Vericel Corp")</f>
        <v>Vericel Corp</v>
      </c>
      <c r="C1672" t="s">
        <v>1802</v>
      </c>
      <c r="D1672">
        <v>38.24</v>
      </c>
      <c r="E1672">
        <v>0</v>
      </c>
      <c r="F1672" t="s">
        <v>1797</v>
      </c>
      <c r="G1672" t="s">
        <v>1797</v>
      </c>
      <c r="H1672">
        <v>0</v>
      </c>
      <c r="I1672">
        <v>1824.9865239999999</v>
      </c>
      <c r="J1672" t="s">
        <v>1797</v>
      </c>
      <c r="K1672">
        <v>0</v>
      </c>
      <c r="L1672">
        <v>1.489978795553347</v>
      </c>
      <c r="M1672">
        <v>39.9</v>
      </c>
      <c r="N1672">
        <v>26.88</v>
      </c>
    </row>
    <row r="1673" spans="1:14" x14ac:dyDescent="0.25">
      <c r="A1673" s="1" t="s">
        <v>1685</v>
      </c>
      <c r="B1673" t="str">
        <f>HYPERLINK("https://www.suredividend.com/sure-analysis-research-database/","Vacasa Inc")</f>
        <v>Vacasa Inc</v>
      </c>
      <c r="C1673" t="s">
        <v>1797</v>
      </c>
      <c r="D1673">
        <v>7.26</v>
      </c>
      <c r="E1673">
        <v>0</v>
      </c>
      <c r="F1673" t="s">
        <v>1797</v>
      </c>
      <c r="G1673" t="s">
        <v>1797</v>
      </c>
      <c r="H1673">
        <v>0</v>
      </c>
      <c r="I1673">
        <v>90.411407999999994</v>
      </c>
      <c r="J1673" t="s">
        <v>1797</v>
      </c>
      <c r="K1673">
        <v>0</v>
      </c>
      <c r="L1673">
        <v>2.5531848219689439</v>
      </c>
      <c r="M1673">
        <v>39.799999999999997</v>
      </c>
      <c r="N1673">
        <v>6.75</v>
      </c>
    </row>
    <row r="1674" spans="1:14" x14ac:dyDescent="0.25">
      <c r="A1674" s="1" t="s">
        <v>1686</v>
      </c>
      <c r="B1674" t="str">
        <f>HYPERLINK("https://www.suredividend.com/sure-analysis-research-database/","Victory Capital Holdings Inc")</f>
        <v>Victory Capital Holdings Inc</v>
      </c>
      <c r="C1674" t="s">
        <v>1800</v>
      </c>
      <c r="D1674">
        <v>33.93</v>
      </c>
      <c r="E1674">
        <v>3.6648531098520003E-2</v>
      </c>
      <c r="F1674" t="s">
        <v>1797</v>
      </c>
      <c r="G1674" t="s">
        <v>1797</v>
      </c>
      <c r="H1674">
        <v>1.243484660172808</v>
      </c>
      <c r="I1674">
        <v>2239.021326</v>
      </c>
      <c r="J1674">
        <v>10.650848282608701</v>
      </c>
      <c r="K1674">
        <v>0.40904100663579213</v>
      </c>
      <c r="L1674">
        <v>1.0215985512817971</v>
      </c>
      <c r="M1674">
        <v>35.21</v>
      </c>
      <c r="N1674">
        <v>26.16</v>
      </c>
    </row>
    <row r="1675" spans="1:14" x14ac:dyDescent="0.25">
      <c r="A1675" s="1" t="s">
        <v>1687</v>
      </c>
      <c r="B1675" t="str">
        <f>HYPERLINK("https://www.suredividend.com/sure-analysis-research-database/","Veracyte Inc")</f>
        <v>Veracyte Inc</v>
      </c>
      <c r="C1675" t="s">
        <v>1802</v>
      </c>
      <c r="D1675">
        <v>26.52</v>
      </c>
      <c r="E1675">
        <v>0</v>
      </c>
      <c r="F1675" t="s">
        <v>1797</v>
      </c>
      <c r="G1675" t="s">
        <v>1797</v>
      </c>
      <c r="H1675">
        <v>0</v>
      </c>
      <c r="I1675">
        <v>1937.0120750000001</v>
      </c>
      <c r="J1675" t="s">
        <v>1797</v>
      </c>
      <c r="K1675">
        <v>0</v>
      </c>
      <c r="L1675">
        <v>2.4876990488352289</v>
      </c>
      <c r="M1675">
        <v>30.52</v>
      </c>
      <c r="N1675">
        <v>19.52</v>
      </c>
    </row>
    <row r="1676" spans="1:14" x14ac:dyDescent="0.25">
      <c r="A1676" s="1" t="s">
        <v>1688</v>
      </c>
      <c r="B1676" t="str">
        <f>HYPERLINK("https://www.suredividend.com/sure-analysis-research-database/","Veeco Instruments Inc")</f>
        <v>Veeco Instruments Inc</v>
      </c>
      <c r="C1676" t="s">
        <v>1803</v>
      </c>
      <c r="D1676">
        <v>28.35</v>
      </c>
      <c r="E1676">
        <v>0</v>
      </c>
      <c r="F1676" t="s">
        <v>1797</v>
      </c>
      <c r="G1676" t="s">
        <v>1797</v>
      </c>
      <c r="H1676">
        <v>0</v>
      </c>
      <c r="I1676">
        <v>1597.288272</v>
      </c>
      <c r="J1676">
        <v>20.7680081171744</v>
      </c>
      <c r="K1676">
        <v>0</v>
      </c>
      <c r="L1676">
        <v>1.163653539035588</v>
      </c>
      <c r="M1676">
        <v>31.95</v>
      </c>
      <c r="N1676">
        <v>17.7</v>
      </c>
    </row>
    <row r="1677" spans="1:14" x14ac:dyDescent="0.25">
      <c r="A1677" s="1" t="s">
        <v>1689</v>
      </c>
      <c r="B1677" t="str">
        <f>HYPERLINK("https://www.suredividend.com/sure-analysis-research-database/","Velocity Financial Inc")</f>
        <v>Velocity Financial Inc</v>
      </c>
      <c r="C1677" t="s">
        <v>1800</v>
      </c>
      <c r="D1677">
        <v>16.02</v>
      </c>
      <c r="E1677">
        <v>0</v>
      </c>
      <c r="F1677" t="s">
        <v>1797</v>
      </c>
      <c r="G1677" t="s">
        <v>1797</v>
      </c>
      <c r="H1677">
        <v>0</v>
      </c>
      <c r="I1677">
        <v>525.16709500000002</v>
      </c>
      <c r="J1677">
        <v>12.10620321161826</v>
      </c>
      <c r="K1677">
        <v>0</v>
      </c>
      <c r="L1677">
        <v>1.2776652214319959</v>
      </c>
      <c r="M1677">
        <v>18.05</v>
      </c>
      <c r="N1677">
        <v>7.81</v>
      </c>
    </row>
    <row r="1678" spans="1:14" x14ac:dyDescent="0.25">
      <c r="A1678" s="1" t="s">
        <v>1690</v>
      </c>
      <c r="B1678" t="str">
        <f>HYPERLINK("https://www.suredividend.com/sure-analysis-research-database/","Vera Therapeutics Inc")</f>
        <v>Vera Therapeutics Inc</v>
      </c>
      <c r="C1678" t="s">
        <v>1797</v>
      </c>
      <c r="D1678">
        <v>18.95</v>
      </c>
      <c r="E1678">
        <v>0</v>
      </c>
      <c r="F1678" t="s">
        <v>1797</v>
      </c>
      <c r="G1678" t="s">
        <v>1797</v>
      </c>
      <c r="H1678">
        <v>0</v>
      </c>
      <c r="I1678">
        <v>842.00430800000004</v>
      </c>
      <c r="J1678">
        <v>0</v>
      </c>
      <c r="K1678" t="s">
        <v>1797</v>
      </c>
      <c r="L1678">
        <v>0.7776644631982621</v>
      </c>
      <c r="M1678">
        <v>20.23</v>
      </c>
      <c r="N1678">
        <v>5.95</v>
      </c>
    </row>
    <row r="1679" spans="1:14" x14ac:dyDescent="0.25">
      <c r="A1679" s="1" t="s">
        <v>1691</v>
      </c>
      <c r="B1679" t="str">
        <f>HYPERLINK("https://www.suredividend.com/sure-analysis-research-database/","Veritone Inc")</f>
        <v>Veritone Inc</v>
      </c>
      <c r="C1679" t="s">
        <v>1803</v>
      </c>
      <c r="D1679">
        <v>1.7949999999999999</v>
      </c>
      <c r="E1679">
        <v>0</v>
      </c>
      <c r="F1679" t="s">
        <v>1797</v>
      </c>
      <c r="G1679" t="s">
        <v>1797</v>
      </c>
      <c r="H1679">
        <v>0</v>
      </c>
      <c r="I1679">
        <v>66.647807999999998</v>
      </c>
      <c r="J1679" t="s">
        <v>1797</v>
      </c>
      <c r="K1679">
        <v>0</v>
      </c>
      <c r="L1679">
        <v>3.2955787397608809</v>
      </c>
      <c r="M1679">
        <v>10.99</v>
      </c>
      <c r="N1679">
        <v>1.48</v>
      </c>
    </row>
    <row r="1680" spans="1:14" x14ac:dyDescent="0.25">
      <c r="A1680" s="1" t="s">
        <v>1692</v>
      </c>
      <c r="B1680" t="str">
        <f>HYPERLINK("https://www.suredividend.com/sure-analysis-research-database/","Veru Inc")</f>
        <v>Veru Inc</v>
      </c>
      <c r="C1680" t="s">
        <v>1802</v>
      </c>
      <c r="D1680">
        <v>0.4592</v>
      </c>
      <c r="E1680">
        <v>0</v>
      </c>
      <c r="F1680" t="s">
        <v>1797</v>
      </c>
      <c r="G1680" t="s">
        <v>1797</v>
      </c>
      <c r="H1680">
        <v>0</v>
      </c>
      <c r="I1680">
        <v>43.014575000000001</v>
      </c>
      <c r="J1680" t="s">
        <v>1797</v>
      </c>
      <c r="K1680">
        <v>0</v>
      </c>
      <c r="L1680">
        <v>1.4968217380790001</v>
      </c>
      <c r="M1680">
        <v>6.57</v>
      </c>
      <c r="N1680">
        <v>0.4002</v>
      </c>
    </row>
    <row r="1681" spans="1:14" x14ac:dyDescent="0.25">
      <c r="A1681" s="1" t="s">
        <v>1693</v>
      </c>
      <c r="B1681" t="str">
        <f>HYPERLINK("https://www.suredividend.com/sure-analysis-research-database/","Verve Therapeutics Inc")</f>
        <v>Verve Therapeutics Inc</v>
      </c>
      <c r="C1681" t="s">
        <v>1797</v>
      </c>
      <c r="D1681">
        <v>12.77</v>
      </c>
      <c r="E1681">
        <v>0</v>
      </c>
      <c r="F1681" t="s">
        <v>1797</v>
      </c>
      <c r="G1681" t="s">
        <v>1797</v>
      </c>
      <c r="H1681">
        <v>0</v>
      </c>
      <c r="I1681">
        <v>814.12259200000005</v>
      </c>
      <c r="J1681" t="s">
        <v>1797</v>
      </c>
      <c r="K1681">
        <v>0</v>
      </c>
      <c r="L1681">
        <v>2.4814857629266078</v>
      </c>
      <c r="M1681">
        <v>24.69</v>
      </c>
      <c r="N1681">
        <v>8.2200000000000006</v>
      </c>
    </row>
    <row r="1682" spans="1:14" x14ac:dyDescent="0.25">
      <c r="A1682" s="1" t="s">
        <v>1694</v>
      </c>
      <c r="B1682" t="str">
        <f>HYPERLINK("https://www.suredividend.com/sure-analysis-VGR/","Vector Group Ltd")</f>
        <v>Vector Group Ltd</v>
      </c>
      <c r="C1682" t="s">
        <v>1804</v>
      </c>
      <c r="D1682">
        <v>10.92</v>
      </c>
      <c r="E1682">
        <v>7.3260073260073263E-2</v>
      </c>
      <c r="F1682">
        <v>0</v>
      </c>
      <c r="G1682">
        <v>-0.1294494367038759</v>
      </c>
      <c r="H1682">
        <v>0.77894278991143306</v>
      </c>
      <c r="I1682">
        <v>1702.7885779999999</v>
      </c>
      <c r="J1682">
        <v>9.9484612639561583</v>
      </c>
      <c r="K1682">
        <v>0.69548463384949377</v>
      </c>
      <c r="L1682">
        <v>0.91493648587407805</v>
      </c>
      <c r="M1682">
        <v>13.43</v>
      </c>
      <c r="N1682">
        <v>9.68</v>
      </c>
    </row>
    <row r="1683" spans="1:14" x14ac:dyDescent="0.25">
      <c r="A1683" s="1" t="s">
        <v>1695</v>
      </c>
      <c r="B1683" t="str">
        <f>HYPERLINK("https://www.suredividend.com/sure-analysis-research-database/","Valhi, Inc.")</f>
        <v>Valhi, Inc.</v>
      </c>
      <c r="C1683" t="s">
        <v>1808</v>
      </c>
      <c r="D1683">
        <v>14.5</v>
      </c>
      <c r="E1683">
        <v>2.1872197797703E-2</v>
      </c>
      <c r="F1683">
        <v>0</v>
      </c>
      <c r="G1683">
        <v>0.3195079107728942</v>
      </c>
      <c r="H1683">
        <v>0.31714686806669601</v>
      </c>
      <c r="I1683">
        <v>410.18314900000001</v>
      </c>
      <c r="J1683" t="s">
        <v>1797</v>
      </c>
      <c r="K1683" t="s">
        <v>1797</v>
      </c>
      <c r="L1683">
        <v>1.050752911146364</v>
      </c>
      <c r="M1683">
        <v>26.02</v>
      </c>
      <c r="N1683">
        <v>10.74</v>
      </c>
    </row>
    <row r="1684" spans="1:14" x14ac:dyDescent="0.25">
      <c r="A1684" s="1" t="s">
        <v>1696</v>
      </c>
      <c r="B1684" t="str">
        <f>HYPERLINK("https://www.suredividend.com/sure-analysis-research-database/","Via Renewables Inc")</f>
        <v>Via Renewables Inc</v>
      </c>
      <c r="C1684" t="s">
        <v>1797</v>
      </c>
      <c r="D1684">
        <v>10.61</v>
      </c>
      <c r="E1684">
        <v>8.5414705919163003E-2</v>
      </c>
      <c r="F1684">
        <v>0</v>
      </c>
      <c r="G1684">
        <v>0</v>
      </c>
      <c r="H1684">
        <v>0.90625002980232205</v>
      </c>
      <c r="I1684">
        <v>34.298957999999999</v>
      </c>
      <c r="J1684">
        <v>0</v>
      </c>
      <c r="K1684" t="s">
        <v>1797</v>
      </c>
      <c r="L1684">
        <v>1.465176951762635</v>
      </c>
      <c r="M1684">
        <v>35.06</v>
      </c>
      <c r="N1684">
        <v>5.22</v>
      </c>
    </row>
    <row r="1685" spans="1:14" x14ac:dyDescent="0.25">
      <c r="A1685" s="1" t="s">
        <v>1697</v>
      </c>
      <c r="B1685" t="str">
        <f>HYPERLINK("https://www.suredividend.com/sure-analysis-research-database/","Viavi Solutions Inc")</f>
        <v>Viavi Solutions Inc</v>
      </c>
      <c r="C1685" t="s">
        <v>1803</v>
      </c>
      <c r="D1685">
        <v>10.1</v>
      </c>
      <c r="E1685">
        <v>0</v>
      </c>
      <c r="F1685" t="s">
        <v>1797</v>
      </c>
      <c r="G1685" t="s">
        <v>1797</v>
      </c>
      <c r="H1685">
        <v>0</v>
      </c>
      <c r="I1685">
        <v>2246.1851670000001</v>
      </c>
      <c r="J1685">
        <v>831.9204322592592</v>
      </c>
      <c r="K1685">
        <v>0</v>
      </c>
      <c r="L1685">
        <v>1.1379884133853539</v>
      </c>
      <c r="M1685">
        <v>12.19</v>
      </c>
      <c r="N1685">
        <v>7.26</v>
      </c>
    </row>
    <row r="1686" spans="1:14" x14ac:dyDescent="0.25">
      <c r="A1686" s="1" t="s">
        <v>1698</v>
      </c>
      <c r="B1686" t="str">
        <f>HYPERLINK("https://www.suredividend.com/sure-analysis-research-database/","Vicor Corp.")</f>
        <v>Vicor Corp.</v>
      </c>
      <c r="C1686" t="s">
        <v>1803</v>
      </c>
      <c r="D1686">
        <v>38.340000000000003</v>
      </c>
      <c r="E1686">
        <v>0</v>
      </c>
      <c r="F1686" t="s">
        <v>1797</v>
      </c>
      <c r="G1686" t="s">
        <v>1797</v>
      </c>
      <c r="H1686">
        <v>0</v>
      </c>
      <c r="I1686">
        <v>1253.9887570000001</v>
      </c>
      <c r="J1686">
        <v>23.665076847647619</v>
      </c>
      <c r="K1686">
        <v>0</v>
      </c>
      <c r="L1686">
        <v>2.1109839882330488</v>
      </c>
      <c r="M1686">
        <v>98.38</v>
      </c>
      <c r="N1686">
        <v>35.479999999999997</v>
      </c>
    </row>
    <row r="1687" spans="1:14" x14ac:dyDescent="0.25">
      <c r="A1687" s="1" t="s">
        <v>1699</v>
      </c>
      <c r="B1687" t="str">
        <f>HYPERLINK("https://www.suredividend.com/sure-analysis-research-database/","View Inc.")</f>
        <v>View Inc.</v>
      </c>
      <c r="C1687" t="s">
        <v>1797</v>
      </c>
      <c r="D1687">
        <v>1.48</v>
      </c>
      <c r="E1687">
        <v>0</v>
      </c>
      <c r="F1687" t="s">
        <v>1797</v>
      </c>
      <c r="G1687" t="s">
        <v>1797</v>
      </c>
      <c r="H1687">
        <v>0</v>
      </c>
      <c r="I1687">
        <v>6.0192119999999996</v>
      </c>
      <c r="J1687">
        <v>0</v>
      </c>
      <c r="K1687" t="s">
        <v>1797</v>
      </c>
      <c r="L1687">
        <v>1.8053506577279379</v>
      </c>
      <c r="M1687">
        <v>62.4</v>
      </c>
      <c r="N1687">
        <v>0.62090000000000001</v>
      </c>
    </row>
    <row r="1688" spans="1:14" x14ac:dyDescent="0.25">
      <c r="A1688" s="1" t="s">
        <v>1700</v>
      </c>
      <c r="B1688" t="str">
        <f>HYPERLINK("https://www.suredividend.com/sure-analysis-research-database/","Vir Biotechnology Inc")</f>
        <v>Vir Biotechnology Inc</v>
      </c>
      <c r="C1688" t="s">
        <v>1802</v>
      </c>
      <c r="D1688">
        <v>10.37</v>
      </c>
      <c r="E1688">
        <v>0</v>
      </c>
      <c r="F1688" t="s">
        <v>1797</v>
      </c>
      <c r="G1688" t="s">
        <v>1797</v>
      </c>
      <c r="H1688">
        <v>0</v>
      </c>
      <c r="I1688">
        <v>1394.985725</v>
      </c>
      <c r="J1688" t="s">
        <v>1797</v>
      </c>
      <c r="K1688">
        <v>0</v>
      </c>
      <c r="L1688">
        <v>1.381127614139761</v>
      </c>
      <c r="M1688">
        <v>31.55</v>
      </c>
      <c r="N1688">
        <v>7.72</v>
      </c>
    </row>
    <row r="1689" spans="1:14" x14ac:dyDescent="0.25">
      <c r="A1689" s="1" t="s">
        <v>1701</v>
      </c>
      <c r="B1689" t="str">
        <f>HYPERLINK("https://www.suredividend.com/sure-analysis-research-database/","Vital Farms Inc")</f>
        <v>Vital Farms Inc</v>
      </c>
      <c r="C1689" t="s">
        <v>1797</v>
      </c>
      <c r="D1689">
        <v>15.25</v>
      </c>
      <c r="E1689">
        <v>0</v>
      </c>
      <c r="F1689" t="s">
        <v>1797</v>
      </c>
      <c r="G1689" t="s">
        <v>1797</v>
      </c>
      <c r="H1689">
        <v>0</v>
      </c>
      <c r="I1689">
        <v>634.43451100000004</v>
      </c>
      <c r="J1689">
        <v>31.375031440087039</v>
      </c>
      <c r="K1689">
        <v>0</v>
      </c>
      <c r="L1689">
        <v>0.56113519205835605</v>
      </c>
      <c r="M1689">
        <v>18.18</v>
      </c>
      <c r="N1689">
        <v>10</v>
      </c>
    </row>
    <row r="1690" spans="1:14" x14ac:dyDescent="0.25">
      <c r="A1690" s="1" t="s">
        <v>1702</v>
      </c>
      <c r="B1690" t="str">
        <f>HYPERLINK("https://www.suredividend.com/sure-analysis-research-database/","Velo3D Inc")</f>
        <v>Velo3D Inc</v>
      </c>
      <c r="C1690" t="s">
        <v>1797</v>
      </c>
      <c r="D1690">
        <v>0.31509999999999999</v>
      </c>
      <c r="E1690">
        <v>0</v>
      </c>
      <c r="F1690" t="s">
        <v>1797</v>
      </c>
      <c r="G1690" t="s">
        <v>1797</v>
      </c>
      <c r="H1690">
        <v>0</v>
      </c>
      <c r="I1690">
        <v>63.270041999999997</v>
      </c>
      <c r="J1690" t="s">
        <v>1797</v>
      </c>
      <c r="K1690">
        <v>0</v>
      </c>
      <c r="L1690">
        <v>2.4809967153154662</v>
      </c>
      <c r="M1690">
        <v>3.95</v>
      </c>
      <c r="N1690">
        <v>0.3</v>
      </c>
    </row>
    <row r="1691" spans="1:14" x14ac:dyDescent="0.25">
      <c r="A1691" s="1" t="s">
        <v>1703</v>
      </c>
      <c r="B1691" t="str">
        <f>HYPERLINK("https://www.suredividend.com/sure-analysis-research-database/","Village Super Market, Inc.")</f>
        <v>Village Super Market, Inc.</v>
      </c>
      <c r="C1691" t="s">
        <v>1804</v>
      </c>
      <c r="D1691">
        <v>25.22</v>
      </c>
      <c r="E1691">
        <v>3.8451550194983003E-2</v>
      </c>
      <c r="F1691">
        <v>0</v>
      </c>
      <c r="G1691">
        <v>0</v>
      </c>
      <c r="H1691">
        <v>0.96974809591748512</v>
      </c>
      <c r="I1691">
        <v>267.42692799999998</v>
      </c>
      <c r="J1691">
        <v>0</v>
      </c>
      <c r="K1691" t="s">
        <v>1797</v>
      </c>
      <c r="L1691">
        <v>0.38914119234052402</v>
      </c>
      <c r="M1691">
        <v>26.5</v>
      </c>
      <c r="N1691">
        <v>19</v>
      </c>
    </row>
    <row r="1692" spans="1:14" x14ac:dyDescent="0.25">
      <c r="A1692" s="1" t="s">
        <v>1704</v>
      </c>
      <c r="B1692" t="str">
        <f>HYPERLINK("https://www.suredividend.com/sure-analysis-research-database/","Valley National Bancorp")</f>
        <v>Valley National Bancorp</v>
      </c>
      <c r="C1692" t="s">
        <v>1800</v>
      </c>
      <c r="D1692">
        <v>10.210000000000001</v>
      </c>
      <c r="E1692">
        <v>4.1956891060784013E-2</v>
      </c>
      <c r="F1692">
        <v>0</v>
      </c>
      <c r="G1692">
        <v>0</v>
      </c>
      <c r="H1692">
        <v>0.42837985773060511</v>
      </c>
      <c r="I1692">
        <v>5183.4544470000001</v>
      </c>
      <c r="J1692">
        <v>8.8021206896908915</v>
      </c>
      <c r="K1692">
        <v>0.36929298080224582</v>
      </c>
      <c r="L1692">
        <v>1.8383331619775021</v>
      </c>
      <c r="M1692">
        <v>11.73</v>
      </c>
      <c r="N1692">
        <v>6.01</v>
      </c>
    </row>
    <row r="1693" spans="1:14" x14ac:dyDescent="0.25">
      <c r="A1693" s="1" t="s">
        <v>1705</v>
      </c>
      <c r="B1693" t="str">
        <f>HYPERLINK("https://www.suredividend.com/sure-analysis-research-database/","Vimeo Inc")</f>
        <v>Vimeo Inc</v>
      </c>
      <c r="C1693" t="s">
        <v>1797</v>
      </c>
      <c r="D1693">
        <v>3.69</v>
      </c>
      <c r="E1693">
        <v>0</v>
      </c>
      <c r="F1693" t="s">
        <v>1797</v>
      </c>
      <c r="G1693" t="s">
        <v>1797</v>
      </c>
      <c r="H1693">
        <v>0</v>
      </c>
      <c r="I1693">
        <v>583.83037899999999</v>
      </c>
      <c r="J1693">
        <v>68.508610578502697</v>
      </c>
      <c r="K1693">
        <v>0</v>
      </c>
      <c r="L1693">
        <v>1.542907663615837</v>
      </c>
      <c r="M1693">
        <v>5.19</v>
      </c>
      <c r="N1693">
        <v>3.02</v>
      </c>
    </row>
    <row r="1694" spans="1:14" x14ac:dyDescent="0.25">
      <c r="A1694" s="1" t="s">
        <v>1706</v>
      </c>
      <c r="B1694" t="str">
        <f>HYPERLINK("https://www.suredividend.com/sure-analysis-research-database/","Vanda Pharmaceuticals Inc")</f>
        <v>Vanda Pharmaceuticals Inc</v>
      </c>
      <c r="C1694" t="s">
        <v>1802</v>
      </c>
      <c r="D1694">
        <v>3.85</v>
      </c>
      <c r="E1694">
        <v>0</v>
      </c>
      <c r="F1694" t="s">
        <v>1797</v>
      </c>
      <c r="G1694" t="s">
        <v>1797</v>
      </c>
      <c r="H1694">
        <v>0</v>
      </c>
      <c r="I1694">
        <v>221.49819600000001</v>
      </c>
      <c r="J1694">
        <v>18.818878177570092</v>
      </c>
      <c r="K1694">
        <v>0</v>
      </c>
      <c r="L1694">
        <v>0.70305458296739709</v>
      </c>
      <c r="M1694">
        <v>8.15</v>
      </c>
      <c r="N1694">
        <v>3.3</v>
      </c>
    </row>
    <row r="1695" spans="1:14" x14ac:dyDescent="0.25">
      <c r="A1695" s="1" t="s">
        <v>1707</v>
      </c>
      <c r="B1695" t="str">
        <f>HYPERLINK("https://www.suredividend.com/sure-analysis-research-database/","Vishay Precision Group Inc")</f>
        <v>Vishay Precision Group Inc</v>
      </c>
      <c r="C1695" t="s">
        <v>1803</v>
      </c>
      <c r="D1695">
        <v>31.4</v>
      </c>
      <c r="E1695">
        <v>0</v>
      </c>
      <c r="F1695" t="s">
        <v>1797</v>
      </c>
      <c r="G1695" t="s">
        <v>1797</v>
      </c>
      <c r="H1695">
        <v>0</v>
      </c>
      <c r="I1695">
        <v>392.82329399999998</v>
      </c>
      <c r="J1695">
        <v>0</v>
      </c>
      <c r="K1695" t="s">
        <v>1797</v>
      </c>
      <c r="L1695">
        <v>0.81800897922899407</v>
      </c>
      <c r="M1695">
        <v>45.69</v>
      </c>
      <c r="N1695">
        <v>27.94</v>
      </c>
    </row>
    <row r="1696" spans="1:14" x14ac:dyDescent="0.25">
      <c r="A1696" s="1" t="s">
        <v>1708</v>
      </c>
      <c r="B1696" t="str">
        <f>HYPERLINK("https://www.suredividend.com/sure-analysis-research-database/","ViewRay Inc.")</f>
        <v>ViewRay Inc.</v>
      </c>
      <c r="C1696" t="s">
        <v>1802</v>
      </c>
      <c r="D1696">
        <v>2.5000000000000001E-2</v>
      </c>
      <c r="E1696">
        <v>0</v>
      </c>
      <c r="F1696" t="s">
        <v>1797</v>
      </c>
      <c r="G1696" t="s">
        <v>1797</v>
      </c>
      <c r="H1696">
        <v>0</v>
      </c>
      <c r="I1696">
        <v>0</v>
      </c>
      <c r="J1696">
        <v>0</v>
      </c>
      <c r="K1696" t="s">
        <v>1797</v>
      </c>
    </row>
    <row r="1697" spans="1:14" x14ac:dyDescent="0.25">
      <c r="A1697" s="1" t="s">
        <v>1709</v>
      </c>
      <c r="B1697" t="str">
        <f>HYPERLINK("https://www.suredividend.com/sure-analysis-research-database/","Viridian Therapeutics Inc")</f>
        <v>Viridian Therapeutics Inc</v>
      </c>
      <c r="C1697" t="s">
        <v>1797</v>
      </c>
      <c r="D1697">
        <v>22.14</v>
      </c>
      <c r="E1697">
        <v>0</v>
      </c>
      <c r="F1697" t="s">
        <v>1797</v>
      </c>
      <c r="G1697" t="s">
        <v>1797</v>
      </c>
      <c r="H1697">
        <v>0</v>
      </c>
      <c r="I1697">
        <v>1164.254903</v>
      </c>
      <c r="J1697" t="s">
        <v>1797</v>
      </c>
      <c r="K1697">
        <v>0</v>
      </c>
      <c r="L1697">
        <v>1.050501321563037</v>
      </c>
      <c r="M1697">
        <v>39</v>
      </c>
      <c r="N1697">
        <v>10.93</v>
      </c>
    </row>
    <row r="1698" spans="1:14" x14ac:dyDescent="0.25">
      <c r="A1698" s="1" t="s">
        <v>1710</v>
      </c>
      <c r="B1698" t="str">
        <f>HYPERLINK("https://www.suredividend.com/sure-analysis-research-database/","Veris Residential Inc")</f>
        <v>Veris Residential Inc</v>
      </c>
      <c r="C1698" t="s">
        <v>1797</v>
      </c>
      <c r="D1698">
        <v>15.56</v>
      </c>
      <c r="E1698">
        <v>3.3740358843739999E-3</v>
      </c>
      <c r="F1698" t="s">
        <v>1797</v>
      </c>
      <c r="G1698" t="s">
        <v>1797</v>
      </c>
      <c r="H1698">
        <v>5.2499998360871998E-2</v>
      </c>
      <c r="I1698">
        <v>1434.9669449999999</v>
      </c>
      <c r="J1698" t="s">
        <v>1797</v>
      </c>
      <c r="K1698" t="s">
        <v>1797</v>
      </c>
      <c r="L1698">
        <v>1.0271757707032969</v>
      </c>
      <c r="M1698">
        <v>18.850000000000001</v>
      </c>
      <c r="N1698">
        <v>13.02</v>
      </c>
    </row>
    <row r="1699" spans="1:14" x14ac:dyDescent="0.25">
      <c r="A1699" s="1" t="s">
        <v>1711</v>
      </c>
      <c r="B1699" t="str">
        <f>HYPERLINK("https://www.suredividend.com/sure-analysis-research-database/","Varex Imaging Corp")</f>
        <v>Varex Imaging Corp</v>
      </c>
      <c r="C1699" t="s">
        <v>1802</v>
      </c>
      <c r="D1699">
        <v>20.39</v>
      </c>
      <c r="E1699">
        <v>0</v>
      </c>
      <c r="F1699" t="s">
        <v>1797</v>
      </c>
      <c r="G1699" t="s">
        <v>1797</v>
      </c>
      <c r="H1699">
        <v>0</v>
      </c>
      <c r="I1699">
        <v>826.39799300000004</v>
      </c>
      <c r="J1699">
        <v>17.145186586514519</v>
      </c>
      <c r="K1699">
        <v>0</v>
      </c>
      <c r="L1699">
        <v>0.65162210515055308</v>
      </c>
      <c r="M1699">
        <v>23.9</v>
      </c>
      <c r="N1699">
        <v>17.05</v>
      </c>
    </row>
    <row r="1700" spans="1:14" x14ac:dyDescent="0.25">
      <c r="A1700" s="1" t="s">
        <v>1712</v>
      </c>
      <c r="B1700" t="str">
        <f>HYPERLINK("https://www.suredividend.com/sure-analysis-research-database/","Varonis Systems Inc")</f>
        <v>Varonis Systems Inc</v>
      </c>
      <c r="C1700" t="s">
        <v>1803</v>
      </c>
      <c r="D1700">
        <v>46.54</v>
      </c>
      <c r="E1700">
        <v>0</v>
      </c>
      <c r="F1700" t="s">
        <v>1797</v>
      </c>
      <c r="G1700" t="s">
        <v>1797</v>
      </c>
      <c r="H1700">
        <v>0</v>
      </c>
      <c r="I1700">
        <v>5070.6753189999999</v>
      </c>
      <c r="J1700" t="s">
        <v>1797</v>
      </c>
      <c r="K1700">
        <v>0</v>
      </c>
      <c r="L1700">
        <v>1.475603408487034</v>
      </c>
      <c r="M1700">
        <v>47.29</v>
      </c>
      <c r="N1700">
        <v>22.34</v>
      </c>
    </row>
    <row r="1701" spans="1:14" x14ac:dyDescent="0.25">
      <c r="A1701" s="1" t="s">
        <v>1713</v>
      </c>
      <c r="B1701" t="str">
        <f>HYPERLINK("https://www.suredividend.com/sure-analysis-research-database/","Verint Systems, Inc.")</f>
        <v>Verint Systems, Inc.</v>
      </c>
      <c r="C1701" t="s">
        <v>1803</v>
      </c>
      <c r="D1701">
        <v>27.13</v>
      </c>
      <c r="E1701">
        <v>0</v>
      </c>
      <c r="F1701" t="s">
        <v>1797</v>
      </c>
      <c r="G1701" t="s">
        <v>1797</v>
      </c>
      <c r="H1701">
        <v>0</v>
      </c>
      <c r="I1701">
        <v>1709.609674</v>
      </c>
      <c r="J1701">
        <v>831.92684864720184</v>
      </c>
      <c r="K1701">
        <v>0</v>
      </c>
      <c r="L1701">
        <v>1.650737051854156</v>
      </c>
      <c r="M1701">
        <v>40.71</v>
      </c>
      <c r="N1701">
        <v>18.41</v>
      </c>
    </row>
    <row r="1702" spans="1:14" x14ac:dyDescent="0.25">
      <c r="A1702" s="1" t="s">
        <v>1714</v>
      </c>
      <c r="B1702" t="str">
        <f>HYPERLINK("https://www.suredividend.com/sure-analysis-research-database/","Verra Mobility Corp")</f>
        <v>Verra Mobility Corp</v>
      </c>
      <c r="C1702" t="s">
        <v>1798</v>
      </c>
      <c r="D1702">
        <v>21.87</v>
      </c>
      <c r="E1702">
        <v>0</v>
      </c>
      <c r="F1702" t="s">
        <v>1797</v>
      </c>
      <c r="G1702" t="s">
        <v>1797</v>
      </c>
      <c r="H1702">
        <v>0</v>
      </c>
      <c r="I1702">
        <v>3637.2791320000001</v>
      </c>
      <c r="J1702">
        <v>44.243217231757313</v>
      </c>
      <c r="K1702">
        <v>0</v>
      </c>
      <c r="L1702">
        <v>0.77400734778053604</v>
      </c>
      <c r="M1702">
        <v>23.29</v>
      </c>
      <c r="N1702">
        <v>14.3</v>
      </c>
    </row>
    <row r="1703" spans="1:14" x14ac:dyDescent="0.25">
      <c r="A1703" s="1" t="s">
        <v>1715</v>
      </c>
      <c r="B1703" t="str">
        <f>HYPERLINK("https://www.suredividend.com/sure-analysis-research-database/","Virtus Investment Partners Inc")</f>
        <v>Virtus Investment Partners Inc</v>
      </c>
      <c r="C1703" t="s">
        <v>1800</v>
      </c>
      <c r="D1703">
        <v>237.16</v>
      </c>
      <c r="E1703">
        <v>2.8158108933196001E-2</v>
      </c>
      <c r="F1703">
        <v>0.1515151515151516</v>
      </c>
      <c r="G1703">
        <v>0.2813807114396103</v>
      </c>
      <c r="H1703">
        <v>6.6779771145969553</v>
      </c>
      <c r="I1703">
        <v>1703.9919910000001</v>
      </c>
      <c r="J1703">
        <v>12.60470305014535</v>
      </c>
      <c r="K1703">
        <v>0.36551598875735941</v>
      </c>
      <c r="L1703">
        <v>1.3774433501871839</v>
      </c>
      <c r="M1703">
        <v>247.87</v>
      </c>
      <c r="N1703">
        <v>157.46</v>
      </c>
    </row>
    <row r="1704" spans="1:14" x14ac:dyDescent="0.25">
      <c r="A1704" s="1" t="s">
        <v>1716</v>
      </c>
      <c r="B1704" t="str">
        <f>HYPERLINK("https://www.suredividend.com/sure-analysis-research-database/","Veritiv Corp")</f>
        <v>Veritiv Corp</v>
      </c>
      <c r="C1704" t="s">
        <v>1798</v>
      </c>
      <c r="D1704">
        <v>169.99</v>
      </c>
      <c r="E1704">
        <v>1.1068667902937999E-2</v>
      </c>
      <c r="F1704" t="s">
        <v>1797</v>
      </c>
      <c r="G1704" t="s">
        <v>1797</v>
      </c>
      <c r="H1704">
        <v>1.881562856820443</v>
      </c>
      <c r="I1704">
        <v>2306.3070269999998</v>
      </c>
      <c r="J1704">
        <v>8.4853091497424593</v>
      </c>
      <c r="K1704">
        <v>9.5124512478283269E-2</v>
      </c>
      <c r="M1704">
        <v>170.02</v>
      </c>
      <c r="N1704">
        <v>101.12</v>
      </c>
    </row>
    <row r="1705" spans="1:14" x14ac:dyDescent="0.25">
      <c r="A1705" s="1" t="s">
        <v>1717</v>
      </c>
      <c r="B1705" t="str">
        <f>HYPERLINK("https://www.suredividend.com/sure-analysis-research-database/","VSE Corp.")</f>
        <v>VSE Corp.</v>
      </c>
      <c r="C1705" t="s">
        <v>1798</v>
      </c>
      <c r="D1705">
        <v>58.88</v>
      </c>
      <c r="E1705">
        <v>6.7574184007590009E-3</v>
      </c>
      <c r="F1705">
        <v>0</v>
      </c>
      <c r="G1705">
        <v>4.5639552591273169E-2</v>
      </c>
      <c r="H1705">
        <v>0.397876795436713</v>
      </c>
      <c r="I1705">
        <v>927.20037600000001</v>
      </c>
      <c r="J1705">
        <v>28.63762474349075</v>
      </c>
      <c r="K1705">
        <v>0.1650941059903373</v>
      </c>
      <c r="L1705">
        <v>1.276898097406364</v>
      </c>
      <c r="M1705">
        <v>66.44</v>
      </c>
      <c r="N1705">
        <v>39.49</v>
      </c>
    </row>
    <row r="1706" spans="1:14" x14ac:dyDescent="0.25">
      <c r="A1706" s="1" t="s">
        <v>1718</v>
      </c>
      <c r="B1706" t="str">
        <f>HYPERLINK("https://www.suredividend.com/sure-analysis-research-database/","Vishay Intertechnology, Inc.")</f>
        <v>Vishay Intertechnology, Inc.</v>
      </c>
      <c r="C1706" t="s">
        <v>1803</v>
      </c>
      <c r="D1706">
        <v>22.41</v>
      </c>
      <c r="E1706">
        <v>1.7742455163576001E-2</v>
      </c>
      <c r="F1706">
        <v>0</v>
      </c>
      <c r="G1706">
        <v>3.3037804113932312E-2</v>
      </c>
      <c r="H1706">
        <v>0.39760842021575599</v>
      </c>
      <c r="I1706">
        <v>2829.0070040000001</v>
      </c>
      <c r="J1706">
        <v>8.1967891022379593</v>
      </c>
      <c r="K1706">
        <v>0.16228915110847181</v>
      </c>
      <c r="L1706">
        <v>1.267014323108808</v>
      </c>
      <c r="M1706">
        <v>29.85</v>
      </c>
      <c r="N1706">
        <v>20.18</v>
      </c>
    </row>
    <row r="1707" spans="1:14" x14ac:dyDescent="0.25">
      <c r="A1707" s="1" t="s">
        <v>1719</v>
      </c>
      <c r="B1707" t="str">
        <f>HYPERLINK("https://www.suredividend.com/sure-analysis-research-database/","Vista Outdoor Inc")</f>
        <v>Vista Outdoor Inc</v>
      </c>
      <c r="C1707" t="s">
        <v>1801</v>
      </c>
      <c r="D1707">
        <v>28.62</v>
      </c>
      <c r="E1707">
        <v>0</v>
      </c>
      <c r="F1707" t="s">
        <v>1797</v>
      </c>
      <c r="G1707" t="s">
        <v>1797</v>
      </c>
      <c r="H1707">
        <v>0</v>
      </c>
      <c r="I1707">
        <v>1662.0128549999999</v>
      </c>
      <c r="J1707" t="s">
        <v>1797</v>
      </c>
      <c r="K1707">
        <v>0</v>
      </c>
      <c r="L1707">
        <v>0.67540127599879007</v>
      </c>
      <c r="M1707">
        <v>33.78</v>
      </c>
      <c r="N1707">
        <v>23.33</v>
      </c>
    </row>
    <row r="1708" spans="1:14" x14ac:dyDescent="0.25">
      <c r="A1708" s="1" t="s">
        <v>1720</v>
      </c>
      <c r="B1708" t="str">
        <f>HYPERLINK("https://www.suredividend.com/sure-analysis-research-database/","VistaGen Therapeutics Inc")</f>
        <v>VistaGen Therapeutics Inc</v>
      </c>
      <c r="C1708" t="s">
        <v>1802</v>
      </c>
      <c r="D1708">
        <v>5.45</v>
      </c>
      <c r="E1708">
        <v>0</v>
      </c>
      <c r="F1708" t="s">
        <v>1797</v>
      </c>
      <c r="G1708" t="s">
        <v>1797</v>
      </c>
      <c r="H1708">
        <v>0</v>
      </c>
      <c r="I1708">
        <v>147.27555699999999</v>
      </c>
      <c r="J1708">
        <v>0</v>
      </c>
      <c r="K1708" t="s">
        <v>1797</v>
      </c>
      <c r="L1708">
        <v>5.4592995783506586</v>
      </c>
      <c r="M1708">
        <v>24.71</v>
      </c>
      <c r="N1708">
        <v>1.62</v>
      </c>
    </row>
    <row r="1709" spans="1:14" x14ac:dyDescent="0.25">
      <c r="A1709" s="1" t="s">
        <v>1721</v>
      </c>
      <c r="B1709" t="str">
        <f>HYPERLINK("https://www.suredividend.com/sure-analysis-research-database/","Vital Energy Inc.")</f>
        <v>Vital Energy Inc.</v>
      </c>
      <c r="C1709" t="s">
        <v>1797</v>
      </c>
      <c r="D1709">
        <v>42.89</v>
      </c>
      <c r="E1709">
        <v>0</v>
      </c>
      <c r="F1709" t="s">
        <v>1797</v>
      </c>
      <c r="G1709" t="s">
        <v>1797</v>
      </c>
      <c r="H1709">
        <v>0</v>
      </c>
      <c r="I1709">
        <v>1229.7368469999999</v>
      </c>
      <c r="J1709">
        <v>2.3121091086886221</v>
      </c>
      <c r="K1709">
        <v>0</v>
      </c>
      <c r="L1709">
        <v>1.4045071281099879</v>
      </c>
      <c r="M1709">
        <v>62.87</v>
      </c>
      <c r="N1709">
        <v>39.74</v>
      </c>
    </row>
    <row r="1710" spans="1:14" x14ac:dyDescent="0.25">
      <c r="A1710" s="1" t="s">
        <v>1722</v>
      </c>
      <c r="B1710" t="str">
        <f>HYPERLINK("https://www.suredividend.com/sure-analysis-research-database/","Vertex Energy Inc")</f>
        <v>Vertex Energy Inc</v>
      </c>
      <c r="C1710" t="s">
        <v>1807</v>
      </c>
      <c r="D1710">
        <v>2.06</v>
      </c>
      <c r="E1710">
        <v>0</v>
      </c>
      <c r="F1710" t="s">
        <v>1797</v>
      </c>
      <c r="G1710" t="s">
        <v>1797</v>
      </c>
      <c r="H1710">
        <v>0</v>
      </c>
      <c r="I1710">
        <v>192.63955300000001</v>
      </c>
      <c r="J1710">
        <v>0</v>
      </c>
      <c r="K1710" t="s">
        <v>1797</v>
      </c>
      <c r="L1710">
        <v>1.595676503863074</v>
      </c>
      <c r="M1710">
        <v>11.2</v>
      </c>
      <c r="N1710">
        <v>2.04</v>
      </c>
    </row>
    <row r="1711" spans="1:14" x14ac:dyDescent="0.25">
      <c r="A1711" s="1" t="s">
        <v>1723</v>
      </c>
      <c r="B1711" t="str">
        <f>HYPERLINK("https://www.suredividend.com/sure-analysis-research-database/","Bristow Group Inc.")</f>
        <v>Bristow Group Inc.</v>
      </c>
      <c r="C1711" t="s">
        <v>1797</v>
      </c>
      <c r="D1711">
        <v>26.34</v>
      </c>
      <c r="E1711">
        <v>0</v>
      </c>
      <c r="F1711" t="s">
        <v>1797</v>
      </c>
      <c r="G1711" t="s">
        <v>1797</v>
      </c>
      <c r="H1711">
        <v>0</v>
      </c>
      <c r="I1711">
        <v>743.99964</v>
      </c>
      <c r="J1711">
        <v>46.108058998512647</v>
      </c>
      <c r="K1711">
        <v>0</v>
      </c>
      <c r="L1711">
        <v>1.255396607933577</v>
      </c>
      <c r="M1711">
        <v>31.89</v>
      </c>
      <c r="N1711">
        <v>20.079999999999998</v>
      </c>
    </row>
    <row r="1712" spans="1:14" x14ac:dyDescent="0.25">
      <c r="A1712" s="1" t="s">
        <v>1724</v>
      </c>
      <c r="B1712" t="str">
        <f>HYPERLINK("https://www.suredividend.com/sure-analysis-research-database/","Ventyx Biosciences Inc")</f>
        <v>Ventyx Biosciences Inc</v>
      </c>
      <c r="C1712" t="s">
        <v>1797</v>
      </c>
      <c r="D1712">
        <v>2.23</v>
      </c>
      <c r="E1712">
        <v>0</v>
      </c>
      <c r="F1712" t="s">
        <v>1797</v>
      </c>
      <c r="G1712" t="s">
        <v>1797</v>
      </c>
      <c r="H1712">
        <v>0</v>
      </c>
      <c r="I1712">
        <v>131.67728099999999</v>
      </c>
      <c r="J1712">
        <v>0</v>
      </c>
      <c r="K1712" t="s">
        <v>1797</v>
      </c>
      <c r="L1712">
        <v>0.70573807570084801</v>
      </c>
      <c r="M1712">
        <v>47.25</v>
      </c>
      <c r="N1712">
        <v>2.06</v>
      </c>
    </row>
    <row r="1713" spans="1:14" x14ac:dyDescent="0.25">
      <c r="A1713" s="1" t="s">
        <v>1725</v>
      </c>
      <c r="B1713" t="str">
        <f>HYPERLINK("https://www.suredividend.com/sure-analysis-research-database/","Vuzix Corporation")</f>
        <v>Vuzix Corporation</v>
      </c>
      <c r="C1713" t="s">
        <v>1803</v>
      </c>
      <c r="D1713">
        <v>1.84</v>
      </c>
      <c r="E1713">
        <v>0</v>
      </c>
      <c r="F1713" t="s">
        <v>1797</v>
      </c>
      <c r="G1713" t="s">
        <v>1797</v>
      </c>
      <c r="H1713">
        <v>0</v>
      </c>
      <c r="I1713">
        <v>116.52279900000001</v>
      </c>
      <c r="J1713">
        <v>0</v>
      </c>
      <c r="K1713" t="s">
        <v>1797</v>
      </c>
      <c r="L1713">
        <v>2.6116127618882521</v>
      </c>
      <c r="M1713">
        <v>6.06</v>
      </c>
      <c r="N1713">
        <v>1.83</v>
      </c>
    </row>
    <row r="1714" spans="1:14" x14ac:dyDescent="0.25">
      <c r="A1714" s="1" t="s">
        <v>1726</v>
      </c>
      <c r="B1714" t="str">
        <f>HYPERLINK("https://www.suredividend.com/sure-analysis-research-database/","Viad Corp.")</f>
        <v>Viad Corp.</v>
      </c>
      <c r="C1714" t="s">
        <v>1798</v>
      </c>
      <c r="D1714">
        <v>32.69</v>
      </c>
      <c r="E1714">
        <v>0</v>
      </c>
      <c r="F1714" t="s">
        <v>1797</v>
      </c>
      <c r="G1714" t="s">
        <v>1797</v>
      </c>
      <c r="H1714">
        <v>0</v>
      </c>
      <c r="I1714">
        <v>683.85420499999998</v>
      </c>
      <c r="J1714">
        <v>42.275853443372903</v>
      </c>
      <c r="K1714">
        <v>0</v>
      </c>
      <c r="L1714">
        <v>1.3743738899546549</v>
      </c>
      <c r="M1714">
        <v>37.99</v>
      </c>
      <c r="N1714">
        <v>17.100000000000001</v>
      </c>
    </row>
    <row r="1715" spans="1:14" x14ac:dyDescent="0.25">
      <c r="A1715" s="1" t="s">
        <v>1727</v>
      </c>
      <c r="B1715" t="str">
        <f>HYPERLINK("https://www.suredividend.com/sure-analysis-research-database/","V2X Inc")</f>
        <v>V2X Inc</v>
      </c>
      <c r="C1715" t="s">
        <v>1797</v>
      </c>
      <c r="D1715">
        <v>39.9</v>
      </c>
      <c r="E1715">
        <v>0</v>
      </c>
      <c r="F1715" t="s">
        <v>1797</v>
      </c>
      <c r="G1715" t="s">
        <v>1797</v>
      </c>
      <c r="H1715">
        <v>0</v>
      </c>
      <c r="I1715">
        <v>1244.5393340000001</v>
      </c>
      <c r="J1715" t="s">
        <v>1797</v>
      </c>
      <c r="K1715">
        <v>0</v>
      </c>
      <c r="L1715">
        <v>0.60806581457027309</v>
      </c>
      <c r="M1715">
        <v>56.75</v>
      </c>
      <c r="N1715">
        <v>36.450000000000003</v>
      </c>
    </row>
    <row r="1716" spans="1:14" x14ac:dyDescent="0.25">
      <c r="A1716" s="1" t="s">
        <v>1728</v>
      </c>
      <c r="B1716" t="str">
        <f>HYPERLINK("https://www.suredividend.com/sure-analysis-research-database/","Vintage Wine Estates Inc")</f>
        <v>Vintage Wine Estates Inc</v>
      </c>
      <c r="C1716" t="s">
        <v>1797</v>
      </c>
      <c r="D1716">
        <v>0.496</v>
      </c>
      <c r="E1716">
        <v>0</v>
      </c>
      <c r="F1716" t="s">
        <v>1797</v>
      </c>
      <c r="G1716" t="s">
        <v>1797</v>
      </c>
      <c r="H1716">
        <v>0</v>
      </c>
      <c r="I1716">
        <v>29.574705999999999</v>
      </c>
      <c r="J1716" t="s">
        <v>1797</v>
      </c>
      <c r="K1716">
        <v>0</v>
      </c>
      <c r="L1716">
        <v>1.6027201309249439</v>
      </c>
      <c r="M1716">
        <v>3.38</v>
      </c>
      <c r="N1716">
        <v>0.46</v>
      </c>
    </row>
    <row r="1717" spans="1:14" x14ac:dyDescent="0.25">
      <c r="A1717" s="1" t="s">
        <v>1729</v>
      </c>
      <c r="B1717" t="str">
        <f>HYPERLINK("https://www.suredividend.com/sure-analysis-research-database/","Vaxart Inc")</f>
        <v>Vaxart Inc</v>
      </c>
      <c r="C1717" t="s">
        <v>1802</v>
      </c>
      <c r="D1717">
        <v>0.56010000000000004</v>
      </c>
      <c r="E1717">
        <v>0</v>
      </c>
      <c r="F1717" t="s">
        <v>1797</v>
      </c>
      <c r="G1717" t="s">
        <v>1797</v>
      </c>
      <c r="H1717">
        <v>0</v>
      </c>
      <c r="I1717">
        <v>85.156953999999999</v>
      </c>
      <c r="J1717" t="s">
        <v>1797</v>
      </c>
      <c r="K1717">
        <v>0</v>
      </c>
      <c r="L1717">
        <v>1.70219464347044</v>
      </c>
      <c r="M1717">
        <v>1.59</v>
      </c>
      <c r="N1717">
        <v>0.53</v>
      </c>
    </row>
    <row r="1718" spans="1:14" x14ac:dyDescent="0.25">
      <c r="A1718" s="1" t="s">
        <v>1730</v>
      </c>
      <c r="B1718" t="str">
        <f>HYPERLINK("https://www.suredividend.com/sure-analysis-research-database/","VIZIO Holding Corp")</f>
        <v>VIZIO Holding Corp</v>
      </c>
      <c r="C1718" t="s">
        <v>1797</v>
      </c>
      <c r="D1718">
        <v>7.48</v>
      </c>
      <c r="E1718">
        <v>0</v>
      </c>
      <c r="F1718" t="s">
        <v>1797</v>
      </c>
      <c r="G1718" t="s">
        <v>1797</v>
      </c>
      <c r="H1718">
        <v>0</v>
      </c>
      <c r="I1718">
        <v>1446.6822810000001</v>
      </c>
      <c r="J1718">
        <v>42.497682157746482</v>
      </c>
      <c r="K1718">
        <v>0</v>
      </c>
      <c r="L1718">
        <v>1.84793433942393</v>
      </c>
      <c r="M1718">
        <v>10.56</v>
      </c>
      <c r="N1718">
        <v>4.82</v>
      </c>
    </row>
    <row r="1719" spans="1:14" x14ac:dyDescent="0.25">
      <c r="A1719" s="1" t="s">
        <v>1731</v>
      </c>
      <c r="B1719" t="str">
        <f>HYPERLINK("https://www.suredividend.com/sure-analysis-WABC/","Westamerica Bancorporation")</f>
        <v>Westamerica Bancorporation</v>
      </c>
      <c r="C1719" t="s">
        <v>1800</v>
      </c>
      <c r="D1719">
        <v>54.39</v>
      </c>
      <c r="E1719">
        <v>3.2358889501746653E-2</v>
      </c>
      <c r="F1719">
        <v>4.7619047619047672E-2</v>
      </c>
      <c r="G1719">
        <v>1.9244876491456561E-2</v>
      </c>
      <c r="H1719">
        <v>1.672928701087167</v>
      </c>
      <c r="I1719">
        <v>1449.4410680000001</v>
      </c>
      <c r="J1719">
        <v>8.9668720647843418</v>
      </c>
      <c r="K1719">
        <v>0.27697495051112042</v>
      </c>
      <c r="L1719">
        <v>1.044490601804855</v>
      </c>
      <c r="M1719">
        <v>57.96</v>
      </c>
      <c r="N1719">
        <v>33.49</v>
      </c>
    </row>
    <row r="1720" spans="1:14" x14ac:dyDescent="0.25">
      <c r="A1720" s="1" t="s">
        <v>1732</v>
      </c>
      <c r="B1720" t="str">
        <f>HYPERLINK("https://www.suredividend.com/sure-analysis-WAFD/","WaFd Inc")</f>
        <v>WaFd Inc</v>
      </c>
      <c r="C1720" t="s">
        <v>1800</v>
      </c>
      <c r="D1720">
        <v>30.76</v>
      </c>
      <c r="E1720">
        <v>3.2509752925877759E-2</v>
      </c>
      <c r="F1720">
        <v>4.1666666666666741E-2</v>
      </c>
      <c r="G1720">
        <v>4.5639552591273169E-2</v>
      </c>
      <c r="H1720">
        <v>0.97489172905887811</v>
      </c>
      <c r="I1720">
        <v>1973.9130640000001</v>
      </c>
      <c r="J1720">
        <v>8.1297567298322502</v>
      </c>
      <c r="K1720">
        <v>0.26206766910184898</v>
      </c>
      <c r="L1720">
        <v>1.5554304749656129</v>
      </c>
      <c r="M1720">
        <v>35.35</v>
      </c>
      <c r="N1720">
        <v>22.81</v>
      </c>
    </row>
    <row r="1721" spans="1:14" x14ac:dyDescent="0.25">
      <c r="A1721" s="1" t="s">
        <v>1733</v>
      </c>
      <c r="B1721" t="str">
        <f>HYPERLINK("https://www.suredividend.com/sure-analysis-WASH/","Washington Trust Bancorp, Inc.")</f>
        <v>Washington Trust Bancorp, Inc.</v>
      </c>
      <c r="C1721" t="s">
        <v>1800</v>
      </c>
      <c r="D1721">
        <v>29.88</v>
      </c>
      <c r="E1721">
        <v>7.4966532797858115E-2</v>
      </c>
      <c r="F1721">
        <v>0</v>
      </c>
      <c r="G1721">
        <v>3.5661981385701091E-2</v>
      </c>
      <c r="H1721">
        <v>2.1198503047820858</v>
      </c>
      <c r="I1721">
        <v>508.88583199999999</v>
      </c>
      <c r="J1721">
        <v>9.8440048708772601</v>
      </c>
      <c r="K1721">
        <v>0.7019371870139357</v>
      </c>
      <c r="L1721">
        <v>1.3505077230111051</v>
      </c>
      <c r="M1721">
        <v>42.5</v>
      </c>
      <c r="N1721">
        <v>19.829999999999998</v>
      </c>
    </row>
    <row r="1722" spans="1:14" x14ac:dyDescent="0.25">
      <c r="A1722" s="1" t="s">
        <v>1734</v>
      </c>
      <c r="B1722" t="str">
        <f>HYPERLINK("https://www.suredividend.com/sure-analysis-research-database/","Walker &amp; Dunlop Inc")</f>
        <v>Walker &amp; Dunlop Inc</v>
      </c>
      <c r="C1722" t="s">
        <v>1800</v>
      </c>
      <c r="D1722">
        <v>98.12</v>
      </c>
      <c r="E1722">
        <v>2.5384052728010999E-2</v>
      </c>
      <c r="F1722">
        <v>4.9999999999999822E-2</v>
      </c>
      <c r="G1722">
        <v>0.15996225865400129</v>
      </c>
      <c r="H1722">
        <v>2.4906832536724459</v>
      </c>
      <c r="I1722">
        <v>3282.1321520000001</v>
      </c>
      <c r="J1722">
        <v>28.733166580873341</v>
      </c>
      <c r="K1722">
        <v>0.71571357864150742</v>
      </c>
      <c r="L1722">
        <v>1.804170717762013</v>
      </c>
      <c r="M1722">
        <v>113.67</v>
      </c>
      <c r="N1722">
        <v>59.6</v>
      </c>
    </row>
    <row r="1723" spans="1:14" x14ac:dyDescent="0.25">
      <c r="A1723" s="1" t="s">
        <v>1735</v>
      </c>
      <c r="B1723" t="str">
        <f>HYPERLINK("https://www.suredividend.com/sure-analysis-WDFC/","WD-40 Co.")</f>
        <v>WD-40 Co.</v>
      </c>
      <c r="C1723" t="s">
        <v>1808</v>
      </c>
      <c r="D1723">
        <v>272.97000000000003</v>
      </c>
      <c r="E1723">
        <v>1.289518994761329E-2</v>
      </c>
      <c r="F1723">
        <v>6.4102564102564097E-2</v>
      </c>
      <c r="G1723">
        <v>6.3529771042914795E-2</v>
      </c>
      <c r="H1723">
        <v>2.470441684926485</v>
      </c>
      <c r="I1723">
        <v>3701.996756</v>
      </c>
      <c r="J1723">
        <v>53.501701830505539</v>
      </c>
      <c r="K1723">
        <v>0.48535200096787517</v>
      </c>
      <c r="L1723">
        <v>0.92078186034646603</v>
      </c>
      <c r="M1723">
        <v>278.77999999999997</v>
      </c>
      <c r="N1723">
        <v>160.53</v>
      </c>
    </row>
    <row r="1724" spans="1:14" x14ac:dyDescent="0.25">
      <c r="A1724" s="1" t="s">
        <v>1736</v>
      </c>
      <c r="B1724" t="str">
        <f>HYPERLINK("https://www.suredividend.com/sure-analysis-research-database/","Weave Communications Inc")</f>
        <v>Weave Communications Inc</v>
      </c>
      <c r="C1724" t="s">
        <v>1797</v>
      </c>
      <c r="D1724">
        <v>11.02</v>
      </c>
      <c r="E1724">
        <v>0</v>
      </c>
      <c r="F1724" t="s">
        <v>1797</v>
      </c>
      <c r="G1724" t="s">
        <v>1797</v>
      </c>
      <c r="H1724">
        <v>0</v>
      </c>
      <c r="I1724">
        <v>765.60360100000003</v>
      </c>
      <c r="J1724" t="s">
        <v>1797</v>
      </c>
      <c r="K1724">
        <v>0</v>
      </c>
      <c r="L1724">
        <v>1.5051350620585719</v>
      </c>
      <c r="M1724">
        <v>12.45</v>
      </c>
      <c r="N1724">
        <v>4.04</v>
      </c>
    </row>
    <row r="1725" spans="1:14" x14ac:dyDescent="0.25">
      <c r="A1725" s="1" t="s">
        <v>1737</v>
      </c>
      <c r="B1725" t="str">
        <f>HYPERLINK("https://www.suredividend.com/sure-analysis-research-database/","Werner Enterprises, Inc.")</f>
        <v>Werner Enterprises, Inc.</v>
      </c>
      <c r="C1725" t="s">
        <v>1798</v>
      </c>
      <c r="D1725">
        <v>40.19</v>
      </c>
      <c r="E1725">
        <v>1.3550583800531001E-2</v>
      </c>
      <c r="F1725">
        <v>7.6923076923077094E-2</v>
      </c>
      <c r="G1725">
        <v>-0.48189312689661362</v>
      </c>
      <c r="H1725">
        <v>0.54459796294337104</v>
      </c>
      <c r="I1725">
        <v>2547.8428399999998</v>
      </c>
      <c r="J1725">
        <v>17.102485917435811</v>
      </c>
      <c r="K1725">
        <v>0.23273417219802181</v>
      </c>
      <c r="L1725">
        <v>0.82082895701564407</v>
      </c>
      <c r="M1725">
        <v>49.17</v>
      </c>
      <c r="N1725">
        <v>34.79</v>
      </c>
    </row>
    <row r="1726" spans="1:14" x14ac:dyDescent="0.25">
      <c r="A1726" s="1" t="s">
        <v>1738</v>
      </c>
      <c r="B1726" t="str">
        <f>HYPERLINK("https://www.suredividend.com/sure-analysis-WEYS/","Weyco Group, Inc")</f>
        <v>Weyco Group, Inc</v>
      </c>
      <c r="C1726" t="s">
        <v>1801</v>
      </c>
      <c r="D1726">
        <v>30.61</v>
      </c>
      <c r="E1726">
        <v>3.2669062397909177E-2</v>
      </c>
      <c r="F1726">
        <v>4.1666666666666741E-2</v>
      </c>
      <c r="G1726">
        <v>1.6816147821954619E-2</v>
      </c>
      <c r="H1726">
        <v>0.96368957973109204</v>
      </c>
      <c r="I1726">
        <v>290.72220900000002</v>
      </c>
      <c r="J1726">
        <v>9.1227001826283391</v>
      </c>
      <c r="K1726">
        <v>0.28852981429074609</v>
      </c>
      <c r="L1726">
        <v>0.57605964421128508</v>
      </c>
      <c r="M1726">
        <v>33.03</v>
      </c>
      <c r="N1726">
        <v>20.07</v>
      </c>
    </row>
    <row r="1727" spans="1:14" x14ac:dyDescent="0.25">
      <c r="A1727" s="1" t="s">
        <v>1739</v>
      </c>
      <c r="B1727" t="str">
        <f>HYPERLINK("https://www.suredividend.com/sure-analysis-research-database/","Weatherford International plc")</f>
        <v>Weatherford International plc</v>
      </c>
      <c r="C1727" t="s">
        <v>1797</v>
      </c>
      <c r="D1727">
        <v>94.23</v>
      </c>
      <c r="E1727">
        <v>0</v>
      </c>
      <c r="F1727" t="s">
        <v>1797</v>
      </c>
      <c r="G1727" t="s">
        <v>1797</v>
      </c>
      <c r="H1727">
        <v>0</v>
      </c>
      <c r="I1727">
        <v>6795.7352069999997</v>
      </c>
      <c r="J1727">
        <v>19.472020650000001</v>
      </c>
      <c r="K1727">
        <v>0</v>
      </c>
      <c r="L1727">
        <v>0.99725150701045207</v>
      </c>
      <c r="M1727">
        <v>102.65</v>
      </c>
      <c r="N1727">
        <v>51.46</v>
      </c>
    </row>
    <row r="1728" spans="1:14" x14ac:dyDescent="0.25">
      <c r="A1728" s="1" t="s">
        <v>1740</v>
      </c>
      <c r="B1728" t="str">
        <f>HYPERLINK("https://www.suredividend.com/sure-analysis-WGO/","Winnebago Industries, Inc.")</f>
        <v>Winnebago Industries, Inc.</v>
      </c>
      <c r="C1728" t="s">
        <v>1801</v>
      </c>
      <c r="D1728">
        <v>66.900000000000006</v>
      </c>
      <c r="E1728">
        <v>1.8535127055306421E-2</v>
      </c>
      <c r="F1728">
        <v>0.14814814814814811</v>
      </c>
      <c r="G1728">
        <v>0.23025121250227859</v>
      </c>
      <c r="H1728">
        <v>1.152316251031452</v>
      </c>
      <c r="I1728">
        <v>1953.48</v>
      </c>
      <c r="J1728">
        <v>10.76297520661157</v>
      </c>
      <c r="K1728">
        <v>0.22331710291307211</v>
      </c>
      <c r="L1728">
        <v>1.3857318272187611</v>
      </c>
      <c r="M1728">
        <v>75.08</v>
      </c>
      <c r="N1728">
        <v>52.95</v>
      </c>
    </row>
    <row r="1729" spans="1:14" x14ac:dyDescent="0.25">
      <c r="A1729" s="1" t="s">
        <v>1741</v>
      </c>
      <c r="B1729" t="str">
        <f>HYPERLINK("https://www.suredividend.com/sure-analysis-research-database/","GeneDx Holdings Corp")</f>
        <v>GeneDx Holdings Corp</v>
      </c>
      <c r="C1729" t="s">
        <v>1797</v>
      </c>
      <c r="D1729">
        <v>3.66</v>
      </c>
      <c r="E1729">
        <v>0</v>
      </c>
      <c r="F1729" t="s">
        <v>1797</v>
      </c>
      <c r="G1729" t="s">
        <v>1797</v>
      </c>
      <c r="H1729">
        <v>0</v>
      </c>
      <c r="I1729">
        <v>94.736461000000006</v>
      </c>
      <c r="J1729" t="s">
        <v>1797</v>
      </c>
      <c r="K1729">
        <v>0</v>
      </c>
      <c r="L1729">
        <v>1.810196523934253</v>
      </c>
      <c r="M1729">
        <v>17.91</v>
      </c>
      <c r="N1729">
        <v>1.1599999999999999</v>
      </c>
    </row>
    <row r="1730" spans="1:14" x14ac:dyDescent="0.25">
      <c r="A1730" s="1" t="s">
        <v>1742</v>
      </c>
      <c r="B1730" t="str">
        <f>HYPERLINK("https://www.suredividend.com/sure-analysis-research-database/","Cactus Inc")</f>
        <v>Cactus Inc</v>
      </c>
      <c r="C1730" t="s">
        <v>1807</v>
      </c>
      <c r="D1730">
        <v>40.520000000000003</v>
      </c>
      <c r="E1730">
        <v>1.1306967930536E-2</v>
      </c>
      <c r="F1730" t="s">
        <v>1797</v>
      </c>
      <c r="G1730" t="s">
        <v>1797</v>
      </c>
      <c r="H1730">
        <v>0.45815834054533211</v>
      </c>
      <c r="I1730">
        <v>2646.8931870000001</v>
      </c>
      <c r="J1730">
        <v>17.504402313822229</v>
      </c>
      <c r="K1730">
        <v>0.22793947290812541</v>
      </c>
      <c r="L1730">
        <v>1.039150510272111</v>
      </c>
      <c r="M1730">
        <v>56.84</v>
      </c>
      <c r="N1730">
        <v>31.2</v>
      </c>
    </row>
    <row r="1731" spans="1:14" x14ac:dyDescent="0.25">
      <c r="A1731" s="1" t="s">
        <v>1743</v>
      </c>
      <c r="B1731" t="str">
        <f>HYPERLINK("https://www.suredividend.com/sure-analysis-research-database/","Winmark Corporation")</f>
        <v>Winmark Corporation</v>
      </c>
      <c r="C1731" t="s">
        <v>1801</v>
      </c>
      <c r="D1731">
        <v>365.98</v>
      </c>
      <c r="E1731">
        <v>3.4105007039225997E-2</v>
      </c>
      <c r="F1731">
        <v>0.14285714285714279</v>
      </c>
      <c r="G1731">
        <v>0.2619146889603865</v>
      </c>
      <c r="H1731">
        <v>12.48175047621598</v>
      </c>
      <c r="I1731">
        <v>1276.3530539999999</v>
      </c>
      <c r="J1731">
        <v>31.407948100664651</v>
      </c>
      <c r="K1731">
        <v>1.1085035946905839</v>
      </c>
      <c r="L1731">
        <v>0.81509783457855112</v>
      </c>
      <c r="M1731">
        <v>451.3</v>
      </c>
      <c r="N1731">
        <v>249.13</v>
      </c>
    </row>
    <row r="1732" spans="1:14" x14ac:dyDescent="0.25">
      <c r="A1732" s="1" t="s">
        <v>1744</v>
      </c>
      <c r="B1732" t="str">
        <f>HYPERLINK("https://www.suredividend.com/sure-analysis-research-database/","Wingstop Inc")</f>
        <v>Wingstop Inc</v>
      </c>
      <c r="C1732" t="s">
        <v>1801</v>
      </c>
      <c r="D1732">
        <v>261.27</v>
      </c>
      <c r="E1732">
        <v>3.1313745409860001E-3</v>
      </c>
      <c r="F1732">
        <v>0.15789473684210531</v>
      </c>
      <c r="G1732">
        <v>0.1486983549970351</v>
      </c>
      <c r="H1732">
        <v>0.81813422632358901</v>
      </c>
      <c r="I1732">
        <v>7685.236148</v>
      </c>
      <c r="J1732">
        <v>111.4496881882912</v>
      </c>
      <c r="K1732">
        <v>0.35571053318416918</v>
      </c>
      <c r="L1732">
        <v>0.87461804172673707</v>
      </c>
      <c r="M1732">
        <v>264.55</v>
      </c>
      <c r="N1732">
        <v>133.81</v>
      </c>
    </row>
    <row r="1733" spans="1:14" x14ac:dyDescent="0.25">
      <c r="A1733" s="1" t="s">
        <v>1745</v>
      </c>
      <c r="B1733" t="str">
        <f>HYPERLINK("https://www.suredividend.com/sure-analysis-research-database/","Encore Wire Corp.")</f>
        <v>Encore Wire Corp.</v>
      </c>
      <c r="C1733" t="s">
        <v>1798</v>
      </c>
      <c r="D1733">
        <v>216.31</v>
      </c>
      <c r="E1733">
        <v>3.6972521027300002E-4</v>
      </c>
      <c r="F1733">
        <v>0</v>
      </c>
      <c r="G1733">
        <v>0</v>
      </c>
      <c r="H1733">
        <v>7.9975260234272011E-2</v>
      </c>
      <c r="I1733">
        <v>3412.5729670000001</v>
      </c>
      <c r="J1733">
        <v>7.414204480299821</v>
      </c>
      <c r="K1733">
        <v>3.1010182332017072E-3</v>
      </c>
      <c r="L1733">
        <v>1.340243291115685</v>
      </c>
      <c r="M1733">
        <v>221.48</v>
      </c>
      <c r="N1733">
        <v>138.11000000000001</v>
      </c>
    </row>
    <row r="1734" spans="1:14" x14ac:dyDescent="0.25">
      <c r="A1734" s="1" t="s">
        <v>1746</v>
      </c>
      <c r="B1734" t="str">
        <f>HYPERLINK("https://www.suredividend.com/sure-analysis-research-database/","ContextLogic Inc")</f>
        <v>ContextLogic Inc</v>
      </c>
      <c r="C1734" t="s">
        <v>1800</v>
      </c>
      <c r="D1734">
        <v>4.2350000000000003</v>
      </c>
      <c r="E1734">
        <v>0</v>
      </c>
      <c r="F1734" t="s">
        <v>1797</v>
      </c>
      <c r="G1734" t="s">
        <v>1797</v>
      </c>
      <c r="H1734">
        <v>0</v>
      </c>
      <c r="I1734">
        <v>101.67811500000001</v>
      </c>
      <c r="J1734" t="s">
        <v>1797</v>
      </c>
      <c r="K1734">
        <v>0</v>
      </c>
      <c r="L1734">
        <v>3.5443982694789922</v>
      </c>
      <c r="M1734">
        <v>32.1</v>
      </c>
      <c r="N1734">
        <v>3.55</v>
      </c>
    </row>
    <row r="1735" spans="1:14" x14ac:dyDescent="0.25">
      <c r="A1735" s="1" t="s">
        <v>1747</v>
      </c>
      <c r="B1735" t="str">
        <f>HYPERLINK("https://www.suredividend.com/sure-analysis-research-database/","Workiva Inc")</f>
        <v>Workiva Inc</v>
      </c>
      <c r="C1735" t="s">
        <v>1803</v>
      </c>
      <c r="D1735">
        <v>95.05</v>
      </c>
      <c r="E1735">
        <v>0</v>
      </c>
      <c r="F1735" t="s">
        <v>1797</v>
      </c>
      <c r="G1735" t="s">
        <v>1797</v>
      </c>
      <c r="H1735">
        <v>0</v>
      </c>
      <c r="I1735">
        <v>4771.7052329999997</v>
      </c>
      <c r="J1735" t="s">
        <v>1797</v>
      </c>
      <c r="K1735">
        <v>0</v>
      </c>
      <c r="L1735">
        <v>1.5364400003542289</v>
      </c>
      <c r="M1735">
        <v>116</v>
      </c>
      <c r="N1735">
        <v>83</v>
      </c>
    </row>
    <row r="1736" spans="1:14" x14ac:dyDescent="0.25">
      <c r="A1736" s="1" t="s">
        <v>1748</v>
      </c>
      <c r="B1736" t="str">
        <f>HYPERLINK("https://www.suredividend.com/sure-analysis-research-database/","Workhorse Group Inc")</f>
        <v>Workhorse Group Inc</v>
      </c>
      <c r="C1736" t="s">
        <v>1801</v>
      </c>
      <c r="D1736">
        <v>0.31950000000000001</v>
      </c>
      <c r="E1736">
        <v>0</v>
      </c>
      <c r="F1736" t="s">
        <v>1797</v>
      </c>
      <c r="G1736" t="s">
        <v>1797</v>
      </c>
      <c r="H1736">
        <v>0</v>
      </c>
      <c r="I1736">
        <v>83.365035000000006</v>
      </c>
      <c r="J1736">
        <v>0</v>
      </c>
      <c r="K1736" t="s">
        <v>1797</v>
      </c>
      <c r="L1736">
        <v>2.849788679962137</v>
      </c>
      <c r="M1736">
        <v>2.6</v>
      </c>
      <c r="N1736">
        <v>0.30599999999999999</v>
      </c>
    </row>
    <row r="1737" spans="1:14" x14ac:dyDescent="0.25">
      <c r="A1737" s="1" t="s">
        <v>1749</v>
      </c>
      <c r="B1737" t="str">
        <f>HYPERLINK("https://www.suredividend.com/sure-analysis-research-database/","Willdan Group Inc")</f>
        <v>Willdan Group Inc</v>
      </c>
      <c r="C1737" t="s">
        <v>1798</v>
      </c>
      <c r="D1737">
        <v>17.940000000000001</v>
      </c>
      <c r="E1737">
        <v>0</v>
      </c>
      <c r="F1737" t="s">
        <v>1797</v>
      </c>
      <c r="G1737" t="s">
        <v>1797</v>
      </c>
      <c r="H1737">
        <v>0</v>
      </c>
      <c r="I1737">
        <v>244.82301799999999</v>
      </c>
      <c r="J1737">
        <v>0</v>
      </c>
      <c r="K1737" t="s">
        <v>1797</v>
      </c>
      <c r="L1737">
        <v>1.5683359615009289</v>
      </c>
      <c r="M1737">
        <v>25.38</v>
      </c>
      <c r="N1737">
        <v>13.86</v>
      </c>
    </row>
    <row r="1738" spans="1:14" x14ac:dyDescent="0.25">
      <c r="A1738" s="1" t="s">
        <v>1750</v>
      </c>
      <c r="B1738" t="str">
        <f>HYPERLINK("https://www.suredividend.com/sure-analysis-WLY/","John Wiley &amp; Sons Inc.")</f>
        <v>John Wiley &amp; Sons Inc.</v>
      </c>
      <c r="C1738" t="s">
        <v>1797</v>
      </c>
      <c r="D1738">
        <v>32.200000000000003</v>
      </c>
      <c r="E1738">
        <v>4.3478260869565209E-2</v>
      </c>
      <c r="F1738" t="s">
        <v>1797</v>
      </c>
      <c r="G1738" t="s">
        <v>1797</v>
      </c>
      <c r="H1738">
        <v>1.376168879830318</v>
      </c>
      <c r="I1738">
        <v>1761.7382680000001</v>
      </c>
      <c r="J1738" t="s">
        <v>1797</v>
      </c>
      <c r="K1738" t="s">
        <v>1797</v>
      </c>
      <c r="L1738">
        <v>1.067656316805627</v>
      </c>
      <c r="M1738">
        <v>47.63</v>
      </c>
      <c r="N1738">
        <v>28.53</v>
      </c>
    </row>
    <row r="1739" spans="1:14" x14ac:dyDescent="0.25">
      <c r="A1739" s="1" t="s">
        <v>1751</v>
      </c>
      <c r="B1739" t="str">
        <f>HYPERLINK("https://www.suredividend.com/sure-analysis-research-database/","Weis Markets, Inc.")</f>
        <v>Weis Markets, Inc.</v>
      </c>
      <c r="C1739" t="s">
        <v>1804</v>
      </c>
      <c r="D1739">
        <v>61.98</v>
      </c>
      <c r="E1739">
        <v>2.1778916981945E-2</v>
      </c>
      <c r="F1739">
        <v>0</v>
      </c>
      <c r="G1739">
        <v>1.8646376444729999E-2</v>
      </c>
      <c r="H1739">
        <v>1.3498572745409929</v>
      </c>
      <c r="I1739">
        <v>1667.165497</v>
      </c>
      <c r="J1739">
        <v>14.86046187774094</v>
      </c>
      <c r="K1739">
        <v>0.32370678046546603</v>
      </c>
      <c r="L1739">
        <v>0.27818888160079303</v>
      </c>
      <c r="M1739">
        <v>87.57</v>
      </c>
      <c r="N1739">
        <v>58.15</v>
      </c>
    </row>
    <row r="1740" spans="1:14" x14ac:dyDescent="0.25">
      <c r="A1740" s="1" t="s">
        <v>1752</v>
      </c>
      <c r="B1740" t="str">
        <f>HYPERLINK("https://www.suredividend.com/sure-analysis-research-database/","Wabash National Corp.")</f>
        <v>Wabash National Corp.</v>
      </c>
      <c r="C1740" t="s">
        <v>1798</v>
      </c>
      <c r="D1740">
        <v>23.45</v>
      </c>
      <c r="E1740">
        <v>1.3577325026456999E-2</v>
      </c>
      <c r="F1740">
        <v>0</v>
      </c>
      <c r="G1740">
        <v>0</v>
      </c>
      <c r="H1740">
        <v>0.318388271870435</v>
      </c>
      <c r="I1740">
        <v>1080.747255</v>
      </c>
      <c r="J1740">
        <v>4.8691301337183894</v>
      </c>
      <c r="K1740">
        <v>7.0284386726365333E-2</v>
      </c>
      <c r="L1740">
        <v>1.1032689309151349</v>
      </c>
      <c r="M1740">
        <v>29.69</v>
      </c>
      <c r="N1740">
        <v>19.95</v>
      </c>
    </row>
    <row r="1741" spans="1:14" x14ac:dyDescent="0.25">
      <c r="A1741" s="1" t="s">
        <v>1753</v>
      </c>
      <c r="B1741" t="str">
        <f>HYPERLINK("https://www.suredividend.com/sure-analysis-WOR/","Worthington Enterprises Inc.")</f>
        <v>Worthington Enterprises Inc.</v>
      </c>
      <c r="C1741" t="s">
        <v>1808</v>
      </c>
      <c r="D1741">
        <v>54.23</v>
      </c>
      <c r="E1741">
        <v>1.1801585838096989E-2</v>
      </c>
      <c r="F1741">
        <v>3.2258064516128997E-2</v>
      </c>
      <c r="G1741">
        <v>6.8278353688437932E-2</v>
      </c>
      <c r="H1741">
        <v>0.83042890052737006</v>
      </c>
      <c r="I1741">
        <v>2711.1954989999999</v>
      </c>
      <c r="J1741">
        <v>9.1398060200043165</v>
      </c>
      <c r="K1741">
        <v>0.13910031834629319</v>
      </c>
      <c r="L1741">
        <v>1.241747915858062</v>
      </c>
      <c r="M1741">
        <v>59.73</v>
      </c>
      <c r="N1741">
        <v>33.46</v>
      </c>
    </row>
    <row r="1742" spans="1:14" x14ac:dyDescent="0.25">
      <c r="A1742" s="1" t="s">
        <v>1754</v>
      </c>
      <c r="B1742" t="str">
        <f>HYPERLINK("https://www.suredividend.com/sure-analysis-research-database/","WideOpenWest Inc")</f>
        <v>WideOpenWest Inc</v>
      </c>
      <c r="C1742" t="s">
        <v>1806</v>
      </c>
      <c r="D1742">
        <v>3.5</v>
      </c>
      <c r="E1742">
        <v>0</v>
      </c>
      <c r="F1742" t="s">
        <v>1797</v>
      </c>
      <c r="G1742" t="s">
        <v>1797</v>
      </c>
      <c r="H1742">
        <v>0</v>
      </c>
      <c r="I1742">
        <v>292.71433100000002</v>
      </c>
      <c r="J1742" t="s">
        <v>1797</v>
      </c>
      <c r="K1742">
        <v>0</v>
      </c>
      <c r="L1742">
        <v>1.5563455625425431</v>
      </c>
      <c r="M1742">
        <v>12.45</v>
      </c>
      <c r="N1742">
        <v>2.81</v>
      </c>
    </row>
    <row r="1743" spans="1:14" x14ac:dyDescent="0.25">
      <c r="A1743" s="1" t="s">
        <v>1755</v>
      </c>
      <c r="B1743" t="str">
        <f>HYPERLINK("https://www.suredividend.com/sure-analysis-research-database/","Warby Parker Inc")</f>
        <v>Warby Parker Inc</v>
      </c>
      <c r="C1743" t="s">
        <v>1797</v>
      </c>
      <c r="D1743">
        <v>13.76</v>
      </c>
      <c r="E1743">
        <v>0</v>
      </c>
      <c r="F1743" t="s">
        <v>1797</v>
      </c>
      <c r="G1743" t="s">
        <v>1797</v>
      </c>
      <c r="H1743">
        <v>0</v>
      </c>
      <c r="I1743">
        <v>1347.4533530000001</v>
      </c>
      <c r="J1743" t="s">
        <v>1797</v>
      </c>
      <c r="K1743">
        <v>0</v>
      </c>
      <c r="L1743">
        <v>1.770950162445285</v>
      </c>
      <c r="M1743">
        <v>17.88</v>
      </c>
      <c r="N1743">
        <v>9.5</v>
      </c>
    </row>
    <row r="1744" spans="1:14" x14ac:dyDescent="0.25">
      <c r="A1744" s="1" t="s">
        <v>1756</v>
      </c>
      <c r="B1744" t="str">
        <f>HYPERLINK("https://www.suredividend.com/sure-analysis-research-database/","World Acceptance Corp.")</f>
        <v>World Acceptance Corp.</v>
      </c>
      <c r="C1744" t="s">
        <v>1800</v>
      </c>
      <c r="D1744">
        <v>127.42</v>
      </c>
      <c r="E1744">
        <v>0</v>
      </c>
      <c r="F1744" t="s">
        <v>1797</v>
      </c>
      <c r="G1744" t="s">
        <v>1797</v>
      </c>
      <c r="H1744">
        <v>0</v>
      </c>
      <c r="I1744">
        <v>793.16796599999998</v>
      </c>
      <c r="J1744">
        <v>13.909855341482681</v>
      </c>
      <c r="K1744">
        <v>0</v>
      </c>
      <c r="L1744">
        <v>1.7698263534352301</v>
      </c>
      <c r="M1744">
        <v>160.07</v>
      </c>
      <c r="N1744">
        <v>74.36</v>
      </c>
    </row>
    <row r="1745" spans="1:14" x14ac:dyDescent="0.25">
      <c r="A1745" s="1" t="s">
        <v>1757</v>
      </c>
      <c r="B1745" t="str">
        <f>HYPERLINK("https://www.suredividend.com/sure-analysis-WSBC/","Wesbanco, Inc.")</f>
        <v>Wesbanco, Inc.</v>
      </c>
      <c r="C1745" t="s">
        <v>1800</v>
      </c>
      <c r="D1745">
        <v>29.34</v>
      </c>
      <c r="E1745">
        <v>4.7716428084526238E-2</v>
      </c>
      <c r="F1745">
        <v>2.857142857142847E-2</v>
      </c>
      <c r="G1745">
        <v>3.0358033101851149E-2</v>
      </c>
      <c r="H1745">
        <v>1.3568519404476069</v>
      </c>
      <c r="I1745">
        <v>1741.865012</v>
      </c>
      <c r="J1745">
        <v>10.483941909284599</v>
      </c>
      <c r="K1745">
        <v>0.48458997873128828</v>
      </c>
      <c r="L1745">
        <v>1.4890310060858329</v>
      </c>
      <c r="M1745">
        <v>35.31</v>
      </c>
      <c r="N1745">
        <v>18.350000000000001</v>
      </c>
    </row>
    <row r="1746" spans="1:14" x14ac:dyDescent="0.25">
      <c r="A1746" s="1" t="s">
        <v>1758</v>
      </c>
      <c r="B1746" t="str">
        <f>HYPERLINK("https://www.suredividend.com/sure-analysis-research-database/","Waterstone Financial Inc")</f>
        <v>Waterstone Financial Inc</v>
      </c>
      <c r="C1746" t="s">
        <v>1800</v>
      </c>
      <c r="D1746">
        <v>13.45</v>
      </c>
      <c r="E1746">
        <v>4.9956068260954001E-2</v>
      </c>
      <c r="F1746">
        <v>-0.25000000000000011</v>
      </c>
      <c r="G1746">
        <v>-0.2139969144033772</v>
      </c>
      <c r="H1746">
        <v>0.671909118109836</v>
      </c>
      <c r="I1746">
        <v>276.75488000000001</v>
      </c>
      <c r="J1746">
        <v>26.737018640711039</v>
      </c>
      <c r="K1746">
        <v>1.3384643787048529</v>
      </c>
      <c r="L1746">
        <v>0.92055432947231608</v>
      </c>
      <c r="M1746">
        <v>15.76</v>
      </c>
      <c r="N1746">
        <v>9.41</v>
      </c>
    </row>
    <row r="1747" spans="1:14" x14ac:dyDescent="0.25">
      <c r="A1747" s="1" t="s">
        <v>1759</v>
      </c>
      <c r="B1747" t="str">
        <f>HYPERLINK("https://www.suredividend.com/sure-analysis-research-database/","WSFS Financial Corp.")</f>
        <v>WSFS Financial Corp.</v>
      </c>
      <c r="C1747" t="s">
        <v>1800</v>
      </c>
      <c r="D1747">
        <v>44.56</v>
      </c>
      <c r="E1747">
        <v>1.3303134804093E-2</v>
      </c>
      <c r="F1747">
        <v>0</v>
      </c>
      <c r="G1747">
        <v>4.5639552591273169E-2</v>
      </c>
      <c r="H1747">
        <v>0.59278768687041106</v>
      </c>
      <c r="I1747">
        <v>2706.212751</v>
      </c>
      <c r="J1747">
        <v>9.3415283935974482</v>
      </c>
      <c r="K1747">
        <v>0.1258572583588983</v>
      </c>
      <c r="L1747">
        <v>1.6376353971702791</v>
      </c>
      <c r="M1747">
        <v>50.51</v>
      </c>
      <c r="N1747">
        <v>29.13</v>
      </c>
    </row>
    <row r="1748" spans="1:14" x14ac:dyDescent="0.25">
      <c r="A1748" s="1" t="s">
        <v>1760</v>
      </c>
      <c r="B1748" t="str">
        <f>HYPERLINK("https://www.suredividend.com/sure-analysis-WSR/","Whitestone REIT")</f>
        <v>Whitestone REIT</v>
      </c>
      <c r="C1748" t="s">
        <v>1799</v>
      </c>
      <c r="D1748">
        <v>12.07</v>
      </c>
      <c r="E1748">
        <v>3.9768019884009943E-2</v>
      </c>
      <c r="F1748">
        <v>0</v>
      </c>
      <c r="G1748">
        <v>0</v>
      </c>
      <c r="H1748">
        <v>0.54645625991435609</v>
      </c>
      <c r="I1748">
        <v>598.497118</v>
      </c>
      <c r="J1748">
        <v>15.926795406088671</v>
      </c>
      <c r="K1748">
        <v>0.72841410279173024</v>
      </c>
      <c r="L1748">
        <v>1.1009985549221659</v>
      </c>
      <c r="M1748">
        <v>12.59</v>
      </c>
      <c r="N1748">
        <v>7.95</v>
      </c>
    </row>
    <row r="1749" spans="1:14" x14ac:dyDescent="0.25">
      <c r="A1749" s="1" t="s">
        <v>1761</v>
      </c>
      <c r="B1749" t="str">
        <f>HYPERLINK("https://www.suredividend.com/sure-analysis-research-database/","WisdomTree Inc")</f>
        <v>WisdomTree Inc</v>
      </c>
      <c r="C1749" t="s">
        <v>1797</v>
      </c>
      <c r="D1749">
        <v>7</v>
      </c>
      <c r="E1749">
        <v>1.7024299192753001E-2</v>
      </c>
      <c r="F1749" t="s">
        <v>1797</v>
      </c>
      <c r="G1749" t="s">
        <v>1797</v>
      </c>
      <c r="H1749">
        <v>0.119170094349276</v>
      </c>
      <c r="I1749">
        <v>1052.3475060000001</v>
      </c>
      <c r="J1749">
        <v>21.650567954573511</v>
      </c>
      <c r="K1749">
        <v>0.41843432004661518</v>
      </c>
      <c r="L1749">
        <v>0.6113831473649991</v>
      </c>
      <c r="M1749">
        <v>7.51</v>
      </c>
      <c r="N1749">
        <v>5.41</v>
      </c>
    </row>
    <row r="1750" spans="1:14" x14ac:dyDescent="0.25">
      <c r="A1750" s="1" t="s">
        <v>1762</v>
      </c>
      <c r="B1750" t="str">
        <f>HYPERLINK("https://www.suredividend.com/sure-analysis-research-database/","West Bancorporation")</f>
        <v>West Bancorporation</v>
      </c>
      <c r="C1750" t="s">
        <v>1800</v>
      </c>
      <c r="D1750">
        <v>19.78</v>
      </c>
      <c r="E1750">
        <v>4.8468932028676998E-2</v>
      </c>
      <c r="F1750">
        <v>0</v>
      </c>
      <c r="G1750">
        <v>4.5639552591273169E-2</v>
      </c>
      <c r="H1750">
        <v>0.95871547552723313</v>
      </c>
      <c r="I1750">
        <v>330.82235900000001</v>
      </c>
      <c r="J1750">
        <v>11.5842271629666</v>
      </c>
      <c r="K1750">
        <v>0.56395027972190181</v>
      </c>
      <c r="L1750">
        <v>1.037253281463709</v>
      </c>
      <c r="M1750">
        <v>22.39</v>
      </c>
      <c r="N1750">
        <v>14.23</v>
      </c>
    </row>
    <row r="1751" spans="1:14" x14ac:dyDescent="0.25">
      <c r="A1751" s="1" t="s">
        <v>1763</v>
      </c>
      <c r="B1751" t="str">
        <f>HYPERLINK("https://www.suredividend.com/sure-analysis-research-database/","W &amp; T Offshore Inc")</f>
        <v>W &amp; T Offshore Inc</v>
      </c>
      <c r="C1751" t="s">
        <v>1807</v>
      </c>
      <c r="D1751">
        <v>2.95</v>
      </c>
      <c r="E1751">
        <v>3.3898304327049998E-3</v>
      </c>
      <c r="F1751" t="s">
        <v>1797</v>
      </c>
      <c r="G1751" t="s">
        <v>1797</v>
      </c>
      <c r="H1751">
        <v>9.999999776482001E-3</v>
      </c>
      <c r="I1751">
        <v>432.393869</v>
      </c>
      <c r="J1751">
        <v>7.2683454252815602</v>
      </c>
      <c r="K1751">
        <v>2.495009924271956E-2</v>
      </c>
      <c r="L1751">
        <v>1.2259439773254881</v>
      </c>
      <c r="M1751">
        <v>6.66</v>
      </c>
      <c r="N1751">
        <v>2.86</v>
      </c>
    </row>
    <row r="1752" spans="1:14" x14ac:dyDescent="0.25">
      <c r="A1752" s="1" t="s">
        <v>1764</v>
      </c>
      <c r="B1752" t="str">
        <f>HYPERLINK("https://www.suredividend.com/sure-analysis-research-database/","Watts Water Technologies, Inc.")</f>
        <v>Watts Water Technologies, Inc.</v>
      </c>
      <c r="C1752" t="s">
        <v>1798</v>
      </c>
      <c r="D1752">
        <v>198.69</v>
      </c>
      <c r="E1752">
        <v>6.9262702185020003E-3</v>
      </c>
      <c r="F1752">
        <v>0.19999999999999971</v>
      </c>
      <c r="G1752">
        <v>0.11382417860287911</v>
      </c>
      <c r="H1752">
        <v>1.376180629714342</v>
      </c>
      <c r="I1752">
        <v>5437.7389789999997</v>
      </c>
      <c r="J1752">
        <v>19.773596287090911</v>
      </c>
      <c r="K1752">
        <v>0.16782690606272471</v>
      </c>
      <c r="L1752">
        <v>1.155079264883806</v>
      </c>
      <c r="M1752">
        <v>213.14</v>
      </c>
      <c r="N1752">
        <v>149.77000000000001</v>
      </c>
    </row>
    <row r="1753" spans="1:14" x14ac:dyDescent="0.25">
      <c r="A1753" s="1" t="s">
        <v>1765</v>
      </c>
      <c r="B1753" t="str">
        <f>HYPERLINK("https://www.suredividend.com/sure-analysis-research-database/","Select Water Solutions Inc")</f>
        <v>Select Water Solutions Inc</v>
      </c>
      <c r="C1753" t="s">
        <v>1807</v>
      </c>
      <c r="D1753">
        <v>7.27</v>
      </c>
      <c r="E1753">
        <v>2.8596997069576E-2</v>
      </c>
      <c r="F1753" t="s">
        <v>1797</v>
      </c>
      <c r="G1753" t="s">
        <v>1797</v>
      </c>
      <c r="H1753">
        <v>0.20790016869581801</v>
      </c>
      <c r="I1753">
        <v>755.47590700000001</v>
      </c>
      <c r="J1753">
        <v>13.87288882274088</v>
      </c>
      <c r="K1753">
        <v>0.39300598997319092</v>
      </c>
      <c r="L1753">
        <v>0.84119350581420604</v>
      </c>
      <c r="M1753">
        <v>9.27</v>
      </c>
      <c r="N1753">
        <v>5.4</v>
      </c>
    </row>
    <row r="1754" spans="1:14" x14ac:dyDescent="0.25">
      <c r="A1754" s="1" t="s">
        <v>1766</v>
      </c>
      <c r="B1754" t="str">
        <f>HYPERLINK("https://www.suredividend.com/sure-analysis-research-database/","TeraWulf Inc")</f>
        <v>TeraWulf Inc</v>
      </c>
      <c r="C1754" t="s">
        <v>1797</v>
      </c>
      <c r="D1754">
        <v>1.7</v>
      </c>
      <c r="E1754">
        <v>0</v>
      </c>
      <c r="F1754" t="s">
        <v>1797</v>
      </c>
      <c r="G1754" t="s">
        <v>1797</v>
      </c>
      <c r="H1754">
        <v>0</v>
      </c>
      <c r="I1754">
        <v>409.55602399999998</v>
      </c>
      <c r="J1754">
        <v>0</v>
      </c>
      <c r="K1754" t="s">
        <v>1797</v>
      </c>
      <c r="L1754">
        <v>2.3482576991066462</v>
      </c>
      <c r="M1754">
        <v>4.04</v>
      </c>
      <c r="N1754">
        <v>0.53500000000000003</v>
      </c>
    </row>
    <row r="1755" spans="1:14" x14ac:dyDescent="0.25">
      <c r="A1755" s="1" t="s">
        <v>1767</v>
      </c>
      <c r="B1755" t="str">
        <f>HYPERLINK("https://www.suredividend.com/sure-analysis-research-database/","WW International Inc")</f>
        <v>WW International Inc</v>
      </c>
      <c r="C1755" t="s">
        <v>1801</v>
      </c>
      <c r="D1755">
        <v>5.6150000000000002</v>
      </c>
      <c r="E1755">
        <v>0</v>
      </c>
      <c r="F1755" t="s">
        <v>1797</v>
      </c>
      <c r="G1755" t="s">
        <v>1797</v>
      </c>
      <c r="H1755">
        <v>0</v>
      </c>
      <c r="I1755">
        <v>444.03991000000002</v>
      </c>
      <c r="J1755" t="s">
        <v>1797</v>
      </c>
      <c r="K1755">
        <v>0</v>
      </c>
      <c r="L1755">
        <v>2.3261579367280039</v>
      </c>
      <c r="M1755">
        <v>13.31</v>
      </c>
      <c r="N1755">
        <v>3.46</v>
      </c>
    </row>
    <row r="1756" spans="1:14" x14ac:dyDescent="0.25">
      <c r="A1756" s="1" t="s">
        <v>1768</v>
      </c>
      <c r="B1756" t="str">
        <f>HYPERLINK("https://www.suredividend.com/sure-analysis-research-database/","Wolverine World Wide, Inc.")</f>
        <v>Wolverine World Wide, Inc.</v>
      </c>
      <c r="C1756" t="s">
        <v>1801</v>
      </c>
      <c r="D1756">
        <v>8.94</v>
      </c>
      <c r="E1756">
        <v>4.4009639025109001E-2</v>
      </c>
      <c r="F1756">
        <v>0</v>
      </c>
      <c r="G1756">
        <v>0</v>
      </c>
      <c r="H1756">
        <v>0.39344617288447797</v>
      </c>
      <c r="I1756">
        <v>711.02020100000004</v>
      </c>
      <c r="J1756" t="s">
        <v>1797</v>
      </c>
      <c r="K1756" t="s">
        <v>1797</v>
      </c>
      <c r="L1756">
        <v>1.6465383687877999</v>
      </c>
      <c r="M1756">
        <v>17.3</v>
      </c>
      <c r="N1756">
        <v>7.13</v>
      </c>
    </row>
    <row r="1757" spans="1:14" x14ac:dyDescent="0.25">
      <c r="A1757" s="1" t="s">
        <v>1769</v>
      </c>
      <c r="B1757" t="str">
        <f>HYPERLINK("https://www.suredividend.com/sure-analysis-research-database/","Xeris Biopharma Holdings Inc")</f>
        <v>Xeris Biopharma Holdings Inc</v>
      </c>
      <c r="C1757" t="s">
        <v>1802</v>
      </c>
      <c r="D1757">
        <v>2.77</v>
      </c>
      <c r="E1757">
        <v>0</v>
      </c>
      <c r="F1757" t="s">
        <v>1797</v>
      </c>
      <c r="G1757" t="s">
        <v>1797</v>
      </c>
      <c r="H1757">
        <v>0</v>
      </c>
      <c r="I1757">
        <v>382.60512799999998</v>
      </c>
      <c r="J1757" t="s">
        <v>1797</v>
      </c>
      <c r="K1757">
        <v>0</v>
      </c>
      <c r="L1757">
        <v>1.9381067244586301</v>
      </c>
      <c r="M1757">
        <v>3.07</v>
      </c>
      <c r="N1757">
        <v>1.1100000000000001</v>
      </c>
    </row>
    <row r="1758" spans="1:14" x14ac:dyDescent="0.25">
      <c r="A1758" s="1" t="s">
        <v>1770</v>
      </c>
      <c r="B1758" t="str">
        <f>HYPERLINK("https://www.suredividend.com/sure-analysis-research-database/","Xenia Hotels &amp; Resorts Inc")</f>
        <v>Xenia Hotels &amp; Resorts Inc</v>
      </c>
      <c r="C1758" t="s">
        <v>1799</v>
      </c>
      <c r="D1758">
        <v>13.16</v>
      </c>
      <c r="E1758">
        <v>3.0039312821906E-2</v>
      </c>
      <c r="F1758" t="s">
        <v>1797</v>
      </c>
      <c r="G1758" t="s">
        <v>1797</v>
      </c>
      <c r="H1758">
        <v>0.39531735673629098</v>
      </c>
      <c r="I1758">
        <v>1384.4459360000001</v>
      </c>
      <c r="J1758">
        <v>29.732747813499991</v>
      </c>
      <c r="K1758">
        <v>0.93988910303445317</v>
      </c>
      <c r="L1758">
        <v>1.24162659031798</v>
      </c>
      <c r="M1758">
        <v>14.82</v>
      </c>
      <c r="N1758">
        <v>10.73</v>
      </c>
    </row>
    <row r="1759" spans="1:14" x14ac:dyDescent="0.25">
      <c r="A1759" s="1" t="s">
        <v>1771</v>
      </c>
      <c r="B1759" t="str">
        <f>HYPERLINK("https://www.suredividend.com/sure-analysis-research-database/","Xometry Inc")</f>
        <v>Xometry Inc</v>
      </c>
      <c r="C1759" t="s">
        <v>1797</v>
      </c>
      <c r="D1759">
        <v>30.05</v>
      </c>
      <c r="E1759">
        <v>0</v>
      </c>
      <c r="F1759" t="s">
        <v>1797</v>
      </c>
      <c r="G1759" t="s">
        <v>1797</v>
      </c>
      <c r="H1759">
        <v>0</v>
      </c>
      <c r="I1759">
        <v>1364.1138599999999</v>
      </c>
      <c r="J1759" t="s">
        <v>1797</v>
      </c>
      <c r="K1759">
        <v>0</v>
      </c>
      <c r="L1759">
        <v>2.765541226175491</v>
      </c>
      <c r="M1759">
        <v>41.07</v>
      </c>
      <c r="N1759">
        <v>12.45</v>
      </c>
    </row>
    <row r="1760" spans="1:14" x14ac:dyDescent="0.25">
      <c r="A1760" s="1" t="s">
        <v>1772</v>
      </c>
      <c r="B1760" t="str">
        <f>HYPERLINK("https://www.suredividend.com/sure-analysis-research-database/","Xencor Inc")</f>
        <v>Xencor Inc</v>
      </c>
      <c r="C1760" t="s">
        <v>1802</v>
      </c>
      <c r="D1760">
        <v>20.3</v>
      </c>
      <c r="E1760">
        <v>0</v>
      </c>
      <c r="F1760" t="s">
        <v>1797</v>
      </c>
      <c r="G1760" t="s">
        <v>1797</v>
      </c>
      <c r="H1760">
        <v>0</v>
      </c>
      <c r="I1760">
        <v>1235.766519</v>
      </c>
      <c r="J1760" t="s">
        <v>1797</v>
      </c>
      <c r="K1760">
        <v>0</v>
      </c>
      <c r="L1760">
        <v>1.0341089341809619</v>
      </c>
      <c r="M1760">
        <v>38.200000000000003</v>
      </c>
      <c r="N1760">
        <v>16.489999999999998</v>
      </c>
    </row>
    <row r="1761" spans="1:14" x14ac:dyDescent="0.25">
      <c r="A1761" s="1" t="s">
        <v>1773</v>
      </c>
      <c r="B1761" t="str">
        <f>HYPERLINK("https://www.suredividend.com/sure-analysis-research-database/","Xos Inc")</f>
        <v>Xos Inc</v>
      </c>
      <c r="C1761" t="s">
        <v>1797</v>
      </c>
      <c r="D1761">
        <v>9.36</v>
      </c>
      <c r="E1761">
        <v>0</v>
      </c>
      <c r="F1761" t="s">
        <v>1797</v>
      </c>
      <c r="G1761" t="s">
        <v>1797</v>
      </c>
      <c r="H1761">
        <v>0</v>
      </c>
      <c r="I1761">
        <v>1664.983925</v>
      </c>
      <c r="J1761" t="s">
        <v>1797</v>
      </c>
      <c r="K1761">
        <v>0</v>
      </c>
      <c r="L1761">
        <v>1.6959650513281239</v>
      </c>
      <c r="M1761">
        <v>33.299999999999997</v>
      </c>
      <c r="N1761">
        <v>5.5</v>
      </c>
    </row>
    <row r="1762" spans="1:14" x14ac:dyDescent="0.25">
      <c r="A1762" s="1" t="s">
        <v>1774</v>
      </c>
      <c r="B1762" t="str">
        <f>HYPERLINK("https://www.suredividend.com/sure-analysis-research-database/","XPEL Inc")</f>
        <v>XPEL Inc</v>
      </c>
      <c r="C1762" t="s">
        <v>1801</v>
      </c>
      <c r="D1762">
        <v>49.96</v>
      </c>
      <c r="E1762">
        <v>0</v>
      </c>
      <c r="F1762" t="s">
        <v>1797</v>
      </c>
      <c r="G1762" t="s">
        <v>1797</v>
      </c>
      <c r="H1762">
        <v>0</v>
      </c>
      <c r="I1762">
        <v>1380.342492</v>
      </c>
      <c r="J1762">
        <v>28.06266154654233</v>
      </c>
      <c r="K1762">
        <v>0</v>
      </c>
      <c r="L1762">
        <v>1.189369354639523</v>
      </c>
      <c r="M1762">
        <v>87.46</v>
      </c>
      <c r="N1762">
        <v>40.770000000000003</v>
      </c>
    </row>
    <row r="1763" spans="1:14" x14ac:dyDescent="0.25">
      <c r="A1763" s="1" t="s">
        <v>1775</v>
      </c>
      <c r="B1763" t="str">
        <f>HYPERLINK("https://www.suredividend.com/sure-analysis-research-database/","Xperi Inc")</f>
        <v>Xperi Inc</v>
      </c>
      <c r="C1763" t="s">
        <v>1803</v>
      </c>
      <c r="D1763">
        <v>11.44</v>
      </c>
      <c r="E1763">
        <v>0</v>
      </c>
      <c r="F1763" t="s">
        <v>1797</v>
      </c>
      <c r="G1763" t="s">
        <v>1797</v>
      </c>
      <c r="H1763">
        <v>0</v>
      </c>
      <c r="I1763">
        <v>497.24914100000001</v>
      </c>
      <c r="J1763">
        <v>0</v>
      </c>
      <c r="K1763" t="s">
        <v>1797</v>
      </c>
      <c r="L1763">
        <v>1.4205525276344011</v>
      </c>
      <c r="M1763">
        <v>13.62</v>
      </c>
      <c r="N1763">
        <v>7.91</v>
      </c>
    </row>
    <row r="1764" spans="1:14" x14ac:dyDescent="0.25">
      <c r="A1764" s="1" t="s">
        <v>1776</v>
      </c>
      <c r="B1764" t="str">
        <f>HYPERLINK("https://www.suredividend.com/sure-analysis-research-database/","Xponential Fitness Inc")</f>
        <v>Xponential Fitness Inc</v>
      </c>
      <c r="C1764" t="s">
        <v>1797</v>
      </c>
      <c r="D1764">
        <v>12.03</v>
      </c>
      <c r="E1764">
        <v>0</v>
      </c>
      <c r="F1764" t="s">
        <v>1797</v>
      </c>
      <c r="G1764" t="s">
        <v>1797</v>
      </c>
      <c r="H1764">
        <v>0</v>
      </c>
      <c r="I1764">
        <v>371.61918700000001</v>
      </c>
      <c r="J1764">
        <v>77.956615720578981</v>
      </c>
      <c r="K1764">
        <v>0</v>
      </c>
      <c r="L1764">
        <v>1.380682372642789</v>
      </c>
      <c r="M1764">
        <v>33.58</v>
      </c>
      <c r="N1764">
        <v>8.3000000000000007</v>
      </c>
    </row>
    <row r="1765" spans="1:14" x14ac:dyDescent="0.25">
      <c r="A1765" s="1" t="s">
        <v>1777</v>
      </c>
      <c r="B1765" t="str">
        <f>HYPERLINK("https://www.suredividend.com/sure-analysis-research-database/","Expro Group Holdings N.V.")</f>
        <v>Expro Group Holdings N.V.</v>
      </c>
      <c r="C1765" t="s">
        <v>1797</v>
      </c>
      <c r="D1765">
        <v>16.55</v>
      </c>
      <c r="E1765">
        <v>0</v>
      </c>
      <c r="F1765" t="s">
        <v>1797</v>
      </c>
      <c r="G1765" t="s">
        <v>1797</v>
      </c>
      <c r="H1765">
        <v>0</v>
      </c>
      <c r="I1765">
        <v>1831.622063</v>
      </c>
      <c r="J1765">
        <v>920.87584886877823</v>
      </c>
      <c r="K1765">
        <v>0</v>
      </c>
      <c r="L1765">
        <v>1.149337997134076</v>
      </c>
      <c r="M1765">
        <v>25.04</v>
      </c>
      <c r="N1765">
        <v>14.33</v>
      </c>
    </row>
    <row r="1766" spans="1:14" x14ac:dyDescent="0.25">
      <c r="A1766" s="1" t="s">
        <v>1778</v>
      </c>
      <c r="B1766" t="str">
        <f>HYPERLINK("https://www.suredividend.com/sure-analysis-XRX/","Xerox Holdings Corp")</f>
        <v>Xerox Holdings Corp</v>
      </c>
      <c r="C1766" t="s">
        <v>1803</v>
      </c>
      <c r="D1766">
        <v>16.059999999999999</v>
      </c>
      <c r="E1766">
        <v>6.2266500622665012E-2</v>
      </c>
      <c r="F1766" t="s">
        <v>1797</v>
      </c>
      <c r="G1766" t="s">
        <v>1797</v>
      </c>
      <c r="H1766">
        <v>0.95688263727782807</v>
      </c>
      <c r="I1766">
        <v>1973.8703439999999</v>
      </c>
      <c r="J1766">
        <v>11.890785204457829</v>
      </c>
      <c r="K1766">
        <v>0.9113167974074553</v>
      </c>
      <c r="L1766">
        <v>1.135283727357189</v>
      </c>
      <c r="M1766">
        <v>18.68</v>
      </c>
      <c r="N1766">
        <v>11.74</v>
      </c>
    </row>
    <row r="1767" spans="1:14" x14ac:dyDescent="0.25">
      <c r="A1767" s="1" t="s">
        <v>1779</v>
      </c>
      <c r="B1767" t="str">
        <f>HYPERLINK("https://www.suredividend.com/sure-analysis-research-database/","22nd Century Group Inc")</f>
        <v>22nd Century Group Inc</v>
      </c>
      <c r="C1767" t="s">
        <v>1802</v>
      </c>
      <c r="D1767">
        <v>0.18099999999999999</v>
      </c>
      <c r="E1767">
        <v>0</v>
      </c>
      <c r="F1767" t="s">
        <v>1797</v>
      </c>
      <c r="G1767" t="s">
        <v>1797</v>
      </c>
      <c r="H1767">
        <v>0</v>
      </c>
      <c r="I1767">
        <v>5.5889480000000002</v>
      </c>
      <c r="J1767">
        <v>0</v>
      </c>
      <c r="K1767" t="s">
        <v>1797</v>
      </c>
      <c r="L1767">
        <v>1.1374825640766539</v>
      </c>
      <c r="M1767">
        <v>18.98</v>
      </c>
      <c r="N1767">
        <v>0.1618</v>
      </c>
    </row>
    <row r="1768" spans="1:14" x14ac:dyDescent="0.25">
      <c r="A1768" s="1" t="s">
        <v>1780</v>
      </c>
      <c r="B1768" t="str">
        <f>HYPERLINK("https://www.suredividend.com/sure-analysis-research-database/","Yelp Inc")</f>
        <v>Yelp Inc</v>
      </c>
      <c r="C1768" t="s">
        <v>1806</v>
      </c>
      <c r="D1768">
        <v>43.71</v>
      </c>
      <c r="E1768">
        <v>0</v>
      </c>
      <c r="F1768" t="s">
        <v>1797</v>
      </c>
      <c r="G1768" t="s">
        <v>1797</v>
      </c>
      <c r="H1768">
        <v>0</v>
      </c>
      <c r="I1768">
        <v>2992.9448200000002</v>
      </c>
      <c r="J1768">
        <v>32.563156284380717</v>
      </c>
      <c r="K1768">
        <v>0</v>
      </c>
      <c r="L1768">
        <v>1.1471529716168101</v>
      </c>
      <c r="M1768">
        <v>48.99</v>
      </c>
      <c r="N1768">
        <v>26.53</v>
      </c>
    </row>
    <row r="1769" spans="1:14" x14ac:dyDescent="0.25">
      <c r="A1769" s="1" t="s">
        <v>1781</v>
      </c>
      <c r="B1769" t="str">
        <f>HYPERLINK("https://www.suredividend.com/sure-analysis-research-database/","Yext Inc")</f>
        <v>Yext Inc</v>
      </c>
      <c r="C1769" t="s">
        <v>1803</v>
      </c>
      <c r="D1769">
        <v>5.48</v>
      </c>
      <c r="E1769">
        <v>0</v>
      </c>
      <c r="F1769" t="s">
        <v>1797</v>
      </c>
      <c r="G1769" t="s">
        <v>1797</v>
      </c>
      <c r="H1769">
        <v>0</v>
      </c>
      <c r="I1769">
        <v>679.92068700000004</v>
      </c>
      <c r="J1769" t="s">
        <v>1797</v>
      </c>
      <c r="K1769">
        <v>0</v>
      </c>
      <c r="L1769">
        <v>1.569776956748542</v>
      </c>
      <c r="M1769">
        <v>14.35</v>
      </c>
      <c r="N1769">
        <v>5.29</v>
      </c>
    </row>
    <row r="1770" spans="1:14" x14ac:dyDescent="0.25">
      <c r="A1770" s="1" t="s">
        <v>1782</v>
      </c>
      <c r="B1770" t="str">
        <f>HYPERLINK("https://www.suredividend.com/sure-analysis-research-database/","Y-Mabs Therapeutics Inc")</f>
        <v>Y-Mabs Therapeutics Inc</v>
      </c>
      <c r="C1770" t="s">
        <v>1802</v>
      </c>
      <c r="D1770">
        <v>9.65</v>
      </c>
      <c r="E1770">
        <v>0</v>
      </c>
      <c r="F1770" t="s">
        <v>1797</v>
      </c>
      <c r="G1770" t="s">
        <v>1797</v>
      </c>
      <c r="H1770">
        <v>0</v>
      </c>
      <c r="I1770">
        <v>420.94861400000002</v>
      </c>
      <c r="J1770" t="s">
        <v>1797</v>
      </c>
      <c r="K1770">
        <v>0</v>
      </c>
      <c r="L1770">
        <v>1.710481051096483</v>
      </c>
      <c r="M1770">
        <v>10.95</v>
      </c>
      <c r="N1770">
        <v>2.7</v>
      </c>
    </row>
    <row r="1771" spans="1:14" x14ac:dyDescent="0.25">
      <c r="A1771" s="1" t="s">
        <v>1783</v>
      </c>
      <c r="B1771" t="str">
        <f>HYPERLINK("https://www.suredividend.com/sure-analysis-YORW/","York Water Co.")</f>
        <v>York Water Co.</v>
      </c>
      <c r="C1771" t="s">
        <v>1805</v>
      </c>
      <c r="D1771">
        <v>36.880000000000003</v>
      </c>
      <c r="E1771">
        <v>2.1963123644251629E-2</v>
      </c>
      <c r="F1771">
        <v>3.9960532807103988E-2</v>
      </c>
      <c r="G1771">
        <v>3.9954668257275561E-2</v>
      </c>
      <c r="H1771">
        <v>0.80947946665148107</v>
      </c>
      <c r="I1771">
        <v>528.18654600000002</v>
      </c>
      <c r="J1771">
        <v>23.210869470908769</v>
      </c>
      <c r="K1771">
        <v>0.50910658279967369</v>
      </c>
      <c r="L1771">
        <v>0.45957865825964511</v>
      </c>
      <c r="M1771">
        <v>45.62</v>
      </c>
      <c r="N1771">
        <v>35.049999999999997</v>
      </c>
    </row>
    <row r="1772" spans="1:14" x14ac:dyDescent="0.25">
      <c r="A1772" s="1" t="s">
        <v>1784</v>
      </c>
      <c r="B1772" t="str">
        <f>HYPERLINK("https://www.suredividend.com/sure-analysis-research-database/","Clear Secure Inc")</f>
        <v>Clear Secure Inc</v>
      </c>
      <c r="C1772" t="s">
        <v>1797</v>
      </c>
      <c r="D1772">
        <v>21.64</v>
      </c>
      <c r="E1772">
        <v>7.3793091224870003E-3</v>
      </c>
      <c r="F1772" t="s">
        <v>1797</v>
      </c>
      <c r="G1772" t="s">
        <v>1797</v>
      </c>
      <c r="H1772">
        <v>0.159688249410632</v>
      </c>
      <c r="I1772">
        <v>1946.99289</v>
      </c>
      <c r="J1772">
        <v>693.86774404846756</v>
      </c>
      <c r="K1772">
        <v>5.1182131221356411</v>
      </c>
      <c r="L1772">
        <v>1.7211815714188929</v>
      </c>
      <c r="M1772">
        <v>34.46</v>
      </c>
      <c r="N1772">
        <v>15.21</v>
      </c>
    </row>
    <row r="1773" spans="1:14" x14ac:dyDescent="0.25">
      <c r="A1773" s="1" t="s">
        <v>1785</v>
      </c>
      <c r="B1773" t="str">
        <f>HYPERLINK("https://www.suredividend.com/sure-analysis-research-database/","Ziff Davis Inc")</f>
        <v>Ziff Davis Inc</v>
      </c>
      <c r="C1773" t="s">
        <v>1797</v>
      </c>
      <c r="D1773">
        <v>65.8</v>
      </c>
      <c r="E1773">
        <v>0</v>
      </c>
      <c r="F1773" t="s">
        <v>1797</v>
      </c>
      <c r="G1773" t="s">
        <v>1797</v>
      </c>
      <c r="H1773">
        <v>0</v>
      </c>
      <c r="I1773">
        <v>3025.7967469999999</v>
      </c>
      <c r="J1773">
        <v>66.406161470426866</v>
      </c>
      <c r="K1773">
        <v>0</v>
      </c>
      <c r="L1773">
        <v>1.377672572829111</v>
      </c>
      <c r="M1773">
        <v>94.06</v>
      </c>
      <c r="N1773">
        <v>57.97</v>
      </c>
    </row>
    <row r="1774" spans="1:14" x14ac:dyDescent="0.25">
      <c r="A1774" s="1" t="s">
        <v>1786</v>
      </c>
      <c r="B1774" t="str">
        <f>HYPERLINK("https://www.suredividend.com/sure-analysis-research-database/","Zeta Global Holdings Corp")</f>
        <v>Zeta Global Holdings Corp</v>
      </c>
      <c r="C1774" t="s">
        <v>1797</v>
      </c>
      <c r="D1774">
        <v>9.65</v>
      </c>
      <c r="E1774">
        <v>0</v>
      </c>
      <c r="F1774" t="s">
        <v>1797</v>
      </c>
      <c r="G1774" t="s">
        <v>1797</v>
      </c>
      <c r="H1774">
        <v>0</v>
      </c>
      <c r="I1774">
        <v>1779.6357270000001</v>
      </c>
      <c r="J1774" t="s">
        <v>1797</v>
      </c>
      <c r="K1774">
        <v>0</v>
      </c>
      <c r="L1774">
        <v>1.4433560733567961</v>
      </c>
      <c r="M1774">
        <v>11.28</v>
      </c>
      <c r="N1774">
        <v>7.24</v>
      </c>
    </row>
    <row r="1775" spans="1:14" x14ac:dyDescent="0.25">
      <c r="A1775" s="1" t="s">
        <v>1787</v>
      </c>
      <c r="B1775" t="str">
        <f>HYPERLINK("https://www.suredividend.com/sure-analysis-research-database/","Olympic Steel Inc.")</f>
        <v>Olympic Steel Inc.</v>
      </c>
      <c r="C1775" t="s">
        <v>1808</v>
      </c>
      <c r="D1775">
        <v>63.46</v>
      </c>
      <c r="E1775">
        <v>7.8219925019670008E-3</v>
      </c>
      <c r="F1775">
        <v>0.38888888888888878</v>
      </c>
      <c r="G1775">
        <v>0.44269990590721359</v>
      </c>
      <c r="H1775">
        <v>0.49638364417483011</v>
      </c>
      <c r="I1775">
        <v>706.47111500000005</v>
      </c>
      <c r="J1775">
        <v>17.197446818889969</v>
      </c>
      <c r="K1775">
        <v>0.13982637864079719</v>
      </c>
      <c r="L1775">
        <v>1.4635894213036009</v>
      </c>
      <c r="M1775">
        <v>68.91</v>
      </c>
      <c r="N1775">
        <v>37.299999999999997</v>
      </c>
    </row>
    <row r="1776" spans="1:14" x14ac:dyDescent="0.25">
      <c r="A1776" s="1" t="s">
        <v>1788</v>
      </c>
      <c r="B1776" t="str">
        <f>HYPERLINK("https://www.suredividend.com/sure-analysis-research-database/","Lightning eMotors Inc")</f>
        <v>Lightning eMotors Inc</v>
      </c>
      <c r="C1776" t="s">
        <v>1797</v>
      </c>
      <c r="D1776">
        <v>1.63</v>
      </c>
      <c r="E1776">
        <v>0</v>
      </c>
      <c r="F1776" t="s">
        <v>1797</v>
      </c>
      <c r="G1776" t="s">
        <v>1797</v>
      </c>
      <c r="H1776">
        <v>0</v>
      </c>
      <c r="I1776">
        <v>10.533733</v>
      </c>
      <c r="J1776">
        <v>0</v>
      </c>
      <c r="K1776" t="s">
        <v>1797</v>
      </c>
      <c r="M1776">
        <v>38</v>
      </c>
      <c r="N1776">
        <v>1.57</v>
      </c>
    </row>
    <row r="1777" spans="1:14" x14ac:dyDescent="0.25">
      <c r="A1777" s="1" t="s">
        <v>1789</v>
      </c>
      <c r="B1777" t="str">
        <f>HYPERLINK("https://www.suredividend.com/sure-analysis-research-database/","Ermenegildo Zegna N.V.")</f>
        <v>Ermenegildo Zegna N.V.</v>
      </c>
      <c r="C1777" t="s">
        <v>1797</v>
      </c>
      <c r="D1777">
        <v>10.85</v>
      </c>
      <c r="E1777">
        <v>9.2165899990890015E-3</v>
      </c>
      <c r="F1777" t="s">
        <v>1797</v>
      </c>
      <c r="G1777" t="s">
        <v>1797</v>
      </c>
      <c r="H1777">
        <v>0.10000000149011599</v>
      </c>
      <c r="I1777">
        <v>2710.6480459999998</v>
      </c>
      <c r="J1777">
        <v>0</v>
      </c>
      <c r="K1777" t="s">
        <v>1797</v>
      </c>
      <c r="L1777">
        <v>0.77973576857445004</v>
      </c>
      <c r="M1777">
        <v>16.36</v>
      </c>
      <c r="N1777">
        <v>10.32</v>
      </c>
    </row>
    <row r="1778" spans="1:14" x14ac:dyDescent="0.25">
      <c r="A1778" s="1" t="s">
        <v>1790</v>
      </c>
      <c r="B1778" t="str">
        <f>HYPERLINK("https://www.suredividend.com/sure-analysis-research-database/","ZimVie Inc")</f>
        <v>ZimVie Inc</v>
      </c>
      <c r="C1778" t="s">
        <v>1797</v>
      </c>
      <c r="D1778">
        <v>17.36</v>
      </c>
      <c r="E1778">
        <v>0</v>
      </c>
      <c r="F1778" t="s">
        <v>1797</v>
      </c>
      <c r="G1778" t="s">
        <v>1797</v>
      </c>
      <c r="H1778">
        <v>0</v>
      </c>
      <c r="I1778">
        <v>460.66619300000002</v>
      </c>
      <c r="J1778" t="s">
        <v>1797</v>
      </c>
      <c r="K1778">
        <v>0</v>
      </c>
      <c r="L1778">
        <v>1.7710145152595189</v>
      </c>
      <c r="M1778">
        <v>18.690000000000001</v>
      </c>
      <c r="N1778">
        <v>5.05</v>
      </c>
    </row>
    <row r="1779" spans="1:14" x14ac:dyDescent="0.25">
      <c r="A1779" s="1" t="s">
        <v>1791</v>
      </c>
      <c r="B1779" t="str">
        <f>HYPERLINK("https://www.suredividend.com/sure-analysis-research-database/","ZipRecruiter Inc")</f>
        <v>ZipRecruiter Inc</v>
      </c>
      <c r="C1779" t="s">
        <v>1797</v>
      </c>
      <c r="D1779">
        <v>14.24</v>
      </c>
      <c r="E1779">
        <v>0</v>
      </c>
      <c r="F1779" t="s">
        <v>1797</v>
      </c>
      <c r="G1779" t="s">
        <v>1797</v>
      </c>
      <c r="H1779">
        <v>0</v>
      </c>
      <c r="I1779">
        <v>1085.086092</v>
      </c>
      <c r="J1779">
        <v>17.257007090556321</v>
      </c>
      <c r="K1779">
        <v>0</v>
      </c>
      <c r="L1779">
        <v>1.5779935643859111</v>
      </c>
      <c r="M1779">
        <v>24.05</v>
      </c>
      <c r="N1779">
        <v>10.27</v>
      </c>
    </row>
    <row r="1780" spans="1:14" x14ac:dyDescent="0.25">
      <c r="A1780" s="1" t="s">
        <v>1792</v>
      </c>
      <c r="B1780" t="str">
        <f>HYPERLINK("https://www.suredividend.com/sure-analysis-research-database/","Zentalis Pharmaceuticals Inc")</f>
        <v>Zentalis Pharmaceuticals Inc</v>
      </c>
      <c r="C1780" t="s">
        <v>1802</v>
      </c>
      <c r="D1780">
        <v>14.26</v>
      </c>
      <c r="E1780">
        <v>0</v>
      </c>
      <c r="F1780" t="s">
        <v>1797</v>
      </c>
      <c r="G1780" t="s">
        <v>1797</v>
      </c>
      <c r="H1780">
        <v>0</v>
      </c>
      <c r="I1780">
        <v>1009.119894</v>
      </c>
      <c r="J1780">
        <v>0</v>
      </c>
      <c r="K1780" t="s">
        <v>1797</v>
      </c>
      <c r="L1780">
        <v>1.545098537167954</v>
      </c>
      <c r="M1780">
        <v>31.46</v>
      </c>
      <c r="N1780">
        <v>9.56</v>
      </c>
    </row>
    <row r="1781" spans="1:14" x14ac:dyDescent="0.25">
      <c r="A1781" s="1" t="s">
        <v>1793</v>
      </c>
      <c r="B1781" t="str">
        <f>HYPERLINK("https://www.suredividend.com/sure-analysis-research-database/","Zumiez Inc")</f>
        <v>Zumiez Inc</v>
      </c>
      <c r="C1781" t="s">
        <v>1801</v>
      </c>
      <c r="D1781">
        <v>18.100000000000001</v>
      </c>
      <c r="E1781">
        <v>0</v>
      </c>
      <c r="F1781" t="s">
        <v>1797</v>
      </c>
      <c r="G1781" t="s">
        <v>1797</v>
      </c>
      <c r="H1781">
        <v>0</v>
      </c>
      <c r="I1781">
        <v>358.99597899999998</v>
      </c>
      <c r="J1781" t="s">
        <v>1797</v>
      </c>
      <c r="K1781">
        <v>0</v>
      </c>
      <c r="L1781">
        <v>1.4290687200942269</v>
      </c>
      <c r="M1781">
        <v>28.97</v>
      </c>
      <c r="N1781">
        <v>13.19</v>
      </c>
    </row>
    <row r="1782" spans="1:14" x14ac:dyDescent="0.25">
      <c r="A1782" s="1" t="s">
        <v>1794</v>
      </c>
      <c r="B1782" t="str">
        <f>HYPERLINK("https://www.suredividend.com/sure-analysis-research-database/","Zuora Inc")</f>
        <v>Zuora Inc</v>
      </c>
      <c r="C1782" t="s">
        <v>1803</v>
      </c>
      <c r="D1782">
        <v>8.4499999999999993</v>
      </c>
      <c r="E1782">
        <v>0</v>
      </c>
      <c r="F1782" t="s">
        <v>1797</v>
      </c>
      <c r="G1782" t="s">
        <v>1797</v>
      </c>
      <c r="H1782">
        <v>0</v>
      </c>
      <c r="I1782">
        <v>1140.75</v>
      </c>
      <c r="J1782" t="s">
        <v>1797</v>
      </c>
      <c r="K1782">
        <v>0</v>
      </c>
      <c r="L1782">
        <v>2.223368176724057</v>
      </c>
      <c r="M1782">
        <v>12.12</v>
      </c>
      <c r="N1782">
        <v>6.45</v>
      </c>
    </row>
    <row r="1783" spans="1:14" x14ac:dyDescent="0.25">
      <c r="A1783" s="1" t="s">
        <v>1795</v>
      </c>
      <c r="B1783" t="str">
        <f>HYPERLINK("https://www.suredividend.com/sure-analysis-research-database/","Zurn Elkay Water Solutions Corp")</f>
        <v>Zurn Elkay Water Solutions Corp</v>
      </c>
      <c r="C1783" t="s">
        <v>1797</v>
      </c>
      <c r="D1783">
        <v>28.15</v>
      </c>
      <c r="E1783">
        <v>1.0261991641055001E-2</v>
      </c>
      <c r="F1783" t="s">
        <v>1797</v>
      </c>
      <c r="G1783" t="s">
        <v>1797</v>
      </c>
      <c r="H1783">
        <v>0.28887506469570301</v>
      </c>
      <c r="I1783">
        <v>4864.6170110000003</v>
      </c>
      <c r="J1783">
        <v>43.049708058849561</v>
      </c>
      <c r="K1783">
        <v>0.45671946987462919</v>
      </c>
      <c r="L1783">
        <v>1.213159531731749</v>
      </c>
      <c r="M1783">
        <v>30.71</v>
      </c>
      <c r="N1783">
        <v>19.13</v>
      </c>
    </row>
    <row r="1784" spans="1:14" x14ac:dyDescent="0.25">
      <c r="A1784" s="1" t="s">
        <v>1796</v>
      </c>
      <c r="B1784" t="str">
        <f>HYPERLINK("https://www.suredividend.com/sure-analysis-research-database/","Zynex Inc")</f>
        <v>Zynex Inc</v>
      </c>
      <c r="C1784" t="s">
        <v>1802</v>
      </c>
      <c r="D1784">
        <v>10.11</v>
      </c>
      <c r="E1784">
        <v>0</v>
      </c>
      <c r="F1784" t="s">
        <v>1797</v>
      </c>
      <c r="G1784" t="s">
        <v>1797</v>
      </c>
      <c r="H1784">
        <v>0</v>
      </c>
      <c r="I1784">
        <v>342.76718499999998</v>
      </c>
      <c r="J1784">
        <v>21.464536631598719</v>
      </c>
      <c r="K1784">
        <v>0</v>
      </c>
      <c r="L1784">
        <v>1.3394567483114119</v>
      </c>
      <c r="M1784">
        <v>17.16</v>
      </c>
      <c r="N1784">
        <v>6.88</v>
      </c>
    </row>
  </sheetData>
  <autoFilter ref="A1:O1784" xr:uid="{00000000-0009-0000-0000-000000000000}"/>
  <conditionalFormatting sqref="A1:N1">
    <cfRule type="cellIs" dxfId="24" priority="15" operator="notEqual">
      <formula>-13.345</formula>
    </cfRule>
  </conditionalFormatting>
  <conditionalFormatting sqref="A2:A1784">
    <cfRule type="cellIs" dxfId="23" priority="1" operator="notEqual">
      <formula>"None"</formula>
    </cfRule>
  </conditionalFormatting>
  <conditionalFormatting sqref="B2:B1784">
    <cfRule type="cellIs" dxfId="22" priority="2" operator="notEqual">
      <formula>"None"</formula>
    </cfRule>
  </conditionalFormatting>
  <conditionalFormatting sqref="C2:C1784">
    <cfRule type="cellIs" dxfId="21" priority="3" operator="notEqual">
      <formula>"None"</formula>
    </cfRule>
  </conditionalFormatting>
  <conditionalFormatting sqref="D2:D1784">
    <cfRule type="cellIs" dxfId="20" priority="4" operator="notEqual">
      <formula>"None"</formula>
    </cfRule>
  </conditionalFormatting>
  <conditionalFormatting sqref="E2:E1784">
    <cfRule type="cellIs" dxfId="19" priority="5" operator="notEqual">
      <formula>"None"</formula>
    </cfRule>
  </conditionalFormatting>
  <conditionalFormatting sqref="F2:F1784">
    <cfRule type="cellIs" dxfId="18" priority="6" operator="notEqual">
      <formula>"None"</formula>
    </cfRule>
  </conditionalFormatting>
  <conditionalFormatting sqref="G2:G1784">
    <cfRule type="cellIs" dxfId="17" priority="7" operator="notEqual">
      <formula>"None"</formula>
    </cfRule>
  </conditionalFormatting>
  <conditionalFormatting sqref="H2:H1784">
    <cfRule type="cellIs" dxfId="16" priority="8" operator="notEqual">
      <formula>"None"</formula>
    </cfRule>
  </conditionalFormatting>
  <conditionalFormatting sqref="I2:I1784">
    <cfRule type="cellIs" dxfId="15" priority="9" operator="notEqual">
      <formula>"None"</formula>
    </cfRule>
  </conditionalFormatting>
  <conditionalFormatting sqref="J2:J1784">
    <cfRule type="cellIs" dxfId="14" priority="10" operator="notEqual">
      <formula>"None"</formula>
    </cfRule>
  </conditionalFormatting>
  <conditionalFormatting sqref="K2:K1784">
    <cfRule type="cellIs" dxfId="13" priority="11" operator="notEqual">
      <formula>"None"</formula>
    </cfRule>
  </conditionalFormatting>
  <conditionalFormatting sqref="L2:L1784">
    <cfRule type="cellIs" dxfId="12" priority="12" operator="notEqual">
      <formula>"None"</formula>
    </cfRule>
  </conditionalFormatting>
  <conditionalFormatting sqref="M2:M1784">
    <cfRule type="cellIs" dxfId="11" priority="13" operator="notEqual">
      <formula>"None"</formula>
    </cfRule>
  </conditionalFormatting>
  <conditionalFormatting sqref="N2:N1784">
    <cfRule type="cellIs" dxfId="10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5.7109375" customWidth="1"/>
    <col min="2" max="2" width="45.7109375" customWidth="1"/>
    <col min="3" max="9" width="25.7109375" customWidth="1"/>
  </cols>
  <sheetData>
    <row r="1" spans="1:9" x14ac:dyDescent="0.25">
      <c r="A1" s="1" t="s">
        <v>13</v>
      </c>
      <c r="B1" s="1" t="s">
        <v>0</v>
      </c>
      <c r="C1" s="1" t="s">
        <v>1809</v>
      </c>
      <c r="D1" s="1" t="s">
        <v>1810</v>
      </c>
      <c r="E1" s="1" t="s">
        <v>1811</v>
      </c>
      <c r="F1" s="1" t="s">
        <v>1812</v>
      </c>
      <c r="G1" s="1" t="s">
        <v>1813</v>
      </c>
      <c r="H1" s="1" t="s">
        <v>1814</v>
      </c>
      <c r="I1" s="1" t="s">
        <v>1815</v>
      </c>
    </row>
    <row r="2" spans="1:9" x14ac:dyDescent="0.25">
      <c r="A2" s="1" t="s">
        <v>14</v>
      </c>
      <c r="B2" t="str">
        <f>HYPERLINK("https://www.suredividend.com/sure-analysis-research-database/","Aadi Bioscience Inc")</f>
        <v>Aadi Bioscience Inc</v>
      </c>
      <c r="C2">
        <v>-0.67910447761194004</v>
      </c>
      <c r="D2">
        <v>-0.59338061465721004</v>
      </c>
      <c r="E2">
        <v>-0.71710526315789402</v>
      </c>
      <c r="F2">
        <v>-0.14851485148514801</v>
      </c>
      <c r="G2">
        <v>-0.86718146718146705</v>
      </c>
      <c r="H2">
        <v>-0.92605331040412708</v>
      </c>
      <c r="I2">
        <v>-0.42666666666666597</v>
      </c>
    </row>
    <row r="3" spans="1:9" x14ac:dyDescent="0.25">
      <c r="A3" s="1" t="s">
        <v>15</v>
      </c>
      <c r="B3" t="str">
        <f>HYPERLINK("https://www.suredividend.com/sure-analysis-research-database/","Aarons Company Inc (The)")</f>
        <v>Aarons Company Inc (The)</v>
      </c>
      <c r="C3">
        <v>-7.3516386182462007E-2</v>
      </c>
      <c r="D3">
        <v>0.12985806563114299</v>
      </c>
      <c r="E3">
        <v>-0.28539709649871797</v>
      </c>
      <c r="F3">
        <v>-3.860294117647E-2</v>
      </c>
      <c r="G3">
        <v>-0.2373425104993</v>
      </c>
      <c r="H3">
        <v>-0.50739844213579899</v>
      </c>
      <c r="I3">
        <v>-0.60528301886792402</v>
      </c>
    </row>
    <row r="4" spans="1:9" x14ac:dyDescent="0.25">
      <c r="A4" s="1" t="s">
        <v>16</v>
      </c>
      <c r="B4" t="str">
        <f>HYPERLINK("https://www.suredividend.com/sure-analysis-research-database/","AAON Inc.")</f>
        <v>AAON Inc.</v>
      </c>
      <c r="C4">
        <v>5.1209737271781998E-2</v>
      </c>
      <c r="D4">
        <v>0.26262716306467798</v>
      </c>
      <c r="E4">
        <v>9.4715624352707001E-2</v>
      </c>
      <c r="F4">
        <v>-4.1288750507648013E-2</v>
      </c>
      <c r="G4">
        <v>0.37449974963221111</v>
      </c>
      <c r="H4">
        <v>0.49405815476856002</v>
      </c>
      <c r="I4">
        <v>2.0625129730851719</v>
      </c>
    </row>
    <row r="5" spans="1:9" x14ac:dyDescent="0.25">
      <c r="A5" s="1" t="s">
        <v>17</v>
      </c>
      <c r="B5" t="str">
        <f>HYPERLINK("https://www.suredividend.com/sure-analysis-AAT/","American Assets Trust Inc")</f>
        <v>American Assets Trust Inc</v>
      </c>
      <c r="C5">
        <v>4.0408525754884003E-2</v>
      </c>
      <c r="D5">
        <v>0.30110285542931398</v>
      </c>
      <c r="E5">
        <v>0.15864483554957701</v>
      </c>
      <c r="F5">
        <v>4.0870724122612001E-2</v>
      </c>
      <c r="G5">
        <v>-9.7662703776876011E-2</v>
      </c>
      <c r="H5">
        <v>-0.32896285667643299</v>
      </c>
      <c r="I5">
        <v>-0.306260825795372</v>
      </c>
    </row>
    <row r="6" spans="1:9" x14ac:dyDescent="0.25">
      <c r="A6" s="1" t="s">
        <v>18</v>
      </c>
      <c r="B6" t="str">
        <f>HYPERLINK("https://www.suredividend.com/sure-analysis-research-database/","Ameris Bancorp")</f>
        <v>Ameris Bancorp</v>
      </c>
      <c r="C6">
        <v>1.8855654086862999E-2</v>
      </c>
      <c r="D6">
        <v>0.35540720961281602</v>
      </c>
      <c r="E6">
        <v>0.38329095710326411</v>
      </c>
      <c r="F6">
        <v>-4.3166823751178002E-2</v>
      </c>
      <c r="G6">
        <v>5.6901089382683012E-2</v>
      </c>
      <c r="H6">
        <v>-4.1902604756511003E-2</v>
      </c>
      <c r="I6">
        <v>0.59362549800796804</v>
      </c>
    </row>
    <row r="7" spans="1:9" x14ac:dyDescent="0.25">
      <c r="A7" s="1" t="s">
        <v>19</v>
      </c>
      <c r="B7" t="str">
        <f>HYPERLINK("https://www.suredividend.com/sure-analysis-research-database/","AbCellera Biologics Inc")</f>
        <v>AbCellera Biologics Inc</v>
      </c>
      <c r="C7">
        <v>6.9444444444444003E-2</v>
      </c>
      <c r="D7">
        <v>0.26525821596244098</v>
      </c>
      <c r="E7">
        <v>-0.27358490566037702</v>
      </c>
      <c r="F7">
        <v>-5.6042031523641997E-2</v>
      </c>
      <c r="G7">
        <v>-0.48073217726396911</v>
      </c>
      <c r="H7">
        <v>-0.50368324125230202</v>
      </c>
      <c r="I7">
        <v>-0.90848896434634907</v>
      </c>
    </row>
    <row r="8" spans="1:9" x14ac:dyDescent="0.25">
      <c r="A8" s="1" t="s">
        <v>20</v>
      </c>
      <c r="B8" t="str">
        <f>HYPERLINK("https://www.suredividend.com/sure-analysis-research-database/","Asbury Automotive Group Inc")</f>
        <v>Asbury Automotive Group Inc</v>
      </c>
      <c r="C8">
        <v>-8.802705749718101E-2</v>
      </c>
      <c r="D8">
        <v>-4.7881355932203003E-2</v>
      </c>
      <c r="E8">
        <v>-0.18554168344744201</v>
      </c>
      <c r="F8">
        <v>-0.101080144019202</v>
      </c>
      <c r="G8">
        <v>6.9717006083045999E-2</v>
      </c>
      <c r="H8">
        <v>0.20828105395232099</v>
      </c>
      <c r="I8">
        <v>1.90393452039058</v>
      </c>
    </row>
    <row r="9" spans="1:9" x14ac:dyDescent="0.25">
      <c r="A9" s="1" t="s">
        <v>21</v>
      </c>
      <c r="B9" t="str">
        <f>HYPERLINK("https://www.suredividend.com/sure-analysis-ABM/","ABM Industries Inc.")</f>
        <v>ABM Industries Inc.</v>
      </c>
      <c r="C9">
        <v>-0.19151970082193201</v>
      </c>
      <c r="D9">
        <v>-3.9664350477999002E-2</v>
      </c>
      <c r="E9">
        <v>-4.4192489177499999E-4</v>
      </c>
      <c r="F9">
        <v>-5.6802589925476002E-2</v>
      </c>
      <c r="G9">
        <v>-7.3352099770484999E-2</v>
      </c>
      <c r="H9">
        <v>-2.5024449707761999E-2</v>
      </c>
      <c r="I9">
        <v>0.353612314107555</v>
      </c>
    </row>
    <row r="10" spans="1:9" x14ac:dyDescent="0.25">
      <c r="A10" s="1" t="s">
        <v>22</v>
      </c>
      <c r="B10" t="str">
        <f>HYPERLINK("https://www.suredividend.com/sure-analysis-ABR/","Arbor Realty Trust Inc.")</f>
        <v>Arbor Realty Trust Inc.</v>
      </c>
      <c r="C10">
        <v>-1.1424731182795E-2</v>
      </c>
      <c r="D10">
        <v>6.6877479529152004E-2</v>
      </c>
      <c r="E10">
        <v>-1.9751572662329998E-2</v>
      </c>
      <c r="F10">
        <v>-3.0961791831356E-2</v>
      </c>
      <c r="G10">
        <v>0.19135357527556601</v>
      </c>
      <c r="H10">
        <v>4.1709616421710003E-3</v>
      </c>
      <c r="I10">
        <v>1.1687208822315269</v>
      </c>
    </row>
    <row r="11" spans="1:9" x14ac:dyDescent="0.25">
      <c r="A11" s="1" t="s">
        <v>23</v>
      </c>
      <c r="B11" t="str">
        <f>HYPERLINK("https://www.suredividend.com/sure-analysis-research-database/","Absci Corp")</f>
        <v>Absci Corp</v>
      </c>
      <c r="C11">
        <v>0.63524590163934402</v>
      </c>
      <c r="D11">
        <v>1.9776119402985071</v>
      </c>
      <c r="E11">
        <v>0.79729729729729704</v>
      </c>
      <c r="F11">
        <v>-0.05</v>
      </c>
      <c r="G11">
        <v>0.38541666666666602</v>
      </c>
      <c r="H11">
        <v>-0.40801186943620099</v>
      </c>
      <c r="I11">
        <v>-0.81519221861973101</v>
      </c>
    </row>
    <row r="12" spans="1:9" x14ac:dyDescent="0.25">
      <c r="A12" s="1" t="s">
        <v>24</v>
      </c>
      <c r="B12" t="str">
        <f>HYPERLINK("https://www.suredividend.com/sure-analysis-research-database/","Arbutus Biopharma Corp")</f>
        <v>Arbutus Biopharma Corp</v>
      </c>
      <c r="C12">
        <v>7.943925233644801E-2</v>
      </c>
      <c r="D12">
        <v>0.241935483870967</v>
      </c>
      <c r="E12">
        <v>1.7621145374449001E-2</v>
      </c>
      <c r="F12">
        <v>-7.5999999999999013E-2</v>
      </c>
      <c r="G12">
        <v>-0.18947368421052599</v>
      </c>
      <c r="H12">
        <v>-0.282608695652173</v>
      </c>
      <c r="I12">
        <v>-0.38069705093833711</v>
      </c>
    </row>
    <row r="13" spans="1:9" x14ac:dyDescent="0.25">
      <c r="A13" s="1" t="s">
        <v>25</v>
      </c>
      <c r="B13" t="str">
        <f>HYPERLINK("https://www.suredividend.com/sure-analysis-research-database/","Associated Capital Group Inc")</f>
        <v>Associated Capital Group Inc</v>
      </c>
      <c r="C13">
        <v>-8.6680150245590001E-3</v>
      </c>
      <c r="D13">
        <v>4.155935378131E-3</v>
      </c>
      <c r="E13">
        <v>-4.4364227859664998E-2</v>
      </c>
      <c r="F13">
        <v>-3.9204704564547013E-2</v>
      </c>
      <c r="G13">
        <v>-0.108520887789516</v>
      </c>
      <c r="H13">
        <v>-0.23056222107600099</v>
      </c>
      <c r="I13">
        <v>-7.657609163724001E-2</v>
      </c>
    </row>
    <row r="14" spans="1:9" x14ac:dyDescent="0.25">
      <c r="A14" s="1" t="s">
        <v>26</v>
      </c>
      <c r="B14" t="str">
        <f>HYPERLINK("https://www.suredividend.com/sure-analysis-research-database/","Arcosa Inc")</f>
        <v>Arcosa Inc</v>
      </c>
      <c r="C14">
        <v>-3.7826724069380002E-3</v>
      </c>
      <c r="D14">
        <v>0.15806663174713501</v>
      </c>
      <c r="E14">
        <v>3.5439500974045003E-2</v>
      </c>
      <c r="F14">
        <v>-4.4287520160411001E-2</v>
      </c>
      <c r="G14">
        <v>0.348873375430441</v>
      </c>
      <c r="H14">
        <v>0.52054849939027803</v>
      </c>
      <c r="I14">
        <v>1.75526233113415</v>
      </c>
    </row>
    <row r="15" spans="1:9" x14ac:dyDescent="0.25">
      <c r="A15" s="1" t="s">
        <v>27</v>
      </c>
      <c r="B15" t="str">
        <f>HYPERLINK("https://www.suredividend.com/sure-analysis-research-database/","Acadia Pharmaceuticals Inc")</f>
        <v>Acadia Pharmaceuticals Inc</v>
      </c>
      <c r="C15">
        <v>9.1324200913240009E-3</v>
      </c>
      <c r="D15">
        <v>0.24157303370786501</v>
      </c>
      <c r="E15">
        <v>0.113565891472868</v>
      </c>
      <c r="F15">
        <v>-8.240178856595301E-2</v>
      </c>
      <c r="G15">
        <v>0.56141304347826004</v>
      </c>
      <c r="H15">
        <v>0.29765130984643101</v>
      </c>
      <c r="I15">
        <v>0.36290322580645101</v>
      </c>
    </row>
    <row r="16" spans="1:9" x14ac:dyDescent="0.25">
      <c r="A16" s="1" t="s">
        <v>28</v>
      </c>
      <c r="B16" t="str">
        <f>HYPERLINK("https://www.suredividend.com/sure-analysis-research-database/","Accolade Inc")</f>
        <v>Accolade Inc</v>
      </c>
      <c r="C16">
        <v>0.36568627450980401</v>
      </c>
      <c r="D16">
        <v>0.98433048433048409</v>
      </c>
      <c r="E16">
        <v>2.2760646108663001E-2</v>
      </c>
      <c r="F16">
        <v>0.159866777685262</v>
      </c>
      <c r="G16">
        <v>0.49463519313304699</v>
      </c>
      <c r="H16">
        <v>-0.33603431839847397</v>
      </c>
      <c r="I16">
        <v>-0.53097643097643099</v>
      </c>
    </row>
    <row r="17" spans="1:9" x14ac:dyDescent="0.25">
      <c r="A17" s="1" t="s">
        <v>29</v>
      </c>
      <c r="B17" t="str">
        <f>HYPERLINK("https://www.suredividend.com/sure-analysis-research-database/","Acco Brands Corporation")</f>
        <v>Acco Brands Corporation</v>
      </c>
      <c r="C17">
        <v>0.10516934046345799</v>
      </c>
      <c r="D17">
        <v>0.202272683201147</v>
      </c>
      <c r="E17">
        <v>0.12105596239038</v>
      </c>
      <c r="F17">
        <v>1.9736842105263001E-2</v>
      </c>
      <c r="G17">
        <v>6.1825655077924008E-2</v>
      </c>
      <c r="H17">
        <v>-0.16678985633844401</v>
      </c>
      <c r="I17">
        <v>-9.0202063186934009E-2</v>
      </c>
    </row>
    <row r="18" spans="1:9" x14ac:dyDescent="0.25">
      <c r="A18" s="1" t="s">
        <v>30</v>
      </c>
      <c r="B18" t="str">
        <f>HYPERLINK("https://www.suredividend.com/sure-analysis-research-database/","Accel Entertainment Inc")</f>
        <v>Accel Entertainment Inc</v>
      </c>
      <c r="C18">
        <v>-2.0771513353115001E-2</v>
      </c>
      <c r="D18">
        <v>-3.1311154598824997E-2</v>
      </c>
      <c r="E18">
        <v>-9.9181073703366013E-2</v>
      </c>
      <c r="F18">
        <v>-3.6027263875365E-2</v>
      </c>
      <c r="G18">
        <v>0.11612175873731601</v>
      </c>
      <c r="H18">
        <v>-0.21303656597774201</v>
      </c>
      <c r="I18">
        <v>-9.5890410958904007E-2</v>
      </c>
    </row>
    <row r="19" spans="1:9" x14ac:dyDescent="0.25">
      <c r="A19" s="1" t="s">
        <v>31</v>
      </c>
      <c r="B19" t="str">
        <f>HYPERLINK("https://www.suredividend.com/sure-analysis-research-database/","Adicet Bio Inc")</f>
        <v>Adicet Bio Inc</v>
      </c>
      <c r="C19">
        <v>1.19078947368421</v>
      </c>
      <c r="D19">
        <v>1.413043478260869</v>
      </c>
      <c r="E19">
        <v>3.0959752321981001E-2</v>
      </c>
      <c r="F19">
        <v>0.76190476190476208</v>
      </c>
      <c r="G19">
        <v>-0.61680092059838809</v>
      </c>
      <c r="H19">
        <v>-0.76582278481012611</v>
      </c>
      <c r="I19">
        <v>-0.59040590405904003</v>
      </c>
    </row>
    <row r="20" spans="1:9" x14ac:dyDescent="0.25">
      <c r="A20" s="1" t="s">
        <v>32</v>
      </c>
      <c r="B20" t="str">
        <f>HYPERLINK("https://www.suredividend.com/sure-analysis-research-database/","Archer Aviation Inc")</f>
        <v>Archer Aviation Inc</v>
      </c>
      <c r="C20">
        <v>-0.21068702290076299</v>
      </c>
      <c r="D20">
        <v>1.1741682974558999E-2</v>
      </c>
      <c r="E20">
        <v>1.3725490196077999E-2</v>
      </c>
      <c r="F20">
        <v>-0.15798045602605801</v>
      </c>
      <c r="G20">
        <v>0.98846153846153806</v>
      </c>
      <c r="H20">
        <v>0.28927680798004901</v>
      </c>
      <c r="I20">
        <v>-0.48144433299899703</v>
      </c>
    </row>
    <row r="21" spans="1:9" x14ac:dyDescent="0.25">
      <c r="A21" s="1" t="s">
        <v>33</v>
      </c>
      <c r="B21" t="str">
        <f>HYPERLINK("https://www.suredividend.com/sure-analysis-research-database/","ACI Worldwide Inc")</f>
        <v>ACI Worldwide Inc</v>
      </c>
      <c r="C21">
        <v>3.2489740082078999E-2</v>
      </c>
      <c r="D21">
        <v>0.49012833168805497</v>
      </c>
      <c r="E21">
        <v>0.24597606273215</v>
      </c>
      <c r="F21">
        <v>-1.3398692810457E-2</v>
      </c>
      <c r="G21">
        <v>0.12313988095238</v>
      </c>
      <c r="H21">
        <v>-0.13097294185377001</v>
      </c>
      <c r="I21">
        <v>7.2850035536602006E-2</v>
      </c>
    </row>
    <row r="22" spans="1:9" x14ac:dyDescent="0.25">
      <c r="A22" s="1" t="s">
        <v>34</v>
      </c>
      <c r="B22" t="str">
        <f>HYPERLINK("https://www.suredividend.com/sure-analysis-research-database/","Axcelis Technologies Inc")</f>
        <v>Axcelis Technologies Inc</v>
      </c>
      <c r="C22">
        <v>-0.132167300380228</v>
      </c>
      <c r="D22">
        <v>-0.288395585209203</v>
      </c>
      <c r="E22">
        <v>-0.37320810677212002</v>
      </c>
      <c r="F22">
        <v>-0.120055517002081</v>
      </c>
      <c r="G22">
        <v>0.13540941199880599</v>
      </c>
      <c r="H22">
        <v>0.69317507418397606</v>
      </c>
      <c r="I22">
        <v>5.3014908890115962</v>
      </c>
    </row>
    <row r="23" spans="1:9" x14ac:dyDescent="0.25">
      <c r="A23" s="1" t="s">
        <v>35</v>
      </c>
      <c r="B23" t="str">
        <f>HYPERLINK("https://www.suredividend.com/sure-analysis-research-database/","Arcellx Inc")</f>
        <v>Arcellx Inc</v>
      </c>
      <c r="C23">
        <v>9.9762470308788001E-2</v>
      </c>
      <c r="D23">
        <v>0.67702988228191907</v>
      </c>
      <c r="E23">
        <v>0.62837045720984708</v>
      </c>
      <c r="F23">
        <v>1.081081081081E-3</v>
      </c>
      <c r="G23">
        <v>0.72761194029850706</v>
      </c>
      <c r="H23">
        <v>2.3071428571428569</v>
      </c>
      <c r="I23">
        <v>2.3071428571428569</v>
      </c>
    </row>
    <row r="24" spans="1:9" x14ac:dyDescent="0.25">
      <c r="A24" s="1" t="s">
        <v>36</v>
      </c>
      <c r="B24" t="str">
        <f>HYPERLINK("https://www.suredividend.com/sure-analysis-research-database/","ACM Research Inc")</f>
        <v>ACM Research Inc</v>
      </c>
      <c r="C24">
        <v>0.23429541595925199</v>
      </c>
      <c r="D24">
        <v>0.147894736842105</v>
      </c>
      <c r="E24">
        <v>0.56906474820143804</v>
      </c>
      <c r="F24">
        <v>0.116171954964175</v>
      </c>
      <c r="G24">
        <v>1.015711645101663</v>
      </c>
      <c r="H24">
        <v>-0.21706447640962501</v>
      </c>
      <c r="I24">
        <v>5.2255587588844801</v>
      </c>
    </row>
    <row r="25" spans="1:9" x14ac:dyDescent="0.25">
      <c r="A25" s="1" t="s">
        <v>37</v>
      </c>
      <c r="B25" t="str">
        <f>HYPERLINK("https://www.suredividend.com/sure-analysis-research-database/","ACNB Corp.")</f>
        <v>ACNB Corp.</v>
      </c>
      <c r="C25">
        <v>6.3686613794760011E-2</v>
      </c>
      <c r="D25">
        <v>0.36546779458132</v>
      </c>
      <c r="E25">
        <v>0.42501601774669701</v>
      </c>
      <c r="F25">
        <v>-1.1170688114387E-2</v>
      </c>
      <c r="G25">
        <v>0.230664853757754</v>
      </c>
      <c r="H25">
        <v>0.40262588297929602</v>
      </c>
      <c r="I25">
        <v>0.45041044714980899</v>
      </c>
    </row>
    <row r="26" spans="1:9" x14ac:dyDescent="0.25">
      <c r="A26" s="1" t="s">
        <v>38</v>
      </c>
      <c r="B26" t="str">
        <f>HYPERLINK("https://www.suredividend.com/sure-analysis-ACRE/","Ares Commercial Real Estate Corp")</f>
        <v>Ares Commercial Real Estate Corp</v>
      </c>
      <c r="C26">
        <v>-1.2813241952072001E-2</v>
      </c>
      <c r="D26">
        <v>0.141605806960793</v>
      </c>
      <c r="E26">
        <v>2.8676743091238001E-2</v>
      </c>
      <c r="F26">
        <v>-8.6872586872580003E-3</v>
      </c>
      <c r="G26">
        <v>1.4461258840728001E-2</v>
      </c>
      <c r="H26">
        <v>-0.18916144924561201</v>
      </c>
      <c r="I26">
        <v>0.11241090964233801</v>
      </c>
    </row>
    <row r="27" spans="1:9" x14ac:dyDescent="0.25">
      <c r="A27" s="1" t="s">
        <v>39</v>
      </c>
      <c r="B27" t="str">
        <f>HYPERLINK("https://www.suredividend.com/sure-analysis-research-database/","Aclaris Therapeutics Inc")</f>
        <v>Aclaris Therapeutics Inc</v>
      </c>
      <c r="C27">
        <v>-0.152293577981651</v>
      </c>
      <c r="D27">
        <v>-0.82631578947368411</v>
      </c>
      <c r="E27">
        <v>-0.91491712707182304</v>
      </c>
      <c r="F27">
        <v>-0.12</v>
      </c>
      <c r="G27">
        <v>-0.9485236768802221</v>
      </c>
      <c r="H27">
        <v>-0.91499540018399206</v>
      </c>
      <c r="I27">
        <v>-0.87076923076923007</v>
      </c>
    </row>
    <row r="28" spans="1:9" x14ac:dyDescent="0.25">
      <c r="A28" s="1" t="s">
        <v>40</v>
      </c>
      <c r="B28" t="str">
        <f>HYPERLINK("https://www.suredividend.com/sure-analysis-research-database/","Acrivon Therapeutics Inc")</f>
        <v>Acrivon Therapeutics Inc</v>
      </c>
      <c r="C28">
        <v>-7.8846153846153011E-2</v>
      </c>
      <c r="D28">
        <v>-0.209570957095709</v>
      </c>
      <c r="E28">
        <v>-0.60866013071895408</v>
      </c>
      <c r="F28">
        <v>-2.6422764227642E-2</v>
      </c>
      <c r="G28">
        <v>-0.61433172302737504</v>
      </c>
      <c r="H28">
        <v>-0.71213942307692302</v>
      </c>
      <c r="I28">
        <v>-0.71213942307692302</v>
      </c>
    </row>
    <row r="29" spans="1:9" x14ac:dyDescent="0.25">
      <c r="A29" s="1" t="s">
        <v>41</v>
      </c>
      <c r="B29" t="str">
        <f>HYPERLINK("https://www.suredividend.com/sure-analysis-research-database/","Enact Holdings Inc")</f>
        <v>Enact Holdings Inc</v>
      </c>
      <c r="C29">
        <v>-4.237288135593E-3</v>
      </c>
      <c r="D29">
        <v>4.5509315043099012E-2</v>
      </c>
      <c r="E29">
        <v>0.111119866980827</v>
      </c>
      <c r="F29">
        <v>-2.3883696780892999E-2</v>
      </c>
      <c r="G29">
        <v>0.22579916019717</v>
      </c>
      <c r="H29">
        <v>0.35891171410810502</v>
      </c>
      <c r="I29">
        <v>0.56153961160855104</v>
      </c>
    </row>
    <row r="30" spans="1:9" x14ac:dyDescent="0.25">
      <c r="A30" s="1" t="s">
        <v>42</v>
      </c>
      <c r="B30" t="str">
        <f>HYPERLINK("https://www.suredividend.com/sure-analysis-research-database/","ACV Auctions Inc")</f>
        <v>ACV Auctions Inc</v>
      </c>
      <c r="C30">
        <v>-3.6451169188445001E-2</v>
      </c>
      <c r="D30">
        <v>1.6690856313497E-2</v>
      </c>
      <c r="E30">
        <v>-0.21159257175014001</v>
      </c>
      <c r="F30">
        <v>-7.5247524752475009E-2</v>
      </c>
      <c r="G30">
        <v>0.53450164293537705</v>
      </c>
      <c r="H30">
        <v>-0.17198581560283699</v>
      </c>
      <c r="I30">
        <v>-0.55168000000000006</v>
      </c>
    </row>
    <row r="31" spans="1:9" x14ac:dyDescent="0.25">
      <c r="A31" s="1" t="s">
        <v>43</v>
      </c>
      <c r="B31" t="str">
        <f>HYPERLINK("https://www.suredividend.com/sure-analysis-ADC/","Agree Realty Corp.")</f>
        <v>Agree Realty Corp.</v>
      </c>
      <c r="C31">
        <v>1.9671583345903999E-2</v>
      </c>
      <c r="D31">
        <v>0.159630969489124</v>
      </c>
      <c r="E31">
        <v>-1.7224370209045999E-2</v>
      </c>
      <c r="F31">
        <v>-1.429706115965E-3</v>
      </c>
      <c r="G31">
        <v>-0.120290418918654</v>
      </c>
      <c r="H31">
        <v>5.6665881409100006E-4</v>
      </c>
      <c r="I31">
        <v>0.25514908639283401</v>
      </c>
    </row>
    <row r="32" spans="1:9" x14ac:dyDescent="0.25">
      <c r="A32" s="1" t="s">
        <v>44</v>
      </c>
      <c r="B32" t="str">
        <f>HYPERLINK("https://www.suredividend.com/sure-analysis-research-database/","Adeia Inc")</f>
        <v>Adeia Inc</v>
      </c>
      <c r="C32">
        <v>5.7116104868912998E-2</v>
      </c>
      <c r="D32">
        <v>0.34289656484917602</v>
      </c>
      <c r="E32">
        <v>-2.5985230174615001E-2</v>
      </c>
      <c r="F32">
        <v>-8.8781275221953004E-2</v>
      </c>
      <c r="G32">
        <v>6.7380144271222006E-2</v>
      </c>
      <c r="H32">
        <v>-0.38109856375397411</v>
      </c>
      <c r="I32">
        <v>-0.404551567732918</v>
      </c>
    </row>
    <row r="33" spans="1:9" x14ac:dyDescent="0.25">
      <c r="A33" s="1" t="s">
        <v>45</v>
      </c>
      <c r="B33" t="str">
        <f>HYPERLINK("https://www.suredividend.com/sure-analysis-research-database/","Adma Biologics Inc")</f>
        <v>Adma Biologics Inc</v>
      </c>
      <c r="C33">
        <v>0.24438902743142099</v>
      </c>
      <c r="D33">
        <v>0.55451713395638602</v>
      </c>
      <c r="E33">
        <v>0.42979942693409701</v>
      </c>
      <c r="F33">
        <v>0.103982300884955</v>
      </c>
      <c r="G33">
        <v>0.46764705882352903</v>
      </c>
      <c r="H33">
        <v>2.8384615384615381</v>
      </c>
      <c r="I33">
        <v>0.48955223880596999</v>
      </c>
    </row>
    <row r="34" spans="1:9" x14ac:dyDescent="0.25">
      <c r="A34" s="1" t="s">
        <v>46</v>
      </c>
      <c r="B34" t="str">
        <f>HYPERLINK("https://www.suredividend.com/sure-analysis-research-database/","Adient plc")</f>
        <v>Adient plc</v>
      </c>
      <c r="C34">
        <v>-3.2602252519264012E-2</v>
      </c>
      <c r="D34">
        <v>-8.0822303576457005E-2</v>
      </c>
      <c r="E34">
        <v>-0.224150225814119</v>
      </c>
      <c r="F34">
        <v>-0.10231023102310199</v>
      </c>
      <c r="G34">
        <v>-0.22063037249283601</v>
      </c>
      <c r="H34">
        <v>-0.34180278281911602</v>
      </c>
      <c r="I34">
        <v>0.80831024930747908</v>
      </c>
    </row>
    <row r="35" spans="1:9" x14ac:dyDescent="0.25">
      <c r="A35" s="1" t="s">
        <v>47</v>
      </c>
      <c r="B35" t="str">
        <f>HYPERLINK("https://www.suredividend.com/sure-analysis-research-database/","Adaptive Biotechnologies Corp")</f>
        <v>Adaptive Biotechnologies Corp</v>
      </c>
      <c r="C35">
        <v>-0.112903225806451</v>
      </c>
      <c r="D35">
        <v>2.683780630105E-2</v>
      </c>
      <c r="E35">
        <v>-0.40217391304347799</v>
      </c>
      <c r="F35">
        <v>-0.10204081632653</v>
      </c>
      <c r="G35">
        <v>-0.55734406438631701</v>
      </c>
      <c r="H35">
        <v>-0.77447462839569403</v>
      </c>
      <c r="I35">
        <v>-0.89081885856079412</v>
      </c>
    </row>
    <row r="36" spans="1:9" x14ac:dyDescent="0.25">
      <c r="A36" s="1" t="s">
        <v>48</v>
      </c>
      <c r="B36" t="str">
        <f>HYPERLINK("https://www.suredividend.com/sure-analysis-research-database/","AdTheorent Holding Company Inc")</f>
        <v>AdTheorent Holding Company Inc</v>
      </c>
      <c r="C36">
        <v>0.43181818181818099</v>
      </c>
      <c r="D36">
        <v>0.61538461538461509</v>
      </c>
      <c r="E36">
        <v>0.44274809160305301</v>
      </c>
      <c r="F36">
        <v>0.30344827586206802</v>
      </c>
      <c r="G36">
        <v>3.8461538461538013E-2</v>
      </c>
      <c r="H36">
        <v>-0.6460674157303371</v>
      </c>
      <c r="I36">
        <v>-0.81488736532810901</v>
      </c>
    </row>
    <row r="37" spans="1:9" x14ac:dyDescent="0.25">
      <c r="A37" s="1" t="s">
        <v>49</v>
      </c>
      <c r="B37" t="str">
        <f>HYPERLINK("https://www.suredividend.com/sure-analysis-research-database/","ADTRAN Holdings Inc")</f>
        <v>ADTRAN Holdings Inc</v>
      </c>
      <c r="C37">
        <v>9.0076335877862013E-2</v>
      </c>
      <c r="D37">
        <v>-2.1917808219177999E-2</v>
      </c>
      <c r="E37">
        <v>-0.33946380002590298</v>
      </c>
      <c r="F37">
        <v>-2.7247956403268998E-2</v>
      </c>
      <c r="G37">
        <v>-0.62671155887135099</v>
      </c>
      <c r="H37">
        <v>-0.62805526036131709</v>
      </c>
      <c r="I37">
        <v>-0.62805526036131709</v>
      </c>
    </row>
    <row r="38" spans="1:9" x14ac:dyDescent="0.25">
      <c r="A38" s="1" t="s">
        <v>50</v>
      </c>
      <c r="B38" t="str">
        <f>HYPERLINK("https://www.suredividend.com/sure-analysis-research-database/","Addus HomeCare Corporation")</f>
        <v>Addus HomeCare Corporation</v>
      </c>
      <c r="C38">
        <v>-0.101899648977906</v>
      </c>
      <c r="D38">
        <v>8.3717453594119001E-2</v>
      </c>
      <c r="E38">
        <v>-5.3738852046640003E-3</v>
      </c>
      <c r="F38">
        <v>-6.3112547119009002E-2</v>
      </c>
      <c r="G38">
        <v>-0.16692204558513701</v>
      </c>
      <c r="H38">
        <v>2.4134683305861999E-2</v>
      </c>
      <c r="I38">
        <v>0.39161734122540298</v>
      </c>
    </row>
    <row r="39" spans="1:9" x14ac:dyDescent="0.25">
      <c r="A39" s="1" t="s">
        <v>51</v>
      </c>
      <c r="B39" t="str">
        <f>HYPERLINK("https://www.suredividend.com/sure-analysis-research-database/","Advantage Solutions Inc.")</f>
        <v>Advantage Solutions Inc.</v>
      </c>
      <c r="C39">
        <v>0.18885448916408601</v>
      </c>
      <c r="D39">
        <v>0.33797909407665411</v>
      </c>
      <c r="E39">
        <v>0.53600000000000003</v>
      </c>
      <c r="F39">
        <v>6.0773480662983007E-2</v>
      </c>
      <c r="G39">
        <v>0.620253164556962</v>
      </c>
      <c r="H39">
        <v>-0.46666666666666612</v>
      </c>
      <c r="I39">
        <v>-0.61212121212121207</v>
      </c>
    </row>
    <row r="40" spans="1:9" x14ac:dyDescent="0.25">
      <c r="A40" s="1" t="s">
        <v>52</v>
      </c>
      <c r="B40" t="str">
        <f>HYPERLINK("https://www.suredividend.com/sure-analysis-research-database/","Advanced Energy Industries Inc.")</f>
        <v>Advanced Energy Industries Inc.</v>
      </c>
      <c r="C40">
        <v>-2.5362318840579001E-2</v>
      </c>
      <c r="D40">
        <v>7.5327637245764009E-2</v>
      </c>
      <c r="E40">
        <v>-0.131183475657073</v>
      </c>
      <c r="F40">
        <v>-6.1513037091443012E-2</v>
      </c>
      <c r="G40">
        <v>0.10600175281044701</v>
      </c>
      <c r="H40">
        <v>0.121577362175566</v>
      </c>
      <c r="I40">
        <v>1.25450150417729</v>
      </c>
    </row>
    <row r="41" spans="1:9" x14ac:dyDescent="0.25">
      <c r="A41" s="1" t="s">
        <v>53</v>
      </c>
      <c r="B41" t="str">
        <f>HYPERLINK("https://www.suredividend.com/sure-analysis-AEL/","American Equity Investment Life Holding Co")</f>
        <v>American Equity Investment Life Holding Co</v>
      </c>
      <c r="C41">
        <v>-1.4422210203710001E-3</v>
      </c>
      <c r="D41">
        <v>3.9017069968110003E-2</v>
      </c>
      <c r="E41">
        <v>3.8432695913009997E-2</v>
      </c>
      <c r="F41">
        <v>-7.3476702508950007E-3</v>
      </c>
      <c r="G41">
        <v>0.18684379687165201</v>
      </c>
      <c r="H41">
        <v>0.28873894834806801</v>
      </c>
      <c r="I41">
        <v>0.93458254020921006</v>
      </c>
    </row>
    <row r="42" spans="1:9" x14ac:dyDescent="0.25">
      <c r="A42" s="1" t="s">
        <v>54</v>
      </c>
      <c r="B42" t="str">
        <f>HYPERLINK("https://www.suredividend.com/sure-analysis-research-database/","American Eagle Outfitters Inc.")</f>
        <v>American Eagle Outfitters Inc.</v>
      </c>
      <c r="C42">
        <v>1.1078790577461001E-2</v>
      </c>
      <c r="D42">
        <v>0.249723314010182</v>
      </c>
      <c r="E42">
        <v>0.70502775057133504</v>
      </c>
      <c r="F42">
        <v>-6.6004717340020008E-3</v>
      </c>
      <c r="G42">
        <v>0.39367010914525102</v>
      </c>
      <c r="H42">
        <v>-8.006394194142101E-2</v>
      </c>
      <c r="I42">
        <v>0.186695827534297</v>
      </c>
    </row>
    <row r="43" spans="1:9" x14ac:dyDescent="0.25">
      <c r="A43" s="1" t="s">
        <v>55</v>
      </c>
      <c r="B43" t="str">
        <f>HYPERLINK("https://www.suredividend.com/sure-analysis-research-database/","Aeva Technologies Inc")</f>
        <v>Aeva Technologies Inc</v>
      </c>
      <c r="C43">
        <v>0.51800107469102608</v>
      </c>
      <c r="D43">
        <v>0.56900860871980008</v>
      </c>
      <c r="E43">
        <v>-0.18115942028985499</v>
      </c>
      <c r="F43">
        <v>0.49135541771149499</v>
      </c>
      <c r="G43">
        <v>-0.33136094674556199</v>
      </c>
      <c r="H43">
        <v>-0.80716723549488001</v>
      </c>
      <c r="I43">
        <v>-0.88527918781725812</v>
      </c>
    </row>
    <row r="44" spans="1:9" x14ac:dyDescent="0.25">
      <c r="A44" s="1" t="s">
        <v>56</v>
      </c>
      <c r="B44" t="str">
        <f>HYPERLINK("https://www.suredividend.com/sure-analysis-research-database/","AFC Gamma Inc")</f>
        <v>AFC Gamma Inc</v>
      </c>
      <c r="C44">
        <v>5.0341229825496013E-2</v>
      </c>
      <c r="D44">
        <v>0.13114507264924999</v>
      </c>
      <c r="E44">
        <v>9.0041806095890006E-2</v>
      </c>
      <c r="F44">
        <v>-8.3125519534400002E-4</v>
      </c>
      <c r="G44">
        <v>-8.8302665311509002E-2</v>
      </c>
      <c r="H44">
        <v>-0.149014499320344</v>
      </c>
      <c r="I44">
        <v>-0.20312914346327199</v>
      </c>
    </row>
    <row r="45" spans="1:9" x14ac:dyDescent="0.25">
      <c r="A45" s="1" t="s">
        <v>57</v>
      </c>
      <c r="B45" t="str">
        <f>HYPERLINK("https://www.suredividend.com/sure-analysis-research-database/","Affimed N.V.")</f>
        <v>Affimed N.V.</v>
      </c>
      <c r="C45">
        <v>0.55392156862745101</v>
      </c>
      <c r="D45">
        <v>0.60222390700025208</v>
      </c>
      <c r="E45">
        <v>-2.9542323587937999E-2</v>
      </c>
      <c r="F45">
        <v>1.4399999999999E-2</v>
      </c>
      <c r="G45">
        <v>-0.44385964912280601</v>
      </c>
      <c r="H45">
        <v>-0.8562358276643991</v>
      </c>
      <c r="I45">
        <v>-0.8172910662824201</v>
      </c>
    </row>
    <row r="46" spans="1:9" x14ac:dyDescent="0.25">
      <c r="A46" s="1" t="s">
        <v>58</v>
      </c>
      <c r="B46" t="str">
        <f>HYPERLINK("https://www.suredividend.com/sure-analysis-research-database/","Agenus Inc")</f>
        <v>Agenus Inc</v>
      </c>
      <c r="C46">
        <v>-0.22311240592376699</v>
      </c>
      <c r="D46">
        <v>-0.39047619047618998</v>
      </c>
      <c r="E46">
        <v>-0.65405405405405403</v>
      </c>
      <c r="F46">
        <v>-0.22695977775093601</v>
      </c>
      <c r="G46">
        <v>-0.7746082056700121</v>
      </c>
      <c r="H46">
        <v>-0.76993313681788711</v>
      </c>
      <c r="I46">
        <v>-0.79790324617910802</v>
      </c>
    </row>
    <row r="47" spans="1:9" x14ac:dyDescent="0.25">
      <c r="A47" s="1" t="s">
        <v>59</v>
      </c>
      <c r="B47" t="str">
        <f>HYPERLINK("https://www.suredividend.com/sure-analysis-research-database/","Agios Pharmaceuticals Inc")</f>
        <v>Agios Pharmaceuticals Inc</v>
      </c>
      <c r="C47">
        <v>-8.787346221440001E-4</v>
      </c>
      <c r="D47">
        <v>-1.6435986159169001E-2</v>
      </c>
      <c r="E47">
        <v>-0.186695278969957</v>
      </c>
      <c r="F47">
        <v>2.1104625056128999E-2</v>
      </c>
      <c r="G47">
        <v>-0.23614376889486</v>
      </c>
      <c r="H47">
        <v>-0.288262910798122</v>
      </c>
      <c r="I47">
        <v>-0.58382137628111208</v>
      </c>
    </row>
    <row r="48" spans="1:9" x14ac:dyDescent="0.25">
      <c r="A48" s="1" t="s">
        <v>60</v>
      </c>
      <c r="B48" t="str">
        <f>HYPERLINK("https://www.suredividend.com/sure-analysis-AGM/","Federal Agricultural Mortgage Corp.")</f>
        <v>Federal Agricultural Mortgage Corp.</v>
      </c>
      <c r="C48">
        <v>1.1101042138649E-2</v>
      </c>
      <c r="D48">
        <v>0.23086342462995499</v>
      </c>
      <c r="E48">
        <v>0.22769676192572</v>
      </c>
      <c r="F48">
        <v>-6.641564689885901E-2</v>
      </c>
      <c r="G48">
        <v>0.47220483538305602</v>
      </c>
      <c r="H48">
        <v>0.46523273250474212</v>
      </c>
      <c r="I48">
        <v>2.1185038448504159</v>
      </c>
    </row>
    <row r="49" spans="1:9" x14ac:dyDescent="0.25">
      <c r="A49" s="1" t="s">
        <v>61</v>
      </c>
      <c r="B49" t="str">
        <f>HYPERLINK("https://www.suredividend.com/sure-analysis-research-database/","Agiliti Inc")</f>
        <v>Agiliti Inc</v>
      </c>
      <c r="C49">
        <v>-4.4914134742404001E-2</v>
      </c>
      <c r="D49">
        <v>0.33641404805914898</v>
      </c>
      <c r="E49">
        <v>-0.54981320049813209</v>
      </c>
      <c r="F49">
        <v>-8.7121212121212002E-2</v>
      </c>
      <c r="G49">
        <v>-0.56445783132530103</v>
      </c>
      <c r="H49">
        <v>-0.64083457526080401</v>
      </c>
      <c r="I49">
        <v>-0.55914634146341402</v>
      </c>
    </row>
    <row r="50" spans="1:9" x14ac:dyDescent="0.25">
      <c r="A50" s="1" t="s">
        <v>62</v>
      </c>
      <c r="B50" t="str">
        <f>HYPERLINK("https://www.suredividend.com/sure-analysis-research-database/","Argan, Inc.")</f>
        <v>Argan, Inc.</v>
      </c>
      <c r="C50">
        <v>5.7423930450697012E-2</v>
      </c>
      <c r="D50">
        <v>1.3736546935212E-2</v>
      </c>
      <c r="E50">
        <v>0.153182103971018</v>
      </c>
      <c r="F50">
        <v>-1.2182090190210999E-2</v>
      </c>
      <c r="G50">
        <v>0.22760653908978601</v>
      </c>
      <c r="H50">
        <v>0.24147193123824801</v>
      </c>
      <c r="I50">
        <v>0.33107934926289501</v>
      </c>
    </row>
    <row r="51" spans="1:9" x14ac:dyDescent="0.25">
      <c r="A51" s="1" t="s">
        <v>63</v>
      </c>
      <c r="B51" t="str">
        <f>HYPERLINK("https://www.suredividend.com/sure-analysis-research-database/","Agilysys, Inc")</f>
        <v>Agilysys, Inc</v>
      </c>
      <c r="C51">
        <v>-7.7223851417399E-2</v>
      </c>
      <c r="D51">
        <v>0.136151647359711</v>
      </c>
      <c r="E51">
        <v>7.6243408864185999E-2</v>
      </c>
      <c r="F51">
        <v>-0.109643951898137</v>
      </c>
      <c r="G51">
        <v>-9.9236641221374003E-2</v>
      </c>
      <c r="H51">
        <v>0.80454002389486201</v>
      </c>
      <c r="I51">
        <v>4.2737430167597763</v>
      </c>
    </row>
    <row r="52" spans="1:9" x14ac:dyDescent="0.25">
      <c r="A52" s="1" t="s">
        <v>64</v>
      </c>
      <c r="B52" t="str">
        <f>HYPERLINK("https://www.suredividend.com/sure-analysis-research-database/","AdaptHealth Corp")</f>
        <v>AdaptHealth Corp</v>
      </c>
      <c r="C52">
        <v>-0.18181818181818099</v>
      </c>
      <c r="D52">
        <v>-6.8548387096774008E-2</v>
      </c>
      <c r="E52">
        <v>-0.45901639344262302</v>
      </c>
      <c r="F52">
        <v>-4.9382716049382012E-2</v>
      </c>
      <c r="G52">
        <v>-0.68093922651933703</v>
      </c>
      <c r="H52">
        <v>-0.6821100917431191</v>
      </c>
      <c r="I52">
        <v>-0.7039726612558731</v>
      </c>
    </row>
    <row r="53" spans="1:9" x14ac:dyDescent="0.25">
      <c r="A53" s="1" t="s">
        <v>65</v>
      </c>
      <c r="B53" t="str">
        <f>HYPERLINK("https://www.suredividend.com/sure-analysis-research-database/","Armada Hoffler Properties Inc")</f>
        <v>Armada Hoffler Properties Inc</v>
      </c>
      <c r="C53">
        <v>-7.0225285946000002E-4</v>
      </c>
      <c r="D53">
        <v>0.21460667543119499</v>
      </c>
      <c r="E53">
        <v>3.3406233826942001E-2</v>
      </c>
      <c r="F53">
        <v>8.0840743734800007E-4</v>
      </c>
      <c r="G53">
        <v>8.2688355415628009E-2</v>
      </c>
      <c r="H53">
        <v>-1.9328263624841E-2</v>
      </c>
      <c r="I53">
        <v>9.332085169517701E-2</v>
      </c>
    </row>
    <row r="54" spans="1:9" x14ac:dyDescent="0.25">
      <c r="A54" s="1" t="s">
        <v>66</v>
      </c>
      <c r="B54" t="str">
        <f>HYPERLINK("https://www.suredividend.com/sure-analysis-research-database/","Ashford Hospitality Trust Inc")</f>
        <v>Ashford Hospitality Trust Inc</v>
      </c>
      <c r="C54">
        <v>-0.289719626168224</v>
      </c>
      <c r="D54">
        <v>-0.30909090909090903</v>
      </c>
      <c r="E54">
        <v>-0.6180904522613061</v>
      </c>
      <c r="F54">
        <v>-0.216494845360824</v>
      </c>
      <c r="G54">
        <v>-0.73927958833619201</v>
      </c>
      <c r="H54">
        <v>-0.86404293381037511</v>
      </c>
      <c r="I54">
        <v>-0.99644246887043209</v>
      </c>
    </row>
    <row r="55" spans="1:9" x14ac:dyDescent="0.25">
      <c r="A55" s="1" t="s">
        <v>67</v>
      </c>
      <c r="B55" t="str">
        <f>HYPERLINK("https://www.suredividend.com/sure-analysis-research-database/","C3.ai Inc")</f>
        <v>C3.ai Inc</v>
      </c>
      <c r="C55">
        <v>-6.8585643212507999E-2</v>
      </c>
      <c r="D55">
        <v>5.8989898989898003E-2</v>
      </c>
      <c r="E55">
        <v>-0.33896595208070601</v>
      </c>
      <c r="F55">
        <v>-8.7077673284569002E-2</v>
      </c>
      <c r="G55">
        <v>1.07193675889328</v>
      </c>
      <c r="H55">
        <v>-7.1883852691218011E-2</v>
      </c>
      <c r="I55">
        <v>-0.71661801275813608</v>
      </c>
    </row>
    <row r="56" spans="1:9" x14ac:dyDescent="0.25">
      <c r="A56" s="1" t="s">
        <v>68</v>
      </c>
      <c r="B56" t="str">
        <f>HYPERLINK("https://www.suredividend.com/sure-analysis-research-database/","Albany International Corp.")</f>
        <v>Albany International Corp.</v>
      </c>
      <c r="C56">
        <v>-1.8695995062405001E-2</v>
      </c>
      <c r="D56">
        <v>8.6108297734566006E-2</v>
      </c>
      <c r="E56">
        <v>1.0743146746484E-2</v>
      </c>
      <c r="F56">
        <v>-6.7603339442068006E-2</v>
      </c>
      <c r="G56">
        <v>-0.15270467437232299</v>
      </c>
      <c r="H56">
        <v>5.7680425289625997E-2</v>
      </c>
      <c r="I56">
        <v>0.42000567506089798</v>
      </c>
    </row>
    <row r="57" spans="1:9" x14ac:dyDescent="0.25">
      <c r="A57" s="1" t="s">
        <v>69</v>
      </c>
      <c r="B57" t="str">
        <f>HYPERLINK("https://www.suredividend.com/sure-analysis-research-database/","Arteris Inc")</f>
        <v>Arteris Inc</v>
      </c>
      <c r="C57">
        <v>-0.14402618657937799</v>
      </c>
      <c r="D57">
        <v>-0.12248322147651</v>
      </c>
      <c r="E57">
        <v>-0.32948717948717898</v>
      </c>
      <c r="F57">
        <v>-0.112054329371816</v>
      </c>
      <c r="G57">
        <v>1.5533980582524001E-2</v>
      </c>
      <c r="H57">
        <v>-0.66602809706257904</v>
      </c>
      <c r="I57">
        <v>-0.7126373626373621</v>
      </c>
    </row>
    <row r="58" spans="1:9" x14ac:dyDescent="0.25">
      <c r="A58" s="1" t="s">
        <v>70</v>
      </c>
      <c r="B58" t="str">
        <f>HYPERLINK("https://www.suredividend.com/sure-analysis-research-database/","AAR Corp.")</f>
        <v>AAR Corp.</v>
      </c>
      <c r="C58">
        <v>-0.16570948312088499</v>
      </c>
      <c r="D58">
        <v>2.5658687790597001E-2</v>
      </c>
      <c r="E58">
        <v>2.0736932305055002E-2</v>
      </c>
      <c r="F58">
        <v>-4.5512820512819997E-2</v>
      </c>
      <c r="G58">
        <v>0.20934010152284199</v>
      </c>
      <c r="H58">
        <v>0.39615564932020603</v>
      </c>
      <c r="I58">
        <v>0.52617768849165603</v>
      </c>
    </row>
    <row r="59" spans="1:9" x14ac:dyDescent="0.25">
      <c r="A59" s="1" t="s">
        <v>71</v>
      </c>
      <c r="B59" t="str">
        <f>HYPERLINK("https://www.suredividend.com/sure-analysis-research-database/","Airsculpt Technologies Inc")</f>
        <v>Airsculpt Technologies Inc</v>
      </c>
      <c r="C59">
        <v>0.21461187214611799</v>
      </c>
      <c r="D59">
        <v>0.27577937649880102</v>
      </c>
      <c r="E59">
        <v>-0.14925373134328301</v>
      </c>
      <c r="F59">
        <v>6.5420560747663004E-2</v>
      </c>
      <c r="G59">
        <v>0.60240963855421603</v>
      </c>
      <c r="H59">
        <v>-0.47175756452435003</v>
      </c>
      <c r="I59">
        <v>-0.47607886391837811</v>
      </c>
    </row>
    <row r="60" spans="1:9" x14ac:dyDescent="0.25">
      <c r="A60" s="1" t="s">
        <v>72</v>
      </c>
      <c r="B60" t="str">
        <f>HYPERLINK("https://www.suredividend.com/sure-analysis-AIT/","Applied Industrial Technologies Inc.")</f>
        <v>Applied Industrial Technologies Inc.</v>
      </c>
      <c r="C60">
        <v>-2.5335847277860001E-3</v>
      </c>
      <c r="D60">
        <v>6.1845323966631012E-2</v>
      </c>
      <c r="E60">
        <v>0.176204117166021</v>
      </c>
      <c r="F60">
        <v>-1.968845908854E-2</v>
      </c>
      <c r="G60">
        <v>0.35280053443971698</v>
      </c>
      <c r="H60">
        <v>0.71201983754571008</v>
      </c>
      <c r="I60">
        <v>2.1524846137373022</v>
      </c>
    </row>
    <row r="61" spans="1:9" x14ac:dyDescent="0.25">
      <c r="A61" s="1" t="s">
        <v>73</v>
      </c>
      <c r="B61" t="str">
        <f>HYPERLINK("https://www.suredividend.com/sure-analysis-research-database/","Apartment Investment &amp; Management Co.")</f>
        <v>Apartment Investment &amp; Management Co.</v>
      </c>
      <c r="C61">
        <v>5.2419354838709013E-2</v>
      </c>
      <c r="D61">
        <v>0.19178082191780799</v>
      </c>
      <c r="E61">
        <v>-9.5842956120092013E-2</v>
      </c>
      <c r="F61">
        <v>0</v>
      </c>
      <c r="G61">
        <v>3.7086092715231E-2</v>
      </c>
      <c r="H61">
        <v>8.8346491715779005E-2</v>
      </c>
      <c r="I61">
        <v>0.45247458633226911</v>
      </c>
    </row>
    <row r="62" spans="1:9" x14ac:dyDescent="0.25">
      <c r="A62" s="1" t="s">
        <v>74</v>
      </c>
      <c r="B62" t="str">
        <f>HYPERLINK("https://www.suredividend.com/sure-analysis-research-database/","Aerojet Rocketdyne Holdings Inc")</f>
        <v>Aerojet Rocketdyne Holdings Inc</v>
      </c>
      <c r="C62">
        <v>5.3597383720930002E-2</v>
      </c>
      <c r="D62">
        <v>2.8191489361701998E-2</v>
      </c>
      <c r="E62">
        <v>3.9992826398852002E-2</v>
      </c>
      <c r="F62">
        <v>3.6831753978187012E-2</v>
      </c>
      <c r="G62">
        <v>0.344228094575799</v>
      </c>
      <c r="H62">
        <v>0.239102564102564</v>
      </c>
      <c r="I62">
        <v>1.2926295064857021</v>
      </c>
    </row>
    <row r="63" spans="1:9" x14ac:dyDescent="0.25">
      <c r="A63" s="1" t="s">
        <v>75</v>
      </c>
      <c r="B63" t="str">
        <f>HYPERLINK("https://www.suredividend.com/sure-analysis-research-database/","a.k.a. Brands Holding Corp")</f>
        <v>a.k.a. Brands Holding Corp</v>
      </c>
      <c r="C63">
        <v>0.114411441144114</v>
      </c>
      <c r="D63">
        <v>0.94807692307692304</v>
      </c>
      <c r="E63">
        <v>1.058943089430894</v>
      </c>
      <c r="F63">
        <v>0.25838509316770097</v>
      </c>
      <c r="G63">
        <v>-0.41781609195402197</v>
      </c>
      <c r="H63">
        <v>-0.88892543859649109</v>
      </c>
      <c r="I63">
        <v>-0.9154988321654981</v>
      </c>
    </row>
    <row r="64" spans="1:9" x14ac:dyDescent="0.25">
      <c r="A64" s="1" t="s">
        <v>76</v>
      </c>
      <c r="B64" t="str">
        <f>HYPERLINK("https://www.suredividend.com/sure-analysis-AKR/","Acadia Realty Trust")</f>
        <v>Acadia Realty Trust</v>
      </c>
      <c r="C64">
        <v>4.4575447305821997E-2</v>
      </c>
      <c r="D64">
        <v>0.24286996554419901</v>
      </c>
      <c r="E64">
        <v>0.16579079588816001</v>
      </c>
      <c r="F64">
        <v>1.0594467333725001E-2</v>
      </c>
      <c r="G64">
        <v>0.19748368018746801</v>
      </c>
      <c r="H64">
        <v>-0.16127708630492901</v>
      </c>
      <c r="I64">
        <v>-0.20962262587576699</v>
      </c>
    </row>
    <row r="65" spans="1:9" x14ac:dyDescent="0.25">
      <c r="A65" s="1" t="s">
        <v>77</v>
      </c>
      <c r="B65" t="str">
        <f>HYPERLINK("https://www.suredividend.com/sure-analysis-research-database/","Akero Therapeutics Inc")</f>
        <v>Akero Therapeutics Inc</v>
      </c>
      <c r="C65">
        <v>0.103244837758112</v>
      </c>
      <c r="D65">
        <v>0.533834586466165</v>
      </c>
      <c r="E65">
        <v>-0.50496360026472509</v>
      </c>
      <c r="F65">
        <v>-3.8972162740899E-2</v>
      </c>
      <c r="G65">
        <v>-0.55334394904458606</v>
      </c>
      <c r="H65">
        <v>3.7447988904299012E-2</v>
      </c>
      <c r="I65">
        <v>0.224890829694323</v>
      </c>
    </row>
    <row r="66" spans="1:9" x14ac:dyDescent="0.25">
      <c r="A66" s="1" t="s">
        <v>78</v>
      </c>
      <c r="B66" t="str">
        <f>HYPERLINK("https://www.suredividend.com/sure-analysis-research-database/","Akoustis Technologies Inc")</f>
        <v>Akoustis Technologies Inc</v>
      </c>
      <c r="C66">
        <v>4.4640000000000013E-2</v>
      </c>
      <c r="D66">
        <v>-0.12935058007734301</v>
      </c>
      <c r="E66">
        <v>-0.76514388489208607</v>
      </c>
      <c r="F66">
        <v>-0.21714628297362101</v>
      </c>
      <c r="G66">
        <v>-0.82354054054054004</v>
      </c>
      <c r="H66">
        <v>-0.89586921850079704</v>
      </c>
      <c r="I66">
        <v>-0.89469354838709603</v>
      </c>
    </row>
    <row r="67" spans="1:9" x14ac:dyDescent="0.25">
      <c r="A67" s="1" t="s">
        <v>79</v>
      </c>
      <c r="B67" t="str">
        <f>HYPERLINK("https://www.suredividend.com/sure-analysis-research-database/","Akoya Biosciences Inc")</f>
        <v>Akoya Biosciences Inc</v>
      </c>
      <c r="C67">
        <v>0.18264840182648401</v>
      </c>
      <c r="D67">
        <v>0.44895104895104798</v>
      </c>
      <c r="E67">
        <v>-0.23598820058997</v>
      </c>
      <c r="F67">
        <v>6.1475409836064997E-2</v>
      </c>
      <c r="G67">
        <v>-0.51948051948051899</v>
      </c>
      <c r="H67">
        <v>-0.5676126878130211</v>
      </c>
      <c r="I67">
        <v>-0.80115163147792712</v>
      </c>
    </row>
    <row r="68" spans="1:9" x14ac:dyDescent="0.25">
      <c r="A68" s="1" t="s">
        <v>80</v>
      </c>
      <c r="B68" t="str">
        <f>HYPERLINK("https://www.suredividend.com/sure-analysis-research-database/","Alico Inc.")</f>
        <v>Alico Inc.</v>
      </c>
      <c r="C68">
        <v>-7.1252167516157011E-2</v>
      </c>
      <c r="D68">
        <v>0.16226501943958099</v>
      </c>
      <c r="E68">
        <v>9.8478521792835005E-2</v>
      </c>
      <c r="F68">
        <v>-2.7510316368637999E-2</v>
      </c>
      <c r="G68">
        <v>0.14031798258877901</v>
      </c>
      <c r="H68">
        <v>-0.200208149505644</v>
      </c>
      <c r="I68">
        <v>8.2749141419748012E-2</v>
      </c>
    </row>
    <row r="69" spans="1:9" x14ac:dyDescent="0.25">
      <c r="A69" s="1" t="s">
        <v>81</v>
      </c>
      <c r="B69" t="str">
        <f>HYPERLINK("https://www.suredividend.com/sure-analysis-ALE/","Allete, Inc.")</f>
        <v>Allete, Inc.</v>
      </c>
      <c r="C69">
        <v>-6.0358890701460001E-3</v>
      </c>
      <c r="D69">
        <v>0.14684856629812401</v>
      </c>
      <c r="E69">
        <v>7.0938939079692009E-2</v>
      </c>
      <c r="F69">
        <v>-3.7606278613470001E-3</v>
      </c>
      <c r="G69">
        <v>-2.4180090262941E-2</v>
      </c>
      <c r="H69">
        <v>8.450928013187E-3</v>
      </c>
      <c r="I69">
        <v>-8.3653407981250007E-3</v>
      </c>
    </row>
    <row r="70" spans="1:9" x14ac:dyDescent="0.25">
      <c r="A70" s="1" t="s">
        <v>82</v>
      </c>
      <c r="B70" t="str">
        <f>HYPERLINK("https://www.suredividend.com/sure-analysis-research-database/","Alector Inc")</f>
        <v>Alector Inc</v>
      </c>
      <c r="C70">
        <v>0.12753623188405799</v>
      </c>
      <c r="D70">
        <v>0.29666666666666602</v>
      </c>
      <c r="E70">
        <v>0.26504065040650399</v>
      </c>
      <c r="F70">
        <v>-2.5062656641604002E-2</v>
      </c>
      <c r="G70">
        <v>-0.107798165137614</v>
      </c>
      <c r="H70">
        <v>-0.54422964264792006</v>
      </c>
      <c r="I70">
        <v>-0.56777777777777705</v>
      </c>
    </row>
    <row r="71" spans="1:9" x14ac:dyDescent="0.25">
      <c r="A71" s="1" t="s">
        <v>83</v>
      </c>
      <c r="B71" t="str">
        <f>HYPERLINK("https://www.suredividend.com/sure-analysis-research-database/","Alexander &amp; Baldwin Inc.")</f>
        <v>Alexander &amp; Baldwin Inc.</v>
      </c>
      <c r="C71">
        <v>2.0482639444810002E-3</v>
      </c>
      <c r="D71">
        <v>0.14083497806328299</v>
      </c>
      <c r="E71">
        <v>-2.3847171577010998E-2</v>
      </c>
      <c r="F71">
        <v>-4.5741324921135001E-2</v>
      </c>
      <c r="G71">
        <v>-3.9926367906563003E-2</v>
      </c>
      <c r="H71">
        <v>-0.18027233927240699</v>
      </c>
      <c r="I71">
        <v>2.1171731265859001E-2</v>
      </c>
    </row>
    <row r="72" spans="1:9" x14ac:dyDescent="0.25">
      <c r="A72" s="1" t="s">
        <v>84</v>
      </c>
      <c r="B72" t="str">
        <f>HYPERLINK("https://www.suredividend.com/sure-analysis-research-database/","Alamo Group Inc.")</f>
        <v>Alamo Group Inc.</v>
      </c>
      <c r="C72">
        <v>3.0529179550183999E-2</v>
      </c>
      <c r="D72">
        <v>0.19299325750548199</v>
      </c>
      <c r="E72">
        <v>6.402711233510601E-2</v>
      </c>
      <c r="F72">
        <v>-3.2619497002154003E-2</v>
      </c>
      <c r="G72">
        <v>0.31502857420388802</v>
      </c>
      <c r="H72">
        <v>0.306967856455579</v>
      </c>
      <c r="I72">
        <v>1.554159706989193</v>
      </c>
    </row>
    <row r="73" spans="1:9" x14ac:dyDescent="0.25">
      <c r="A73" s="1" t="s">
        <v>85</v>
      </c>
      <c r="B73" t="str">
        <f>HYPERLINK("https://www.suredividend.com/sure-analysis-research-database/","Allegiant Travel")</f>
        <v>Allegiant Travel</v>
      </c>
      <c r="C73">
        <v>-2.0589370737355998E-2</v>
      </c>
      <c r="D73">
        <v>6.7296770484216006E-2</v>
      </c>
      <c r="E73">
        <v>-0.37651856354333402</v>
      </c>
      <c r="F73">
        <v>-7.8682968163660008E-2</v>
      </c>
      <c r="G73">
        <v>-8.9263042756410008E-3</v>
      </c>
      <c r="H73">
        <v>-0.58078518917543409</v>
      </c>
      <c r="I73">
        <v>-0.33665456358302398</v>
      </c>
    </row>
    <row r="74" spans="1:9" x14ac:dyDescent="0.25">
      <c r="A74" s="1" t="s">
        <v>86</v>
      </c>
      <c r="B74" t="str">
        <f>HYPERLINK("https://www.suredividend.com/sure-analysis-research-database/","Alignment Healthcare Inc")</f>
        <v>Alignment Healthcare Inc</v>
      </c>
      <c r="C74">
        <v>-7.7738515901060012E-2</v>
      </c>
      <c r="D74">
        <v>0.18277945619335301</v>
      </c>
      <c r="E74">
        <v>0.50867052023121306</v>
      </c>
      <c r="F74">
        <v>-9.0592334494773011E-2</v>
      </c>
      <c r="G74">
        <v>-0.37659235668789798</v>
      </c>
      <c r="H74">
        <v>-0.119235095613048</v>
      </c>
      <c r="I74">
        <v>-0.54766031195840503</v>
      </c>
    </row>
    <row r="75" spans="1:9" x14ac:dyDescent="0.25">
      <c r="A75" s="1" t="s">
        <v>87</v>
      </c>
      <c r="B75" t="str">
        <f>HYPERLINK("https://www.suredividend.com/sure-analysis-research-database/","Alight Inc.")</f>
        <v>Alight Inc.</v>
      </c>
      <c r="C75">
        <v>1.5776699029125998E-2</v>
      </c>
      <c r="D75">
        <v>0.245535714285714</v>
      </c>
      <c r="E75">
        <v>-0.13800205973223501</v>
      </c>
      <c r="F75">
        <v>-1.875732708089E-2</v>
      </c>
      <c r="G75">
        <v>-6.2709966405375003E-2</v>
      </c>
      <c r="H75">
        <v>-0.145045965270684</v>
      </c>
      <c r="I75">
        <v>-0.195192307692307</v>
      </c>
    </row>
    <row r="76" spans="1:9" x14ac:dyDescent="0.25">
      <c r="A76" s="1" t="s">
        <v>88</v>
      </c>
      <c r="B76" t="str">
        <f>HYPERLINK("https://www.suredividend.com/sure-analysis-research-database/","Alkermes plc")</f>
        <v>Alkermes plc</v>
      </c>
      <c r="C76">
        <v>2.8446389496717E-2</v>
      </c>
      <c r="D76">
        <v>1.6949152542372E-2</v>
      </c>
      <c r="E76">
        <v>-6.0313228923692001E-2</v>
      </c>
      <c r="F76">
        <v>1.6582552271088E-2</v>
      </c>
      <c r="G76">
        <v>3.2588795313072003E-2</v>
      </c>
      <c r="H76">
        <v>0.13389626055488499</v>
      </c>
      <c r="I76">
        <v>-0.13257459243309699</v>
      </c>
    </row>
    <row r="77" spans="1:9" x14ac:dyDescent="0.25">
      <c r="A77" s="1" t="s">
        <v>89</v>
      </c>
      <c r="B77" t="str">
        <f>HYPERLINK("https://www.suredividend.com/sure-analysis-research-database/","Alkami Technology Inc")</f>
        <v>Alkami Technology Inc</v>
      </c>
      <c r="C77">
        <v>7.5194468452895E-2</v>
      </c>
      <c r="D77">
        <v>0.49071300179748312</v>
      </c>
      <c r="E77">
        <v>0.43566070398153511</v>
      </c>
      <c r="F77">
        <v>2.5979381443297998E-2</v>
      </c>
      <c r="G77">
        <v>0.66756032171581703</v>
      </c>
      <c r="H77">
        <v>0.519853390348197</v>
      </c>
      <c r="I77">
        <v>-0.42139534883720903</v>
      </c>
    </row>
    <row r="78" spans="1:9" x14ac:dyDescent="0.25">
      <c r="A78" s="1" t="s">
        <v>90</v>
      </c>
      <c r="B78" t="str">
        <f>HYPERLINK("https://www.suredividend.com/sure-analysis-research-database/","Allogene Therapeutics Inc")</f>
        <v>Allogene Therapeutics Inc</v>
      </c>
      <c r="C78">
        <v>0.25291828793774301</v>
      </c>
      <c r="D78">
        <v>9.4043887147330016E-3</v>
      </c>
      <c r="E78">
        <v>-0.38255033557046902</v>
      </c>
      <c r="F78">
        <v>3.1152647975070001E-3</v>
      </c>
      <c r="G78">
        <v>-0.54390934844192607</v>
      </c>
      <c r="H78">
        <v>-0.73076923076923006</v>
      </c>
      <c r="I78">
        <v>-0.89088444595052507</v>
      </c>
    </row>
    <row r="79" spans="1:9" x14ac:dyDescent="0.25">
      <c r="A79" s="1" t="s">
        <v>91</v>
      </c>
      <c r="B79" t="str">
        <f>HYPERLINK("https://www.suredividend.com/sure-analysis-research-database/","Alpine Immune Sciences Inc")</f>
        <v>Alpine Immune Sciences Inc</v>
      </c>
      <c r="C79">
        <v>8.7187666135034009E-2</v>
      </c>
      <c r="D79">
        <v>0.99317738791423005</v>
      </c>
      <c r="E79">
        <v>0.88827331486611205</v>
      </c>
      <c r="F79">
        <v>7.2927597061909002E-2</v>
      </c>
      <c r="G79">
        <v>1.337142857142857</v>
      </c>
      <c r="H79">
        <v>1.1391213389121331</v>
      </c>
      <c r="I79">
        <v>2.8952380952380952</v>
      </c>
    </row>
    <row r="80" spans="1:9" x14ac:dyDescent="0.25">
      <c r="A80" s="1" t="s">
        <v>92</v>
      </c>
      <c r="B80" t="str">
        <f>HYPERLINK("https://www.suredividend.com/sure-analysis-research-database/","Alarm.com Holdings Inc")</f>
        <v>Alarm.com Holdings Inc</v>
      </c>
      <c r="C80">
        <v>4.7086324929036007E-2</v>
      </c>
      <c r="D80">
        <v>8.6075510910980008E-2</v>
      </c>
      <c r="E80">
        <v>0.148955661414437</v>
      </c>
      <c r="F80">
        <v>-2.9557412565768999E-2</v>
      </c>
      <c r="G80">
        <v>0.193794022463354</v>
      </c>
      <c r="H80">
        <v>-0.19323298597710001</v>
      </c>
      <c r="I80">
        <v>0.14246675168518799</v>
      </c>
    </row>
    <row r="81" spans="1:9" x14ac:dyDescent="0.25">
      <c r="A81" s="1" t="s">
        <v>93</v>
      </c>
      <c r="B81" t="str">
        <f>HYPERLINK("https://www.suredividend.com/sure-analysis-ALRS/","Alerus Financial Corp")</f>
        <v>Alerus Financial Corp</v>
      </c>
      <c r="C81">
        <v>2.6370809351378002E-2</v>
      </c>
      <c r="D81">
        <v>0.225416036308623</v>
      </c>
      <c r="E81">
        <v>0.188239475955923</v>
      </c>
      <c r="F81">
        <v>-5.9401518535059997E-2</v>
      </c>
      <c r="G81">
        <v>-4.1633864090393997E-2</v>
      </c>
      <c r="H81">
        <v>-0.21406180026869601</v>
      </c>
      <c r="I81">
        <v>-0.54414992402498708</v>
      </c>
    </row>
    <row r="82" spans="1:9" x14ac:dyDescent="0.25">
      <c r="A82" s="1" t="s">
        <v>94</v>
      </c>
      <c r="B82" t="str">
        <f>HYPERLINK("https://www.suredividend.com/sure-analysis-research-database/","Alta Equipment Group Inc")</f>
        <v>Alta Equipment Group Inc</v>
      </c>
      <c r="C82">
        <v>3.587443946188E-3</v>
      </c>
      <c r="D82">
        <v>2.9164252407361001E-2</v>
      </c>
      <c r="E82">
        <v>-0.33958533749608999</v>
      </c>
      <c r="F82">
        <v>-9.5392077607114004E-2</v>
      </c>
      <c r="G82">
        <v>-0.28411947975510299</v>
      </c>
      <c r="H82">
        <v>-0.20149567922818301</v>
      </c>
      <c r="I82">
        <v>0.15360824742268001</v>
      </c>
    </row>
    <row r="83" spans="1:9" x14ac:dyDescent="0.25">
      <c r="A83" s="1" t="s">
        <v>95</v>
      </c>
      <c r="B83" t="str">
        <f>HYPERLINK("https://www.suredividend.com/sure-analysis-research-database/","Alto Ingredients Inc")</f>
        <v>Alto Ingredients Inc</v>
      </c>
      <c r="C83">
        <v>-0.19852941176470501</v>
      </c>
      <c r="D83">
        <v>-0.47087378640776711</v>
      </c>
      <c r="E83">
        <v>-0.39106145251396601</v>
      </c>
      <c r="F83">
        <v>-0.180451127819548</v>
      </c>
      <c r="G83">
        <v>-0.32507739938080399</v>
      </c>
      <c r="H83">
        <v>-0.57504873294346903</v>
      </c>
      <c r="I83">
        <v>0.86324786324786307</v>
      </c>
    </row>
    <row r="84" spans="1:9" x14ac:dyDescent="0.25">
      <c r="A84" s="1" t="s">
        <v>96</v>
      </c>
      <c r="B84" t="str">
        <f>HYPERLINK("https://www.suredividend.com/sure-analysis-research-database/","Altair Engineering Inc")</f>
        <v>Altair Engineering Inc</v>
      </c>
      <c r="C84">
        <v>0.146610400217805</v>
      </c>
      <c r="D84">
        <v>0.28458136342839702</v>
      </c>
      <c r="E84">
        <v>0.116516436903499</v>
      </c>
      <c r="F84">
        <v>9.5068330362400009E-4</v>
      </c>
      <c r="G84">
        <v>0.69204499799116104</v>
      </c>
      <c r="H84">
        <v>0.29485011529592597</v>
      </c>
      <c r="I84">
        <v>1.8816284639069449</v>
      </c>
    </row>
    <row r="85" spans="1:9" x14ac:dyDescent="0.25">
      <c r="A85" s="1" t="s">
        <v>97</v>
      </c>
      <c r="B85" t="str">
        <f>HYPERLINK("https://www.suredividend.com/sure-analysis-research-database/","AlloVir Inc")</f>
        <v>AlloVir Inc</v>
      </c>
      <c r="C85">
        <v>-0.68693693693693603</v>
      </c>
      <c r="D85">
        <v>-0.59593023255813904</v>
      </c>
      <c r="E85">
        <v>-0.8042253521126761</v>
      </c>
      <c r="F85">
        <v>2.2359517505147999E-2</v>
      </c>
      <c r="G85">
        <v>-0.88139931740614308</v>
      </c>
      <c r="H85">
        <v>-0.93206256109481911</v>
      </c>
      <c r="I85">
        <v>-0.97262701851122413</v>
      </c>
    </row>
    <row r="86" spans="1:9" x14ac:dyDescent="0.25">
      <c r="A86" s="1" t="s">
        <v>98</v>
      </c>
      <c r="B86" t="str">
        <f>HYPERLINK("https://www.suredividend.com/sure-analysis-research-database/","Alexander`s Inc.")</f>
        <v>Alexander`s Inc.</v>
      </c>
      <c r="C86">
        <v>0.10610509263946501</v>
      </c>
      <c r="D86">
        <v>0.27218611063885201</v>
      </c>
      <c r="E86">
        <v>0.23873586579700001</v>
      </c>
      <c r="F86">
        <v>2.3083766446598E-2</v>
      </c>
      <c r="G86">
        <v>4.3745599310602012E-2</v>
      </c>
      <c r="H86">
        <v>-1.4161335542935E-2</v>
      </c>
      <c r="I86">
        <v>-1.0053058437677001E-2</v>
      </c>
    </row>
    <row r="87" spans="1:9" x14ac:dyDescent="0.25">
      <c r="A87" s="1" t="s">
        <v>99</v>
      </c>
      <c r="B87" t="str">
        <f>HYPERLINK("https://www.suredividend.com/sure-analysis-research-database/","Alx Oncology Holdings Inc")</f>
        <v>Alx Oncology Holdings Inc</v>
      </c>
      <c r="C87">
        <v>7.8195488721804013E-2</v>
      </c>
      <c r="D87">
        <v>0.57064622124863007</v>
      </c>
      <c r="E87">
        <v>1.016877637130801</v>
      </c>
      <c r="F87">
        <v>-3.6937541974479002E-2</v>
      </c>
      <c r="G87">
        <v>0.43256743256743202</v>
      </c>
      <c r="H87">
        <v>-0.22192078133477999</v>
      </c>
      <c r="I87">
        <v>-0.52200000000000002</v>
      </c>
    </row>
    <row r="88" spans="1:9" x14ac:dyDescent="0.25">
      <c r="A88" s="1" t="s">
        <v>100</v>
      </c>
      <c r="B88" t="str">
        <f>HYPERLINK("https://www.suredividend.com/sure-analysis-research-database/","Amalgamated Financial Corp")</f>
        <v>Amalgamated Financial Corp</v>
      </c>
      <c r="C88">
        <v>-8.206330597889E-3</v>
      </c>
      <c r="D88">
        <v>0.54102103269053203</v>
      </c>
      <c r="E88">
        <v>0.52690125677569899</v>
      </c>
      <c r="F88">
        <v>-5.7906458797326997E-2</v>
      </c>
      <c r="G88">
        <v>0.130723787969241</v>
      </c>
      <c r="H88">
        <v>0.562557718591851</v>
      </c>
      <c r="I88">
        <v>0.49028496268415711</v>
      </c>
    </row>
    <row r="89" spans="1:9" x14ac:dyDescent="0.25">
      <c r="A89" s="1" t="s">
        <v>101</v>
      </c>
      <c r="B89" t="str">
        <f>HYPERLINK("https://www.suredividend.com/sure-analysis-research-database/","Ambarella Inc")</f>
        <v>Ambarella Inc</v>
      </c>
      <c r="C89">
        <v>-8.7216828478964004E-2</v>
      </c>
      <c r="D89">
        <v>6.7360454115420007E-2</v>
      </c>
      <c r="E89">
        <v>-0.32996792968285998</v>
      </c>
      <c r="F89">
        <v>-7.9621471691956006E-2</v>
      </c>
      <c r="G89">
        <v>-0.35450280352442998</v>
      </c>
      <c r="H89">
        <v>-0.63767743593037407</v>
      </c>
      <c r="I89">
        <v>0.49035667107001302</v>
      </c>
    </row>
    <row r="90" spans="1:9" x14ac:dyDescent="0.25">
      <c r="A90" s="1" t="s">
        <v>102</v>
      </c>
      <c r="B90" t="str">
        <f>HYPERLINK("https://www.suredividend.com/sure-analysis-research-database/","AMBAC Financial Group Inc.")</f>
        <v>AMBAC Financial Group Inc.</v>
      </c>
      <c r="C90">
        <v>-3.7423312883435013E-2</v>
      </c>
      <c r="D90">
        <v>0.36791630340017401</v>
      </c>
      <c r="E90">
        <v>0.111977321048901</v>
      </c>
      <c r="F90">
        <v>-4.7936893203883002E-2</v>
      </c>
      <c r="G90">
        <v>-8.3528037383177003E-2</v>
      </c>
      <c r="H90">
        <v>-3.9191671769748013E-2</v>
      </c>
      <c r="I90">
        <v>-0.162306460224239</v>
      </c>
    </row>
    <row r="91" spans="1:9" x14ac:dyDescent="0.25">
      <c r="A91" s="1" t="s">
        <v>103</v>
      </c>
      <c r="B91" t="str">
        <f>HYPERLINK("https://www.suredividend.com/sure-analysis-research-database/","AMC Networks Inc")</f>
        <v>AMC Networks Inc</v>
      </c>
      <c r="C91">
        <v>-4.907306434023E-3</v>
      </c>
      <c r="D91">
        <v>0.57735522904062209</v>
      </c>
      <c r="E91">
        <v>0.39100609756097499</v>
      </c>
      <c r="F91">
        <v>-2.8738690792974E-2</v>
      </c>
      <c r="G91">
        <v>3.8111490329920013E-2</v>
      </c>
      <c r="H91">
        <v>-0.56506196377502305</v>
      </c>
      <c r="I91">
        <v>-0.70635559131134307</v>
      </c>
    </row>
    <row r="92" spans="1:9" x14ac:dyDescent="0.25">
      <c r="A92" s="1" t="s">
        <v>104</v>
      </c>
      <c r="B92" t="str">
        <f>HYPERLINK("https://www.suredividend.com/sure-analysis-research-database/","Apollo Medical Holdings Inc")</f>
        <v>Apollo Medical Holdings Inc</v>
      </c>
      <c r="C92">
        <v>3.6168409155128013E-2</v>
      </c>
      <c r="D92">
        <v>0.18290322580645099</v>
      </c>
      <c r="E92">
        <v>0.12140672782874599</v>
      </c>
      <c r="F92">
        <v>-4.2558746736292001E-2</v>
      </c>
      <c r="G92">
        <v>2.1448467966573001E-2</v>
      </c>
      <c r="H92">
        <v>-0.39924639580602811</v>
      </c>
      <c r="I92">
        <v>1.0248481501932629</v>
      </c>
    </row>
    <row r="93" spans="1:9" x14ac:dyDescent="0.25">
      <c r="A93" s="1" t="s">
        <v>105</v>
      </c>
      <c r="B93" t="str">
        <f>HYPERLINK("https://www.suredividend.com/sure-analysis-research-database/","Assetmark Financial Holdings Inc")</f>
        <v>Assetmark Financial Holdings Inc</v>
      </c>
      <c r="C93">
        <v>0.11596887736198599</v>
      </c>
      <c r="D93">
        <v>0.25083056478405302</v>
      </c>
      <c r="E93">
        <v>-3.2444587214905E-2</v>
      </c>
      <c r="F93">
        <v>5.6761268781300002E-3</v>
      </c>
      <c r="G93">
        <v>0.214516129032258</v>
      </c>
      <c r="H93">
        <v>0.15269804822043601</v>
      </c>
      <c r="I93">
        <v>0.113905325443786</v>
      </c>
    </row>
    <row r="94" spans="1:9" x14ac:dyDescent="0.25">
      <c r="A94" s="1" t="s">
        <v>106</v>
      </c>
      <c r="B94" t="str">
        <f>HYPERLINK("https://www.suredividend.com/sure-analysis-research-database/","AMKOR Technology Inc.")</f>
        <v>AMKOR Technology Inc.</v>
      </c>
      <c r="C94">
        <v>-5.0141911069063003E-2</v>
      </c>
      <c r="D94">
        <v>0.32955478454326298</v>
      </c>
      <c r="E94">
        <v>2.7362216810264999E-2</v>
      </c>
      <c r="F94">
        <v>-9.4679891794409013E-2</v>
      </c>
      <c r="G94">
        <v>-1.8396910492267E-2</v>
      </c>
      <c r="H94">
        <v>0.28331856295589303</v>
      </c>
      <c r="I94">
        <v>3.1695506520114058</v>
      </c>
    </row>
    <row r="95" spans="1:9" x14ac:dyDescent="0.25">
      <c r="A95" s="1" t="s">
        <v>107</v>
      </c>
      <c r="B95" t="str">
        <f>HYPERLINK("https://www.suredividend.com/sure-analysis-research-database/","Amylyx Pharmaceuticals Inc")</f>
        <v>Amylyx Pharmaceuticals Inc</v>
      </c>
      <c r="C95">
        <v>7.2690217391304005E-2</v>
      </c>
      <c r="D95">
        <v>-8.833718244803701E-2</v>
      </c>
      <c r="E95">
        <v>-0.31347826086956498</v>
      </c>
      <c r="F95">
        <v>7.2690217391304005E-2</v>
      </c>
      <c r="G95">
        <v>-0.578821018938383</v>
      </c>
      <c r="H95">
        <v>-0.24845311756306501</v>
      </c>
      <c r="I95">
        <v>-0.12617598229109001</v>
      </c>
    </row>
    <row r="96" spans="1:9" x14ac:dyDescent="0.25">
      <c r="A96" s="1" t="s">
        <v>108</v>
      </c>
      <c r="B96" t="str">
        <f>HYPERLINK("https://www.suredividend.com/sure-analysis-research-database/","AMN Healthcare Services Inc.")</f>
        <v>AMN Healthcare Services Inc.</v>
      </c>
      <c r="C96">
        <v>0.1060714798335</v>
      </c>
      <c r="D96">
        <v>4.2901610502097003E-2</v>
      </c>
      <c r="E96">
        <v>-0.27643192488262902</v>
      </c>
      <c r="F96">
        <v>2.9113247863247E-2</v>
      </c>
      <c r="G96">
        <v>-0.25803966878490198</v>
      </c>
      <c r="H96">
        <v>-0.27534323866842197</v>
      </c>
      <c r="I96">
        <v>0.26680914022686097</v>
      </c>
    </row>
    <row r="97" spans="1:9" x14ac:dyDescent="0.25">
      <c r="A97" s="1" t="s">
        <v>109</v>
      </c>
      <c r="B97" t="str">
        <f>HYPERLINK("https://www.suredividend.com/sure-analysis-research-database/","American National Bankshares Inc.")</f>
        <v>American National Bankshares Inc.</v>
      </c>
      <c r="C97">
        <v>1.5076459185871E-2</v>
      </c>
      <c r="D97">
        <v>0.26239155298535599</v>
      </c>
      <c r="E97">
        <v>0.5870877797945171</v>
      </c>
      <c r="F97">
        <v>-3.3230769230769001E-2</v>
      </c>
      <c r="G97">
        <v>0.34691008024874798</v>
      </c>
      <c r="H97">
        <v>0.310101933880575</v>
      </c>
      <c r="I97">
        <v>0.76951611449854307</v>
      </c>
    </row>
    <row r="98" spans="1:9" x14ac:dyDescent="0.25">
      <c r="A98" s="1" t="s">
        <v>110</v>
      </c>
      <c r="B98" t="str">
        <f>HYPERLINK("https://www.suredividend.com/sure-analysis-research-database/","Amphastar Pharmaceuticals Inc")</f>
        <v>Amphastar Pharmaceuticals Inc</v>
      </c>
      <c r="C98">
        <v>-0.12182083265835</v>
      </c>
      <c r="D98">
        <v>0.18465909090909099</v>
      </c>
      <c r="E98">
        <v>-1.9356005788710998E-2</v>
      </c>
      <c r="F98">
        <v>-0.12352465642683901</v>
      </c>
      <c r="G98">
        <v>0.87189226519337004</v>
      </c>
      <c r="H98">
        <v>1.1762344439983941</v>
      </c>
      <c r="I98">
        <v>1.4518317503392131</v>
      </c>
    </row>
    <row r="99" spans="1:9" x14ac:dyDescent="0.25">
      <c r="A99" s="1" t="s">
        <v>111</v>
      </c>
      <c r="B99" t="str">
        <f>HYPERLINK("https://www.suredividend.com/sure-analysis-research-database/","Amplitude Inc")</f>
        <v>Amplitude Inc</v>
      </c>
      <c r="C99">
        <v>4.4481054365733012E-2</v>
      </c>
      <c r="D99">
        <v>0.26169154228855701</v>
      </c>
      <c r="E99">
        <v>4.6204620462046E-2</v>
      </c>
      <c r="F99">
        <v>-3.1446540880500002E-3</v>
      </c>
      <c r="G99">
        <v>1.1164274322169E-2</v>
      </c>
      <c r="H99">
        <v>-0.71834740115504203</v>
      </c>
      <c r="I99">
        <v>-0.76861313868613101</v>
      </c>
    </row>
    <row r="100" spans="1:9" x14ac:dyDescent="0.25">
      <c r="A100" s="1" t="s">
        <v>112</v>
      </c>
      <c r="B100" t="str">
        <f>HYPERLINK("https://www.suredividend.com/sure-analysis-research-database/","Altus Power Inc")</f>
        <v>Altus Power Inc</v>
      </c>
      <c r="C100">
        <v>4.2881646655230997E-2</v>
      </c>
      <c r="D100">
        <v>0.155893536121673</v>
      </c>
      <c r="E100">
        <v>-3.27868852459E-3</v>
      </c>
      <c r="F100">
        <v>-0.10980966325036599</v>
      </c>
      <c r="G100">
        <v>-0.27705112960761002</v>
      </c>
      <c r="H100">
        <v>-0.35932560590094798</v>
      </c>
      <c r="I100">
        <v>-0.42040038131553797</v>
      </c>
    </row>
    <row r="101" spans="1:9" x14ac:dyDescent="0.25">
      <c r="A101" s="1" t="s">
        <v>113</v>
      </c>
      <c r="B101" t="str">
        <f>HYPERLINK("https://www.suredividend.com/sure-analysis-research-database/","Amplify Energy Corp.")</f>
        <v>Amplify Energy Corp.</v>
      </c>
      <c r="C101">
        <v>3.7865748709122002E-2</v>
      </c>
      <c r="D101">
        <v>-0.178474114441416</v>
      </c>
      <c r="E101">
        <v>-0.12735166425470301</v>
      </c>
      <c r="F101">
        <v>1.6863406408094E-2</v>
      </c>
      <c r="G101">
        <v>-0.31941309255078998</v>
      </c>
      <c r="H101">
        <v>0.68435754189944109</v>
      </c>
      <c r="I101">
        <v>-0.27085852478839101</v>
      </c>
    </row>
    <row r="102" spans="1:9" x14ac:dyDescent="0.25">
      <c r="A102" s="1" t="s">
        <v>114</v>
      </c>
      <c r="B102" t="str">
        <f>HYPERLINK("https://www.suredividend.com/sure-analysis-research-database/","Alpha Metallurgical Resources Inc")</f>
        <v>Alpha Metallurgical Resources Inc</v>
      </c>
      <c r="C102">
        <v>0.265605117446779</v>
      </c>
      <c r="D102">
        <v>0.64886519541292809</v>
      </c>
      <c r="E102">
        <v>1.356213360241973</v>
      </c>
      <c r="F102">
        <v>8.5801959164404001E-2</v>
      </c>
      <c r="G102">
        <v>1.3719532003320729</v>
      </c>
      <c r="H102">
        <v>4.5094521538514512</v>
      </c>
      <c r="I102">
        <v>4.7716436637390212</v>
      </c>
    </row>
    <row r="103" spans="1:9" x14ac:dyDescent="0.25">
      <c r="A103" s="1" t="s">
        <v>115</v>
      </c>
      <c r="B103" t="str">
        <f>HYPERLINK("https://www.suredividend.com/sure-analysis-research-database/","Ameresco Inc.")</f>
        <v>Ameresco Inc.</v>
      </c>
      <c r="C103">
        <v>-0.21512503766194599</v>
      </c>
      <c r="D103">
        <v>-0.217717717717717</v>
      </c>
      <c r="E103">
        <v>-0.52532798833819205</v>
      </c>
      <c r="F103">
        <v>-0.17745500473634301</v>
      </c>
      <c r="G103">
        <v>-0.56365159128978204</v>
      </c>
      <c r="H103">
        <v>-0.57295081967213102</v>
      </c>
      <c r="I103">
        <v>0.70819672131147504</v>
      </c>
    </row>
    <row r="104" spans="1:9" x14ac:dyDescent="0.25">
      <c r="A104" s="1" t="s">
        <v>116</v>
      </c>
      <c r="B104" t="str">
        <f>HYPERLINK("https://www.suredividend.com/sure-analysis-research-database/","A-Mark Precious Metals Inc")</f>
        <v>A-Mark Precious Metals Inc</v>
      </c>
      <c r="C104">
        <v>-4.0617114747286E-2</v>
      </c>
      <c r="D104">
        <v>-5.6622424905431012E-2</v>
      </c>
      <c r="E104">
        <v>-0.21566801087051801</v>
      </c>
      <c r="F104">
        <v>-4.6642269410969002E-2</v>
      </c>
      <c r="G104">
        <v>-0.18560891591831599</v>
      </c>
      <c r="H104">
        <v>0.121004244389105</v>
      </c>
      <c r="I104">
        <v>5.4685946678716668</v>
      </c>
    </row>
    <row r="105" spans="1:9" x14ac:dyDescent="0.25">
      <c r="A105" s="1" t="s">
        <v>117</v>
      </c>
      <c r="B105" t="str">
        <f>HYPERLINK("https://www.suredividend.com/sure-analysis-research-database/","Amyris Inc")</f>
        <v>Amyris Inc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s="1" t="s">
        <v>118</v>
      </c>
      <c r="B106" t="str">
        <f>HYPERLINK("https://www.suredividend.com/sure-analysis-research-database/","Amneal Pharmaceuticals Inc")</f>
        <v>Amneal Pharmaceuticals Inc</v>
      </c>
      <c r="C106">
        <v>0.146496815286624</v>
      </c>
      <c r="D106">
        <v>0.40625000000000011</v>
      </c>
      <c r="E106">
        <v>0.77631578947368407</v>
      </c>
      <c r="F106">
        <v>-0.11037891268533701</v>
      </c>
      <c r="G106">
        <v>1.432432432432432</v>
      </c>
      <c r="H106">
        <v>0.171366594360086</v>
      </c>
      <c r="I106">
        <v>-0.5955056179775281</v>
      </c>
    </row>
    <row r="107" spans="1:9" x14ac:dyDescent="0.25">
      <c r="A107" s="1" t="s">
        <v>119</v>
      </c>
      <c r="B107" t="str">
        <f>HYPERLINK("https://www.suredividend.com/sure-analysis-research-database/","Amerisafe Inc")</f>
        <v>Amerisafe Inc</v>
      </c>
      <c r="C107">
        <v>-3.2923525734528003E-2</v>
      </c>
      <c r="D107">
        <v>2.8453663076718001E-2</v>
      </c>
      <c r="E107">
        <v>3.3107983269037002E-2</v>
      </c>
      <c r="F107">
        <v>-7.90936297563E-3</v>
      </c>
      <c r="G107">
        <v>4.6418030587603007E-2</v>
      </c>
      <c r="H107">
        <v>1.9202557998576002E-2</v>
      </c>
      <c r="I107">
        <v>0.29500136727142801</v>
      </c>
    </row>
    <row r="108" spans="1:9" x14ac:dyDescent="0.25">
      <c r="A108" s="1" t="s">
        <v>120</v>
      </c>
      <c r="B108" t="str">
        <f>HYPERLINK("https://www.suredividend.com/sure-analysis-research-database/","American Software Inc.")</f>
        <v>American Software Inc.</v>
      </c>
      <c r="C108">
        <v>9.8095238095238013E-2</v>
      </c>
      <c r="D108">
        <v>5.0990830036643002E-2</v>
      </c>
      <c r="E108">
        <v>0.120494455836192</v>
      </c>
      <c r="F108">
        <v>2.0353982300884001E-2</v>
      </c>
      <c r="G108">
        <v>-0.18777649412493999</v>
      </c>
      <c r="H108">
        <v>-0.50196966031998302</v>
      </c>
      <c r="I108">
        <v>0.28071266717021298</v>
      </c>
    </row>
    <row r="109" spans="1:9" x14ac:dyDescent="0.25">
      <c r="A109" s="1" t="s">
        <v>121</v>
      </c>
      <c r="B109" t="str">
        <f>HYPERLINK("https://www.suredividend.com/sure-analysis-research-database/","Amerant Bancorp Inc")</f>
        <v>Amerant Bancorp Inc</v>
      </c>
      <c r="C109">
        <v>-6.7898754519887E-2</v>
      </c>
      <c r="D109">
        <v>0.26820308741854998</v>
      </c>
      <c r="E109">
        <v>0.23391784872805399</v>
      </c>
      <c r="F109">
        <v>-5.5759055759055001E-2</v>
      </c>
      <c r="G109">
        <v>-0.153639895664228</v>
      </c>
      <c r="H109">
        <v>-0.30708002926989503</v>
      </c>
      <c r="I109">
        <v>0.71914250357537102</v>
      </c>
    </row>
    <row r="110" spans="1:9" x14ac:dyDescent="0.25">
      <c r="A110" s="1" t="s">
        <v>122</v>
      </c>
      <c r="B110" t="str">
        <f>HYPERLINK("https://www.suredividend.com/sure-analysis-research-database/","Aemetis Inc")</f>
        <v>Aemetis Inc</v>
      </c>
      <c r="C110">
        <v>-0.15151515151515099</v>
      </c>
      <c r="D110">
        <v>-0.125</v>
      </c>
      <c r="E110">
        <v>-0.51901840490797502</v>
      </c>
      <c r="F110">
        <v>-0.25190839694656397</v>
      </c>
      <c r="G110">
        <v>-0.107061503416856</v>
      </c>
      <c r="H110">
        <v>-0.64168190127970703</v>
      </c>
      <c r="I110">
        <v>3.4570778851620241</v>
      </c>
    </row>
    <row r="111" spans="1:9" x14ac:dyDescent="0.25">
      <c r="A111" s="1" t="s">
        <v>123</v>
      </c>
      <c r="B111" t="str">
        <f>HYPERLINK("https://www.suredividend.com/sure-analysis-research-database/","American Woodmark Corp.")</f>
        <v>American Woodmark Corp.</v>
      </c>
      <c r="C111">
        <v>1.7291713451605E-2</v>
      </c>
      <c r="D111">
        <v>0.19430529923543299</v>
      </c>
      <c r="E111">
        <v>0.21725110842402201</v>
      </c>
      <c r="F111">
        <v>-2.4232633279482999E-2</v>
      </c>
      <c r="G111">
        <v>0.67715660866345706</v>
      </c>
      <c r="H111">
        <v>0.39127764127764098</v>
      </c>
      <c r="I111">
        <v>0.34103019538188201</v>
      </c>
    </row>
    <row r="112" spans="1:9" x14ac:dyDescent="0.25">
      <c r="A112" s="1" t="s">
        <v>124</v>
      </c>
      <c r="B112" t="str">
        <f>HYPERLINK("https://www.suredividend.com/sure-analysis-research-database/","American Well Corporation")</f>
        <v>American Well Corporation</v>
      </c>
      <c r="C112">
        <v>-0.119999999999999</v>
      </c>
      <c r="D112">
        <v>6.7961165048543007E-2</v>
      </c>
      <c r="E112">
        <v>-0.50226244343891402</v>
      </c>
      <c r="F112">
        <v>-0.26174496644295298</v>
      </c>
      <c r="G112">
        <v>-0.71938775510204001</v>
      </c>
      <c r="H112">
        <v>-0.764453961456102</v>
      </c>
      <c r="I112">
        <v>-0.95231902904204613</v>
      </c>
    </row>
    <row r="113" spans="1:9" x14ac:dyDescent="0.25">
      <c r="A113" s="1" t="s">
        <v>125</v>
      </c>
      <c r="B113" t="str">
        <f>HYPERLINK("https://www.suredividend.com/sure-analysis-research-database/","AnaptysBio Inc")</f>
        <v>AnaptysBio Inc</v>
      </c>
      <c r="C113">
        <v>0.26765188834154302</v>
      </c>
      <c r="D113">
        <v>0.22929936305732401</v>
      </c>
      <c r="E113">
        <v>0.24516129032257999</v>
      </c>
      <c r="F113">
        <v>8.1232492997198008E-2</v>
      </c>
      <c r="G113">
        <v>-0.12206216830932499</v>
      </c>
      <c r="H113">
        <v>-0.29239230064161298</v>
      </c>
      <c r="I113">
        <v>-0.67864576106563002</v>
      </c>
    </row>
    <row r="114" spans="1:9" x14ac:dyDescent="0.25">
      <c r="A114" s="1" t="s">
        <v>126</v>
      </c>
      <c r="B114" t="str">
        <f>HYPERLINK("https://www.suredividend.com/sure-analysis-ANDE/","Andersons Inc.")</f>
        <v>Andersons Inc.</v>
      </c>
      <c r="C114">
        <v>-2.4477259171307001E-2</v>
      </c>
      <c r="D114">
        <v>4.6210625115829997E-2</v>
      </c>
      <c r="E114">
        <v>0.122516832407167</v>
      </c>
      <c r="F114">
        <v>-8.759124087591201E-2</v>
      </c>
      <c r="G114">
        <v>0.49543252181195102</v>
      </c>
      <c r="H114">
        <v>0.39289438146203498</v>
      </c>
      <c r="I114">
        <v>0.76415439879298208</v>
      </c>
    </row>
    <row r="115" spans="1:9" x14ac:dyDescent="0.25">
      <c r="A115" s="1" t="s">
        <v>127</v>
      </c>
      <c r="B115" t="str">
        <f>HYPERLINK("https://www.suredividend.com/sure-analysis-research-database/","Abercrombie &amp; Fitch Co.")</f>
        <v>Abercrombie &amp; Fitch Co.</v>
      </c>
      <c r="C115">
        <v>0.155701492537313</v>
      </c>
      <c r="D115">
        <v>0.60274879947011106</v>
      </c>
      <c r="E115">
        <v>1.8484402589758679</v>
      </c>
      <c r="F115">
        <v>9.7143504874178013E-2</v>
      </c>
      <c r="G115">
        <v>2.4592566118656181</v>
      </c>
      <c r="H115">
        <v>1.853478773584905</v>
      </c>
      <c r="I115">
        <v>4.111562937339917</v>
      </c>
    </row>
    <row r="116" spans="1:9" x14ac:dyDescent="0.25">
      <c r="A116" s="1" t="s">
        <v>128</v>
      </c>
      <c r="B116" t="str">
        <f>HYPERLINK("https://www.suredividend.com/sure-analysis-research-database/","Angiodynamic Inc")</f>
        <v>Angiodynamic Inc</v>
      </c>
      <c r="C116">
        <v>-0.182561307901907</v>
      </c>
      <c r="D116">
        <v>-8.6757990867579002E-2</v>
      </c>
      <c r="E116">
        <v>-0.38080495356037097</v>
      </c>
      <c r="F116">
        <v>-0.23469387755102</v>
      </c>
      <c r="G116">
        <v>-0.56458635703918703</v>
      </c>
      <c r="H116">
        <v>-0.7328584149599281</v>
      </c>
      <c r="I116">
        <v>-0.71084337349397508</v>
      </c>
    </row>
    <row r="117" spans="1:9" x14ac:dyDescent="0.25">
      <c r="A117" s="1" t="s">
        <v>129</v>
      </c>
      <c r="B117" t="str">
        <f>HYPERLINK("https://www.suredividend.com/sure-analysis-research-database/","Anika Therapeutics Inc.")</f>
        <v>Anika Therapeutics Inc.</v>
      </c>
      <c r="C117">
        <v>-5.7752110173250014E-3</v>
      </c>
      <c r="D117">
        <v>0.19807280513918599</v>
      </c>
      <c r="E117">
        <v>-0.118203309692671</v>
      </c>
      <c r="F117">
        <v>-1.2356575463370999E-2</v>
      </c>
      <c r="G117">
        <v>-0.27806451612903199</v>
      </c>
      <c r="H117">
        <v>-0.34253819036427702</v>
      </c>
      <c r="I117">
        <v>-0.342731277533039</v>
      </c>
    </row>
    <row r="118" spans="1:9" x14ac:dyDescent="0.25">
      <c r="A118" s="1" t="s">
        <v>130</v>
      </c>
      <c r="B118" t="str">
        <f>HYPERLINK("https://www.suredividend.com/sure-analysis-research-database/","ANI Pharmaceuticals Inc")</f>
        <v>ANI Pharmaceuticals Inc</v>
      </c>
      <c r="C118">
        <v>7.8912340749191012E-2</v>
      </c>
      <c r="D118">
        <v>-1.5955601803676001E-2</v>
      </c>
      <c r="E118">
        <v>0.122453016815034</v>
      </c>
      <c r="F118">
        <v>2.9017047515415E-2</v>
      </c>
      <c r="G118">
        <v>0.29101251422070501</v>
      </c>
      <c r="H118">
        <v>0.33789200660221602</v>
      </c>
      <c r="I118">
        <v>7.0566037735849005E-2</v>
      </c>
    </row>
    <row r="119" spans="1:9" x14ac:dyDescent="0.25">
      <c r="A119" s="1" t="s">
        <v>131</v>
      </c>
      <c r="B119" t="str">
        <f>HYPERLINK("https://www.suredividend.com/sure-analysis-research-database/","AN2 Therapeutics Inc")</f>
        <v>AN2 Therapeutics Inc</v>
      </c>
      <c r="C119">
        <v>2.4031387935262001E-2</v>
      </c>
      <c r="D119">
        <v>0.5</v>
      </c>
      <c r="E119">
        <v>1.694193548387096</v>
      </c>
      <c r="F119">
        <v>1.9033674963395999E-2</v>
      </c>
      <c r="G119">
        <v>0.95872420262664104</v>
      </c>
      <c r="H119">
        <v>0.35584415584415502</v>
      </c>
      <c r="I119">
        <v>0.35584415584415502</v>
      </c>
    </row>
    <row r="120" spans="1:9" x14ac:dyDescent="0.25">
      <c r="A120" s="1" t="s">
        <v>132</v>
      </c>
      <c r="B120" t="str">
        <f>HYPERLINK("https://www.suredividend.com/sure-analysis-research-database/","Angel Oak Mortgage REIT Inc")</f>
        <v>Angel Oak Mortgage REIT Inc</v>
      </c>
      <c r="C120">
        <v>-1.6083254493850001E-2</v>
      </c>
      <c r="D120">
        <v>0.33261577099510498</v>
      </c>
      <c r="E120">
        <v>0.27925999729387302</v>
      </c>
      <c r="F120">
        <v>-1.8867924528301001E-2</v>
      </c>
      <c r="G120">
        <v>0.57230327311210205</v>
      </c>
      <c r="H120">
        <v>-0.20571275823881999</v>
      </c>
      <c r="I120">
        <v>-0.24669341870807901</v>
      </c>
    </row>
    <row r="121" spans="1:9" x14ac:dyDescent="0.25">
      <c r="A121" s="1" t="s">
        <v>133</v>
      </c>
      <c r="B121" t="str">
        <f>HYPERLINK("https://www.suredividend.com/sure-analysis-research-database/","Artivion Inc")</f>
        <v>Artivion Inc</v>
      </c>
      <c r="C121">
        <v>-6.4970221981590004E-3</v>
      </c>
      <c r="D121">
        <v>0.36838180462341502</v>
      </c>
      <c r="E121">
        <v>0.16804583068109399</v>
      </c>
      <c r="F121">
        <v>2.6286353467560999E-2</v>
      </c>
      <c r="G121">
        <v>0.43583724569639998</v>
      </c>
      <c r="H121">
        <v>-1.5557939914163E-2</v>
      </c>
      <c r="I121">
        <v>-0.32635829662261301</v>
      </c>
    </row>
    <row r="122" spans="1:9" x14ac:dyDescent="0.25">
      <c r="A122" s="1" t="s">
        <v>134</v>
      </c>
      <c r="B122" t="str">
        <f>HYPERLINK("https://www.suredividend.com/sure-analysis-research-database/","Alpha &amp; Omega Semiconductor Ltd")</f>
        <v>Alpha &amp; Omega Semiconductor Ltd</v>
      </c>
      <c r="C122">
        <v>8.3196721311475E-2</v>
      </c>
      <c r="D122">
        <v>-3.4344172451589002E-2</v>
      </c>
      <c r="E122">
        <v>-0.189263803680981</v>
      </c>
      <c r="F122">
        <v>1.4198004604758001E-2</v>
      </c>
      <c r="G122">
        <v>-0.158012105766167</v>
      </c>
      <c r="H122">
        <v>-0.46573681018799201</v>
      </c>
      <c r="I122">
        <v>1.4563197026022301</v>
      </c>
    </row>
    <row r="123" spans="1:9" x14ac:dyDescent="0.25">
      <c r="A123" s="1" t="s">
        <v>135</v>
      </c>
      <c r="B123" t="str">
        <f>HYPERLINK("https://www.suredividend.com/sure-analysis-APAM/","Artisan Partners Asset Management Inc")</f>
        <v>Artisan Partners Asset Management Inc</v>
      </c>
      <c r="C123">
        <v>3.0199707744763001E-2</v>
      </c>
      <c r="D123">
        <v>0.212298380163015</v>
      </c>
      <c r="E123">
        <v>4.7475657953385E-2</v>
      </c>
      <c r="F123">
        <v>-4.2553191489361E-2</v>
      </c>
      <c r="G123">
        <v>0.28969312621004001</v>
      </c>
      <c r="H123">
        <v>5.0013404426439013E-2</v>
      </c>
      <c r="I123">
        <v>1.8124439007200639</v>
      </c>
    </row>
    <row r="124" spans="1:9" x14ac:dyDescent="0.25">
      <c r="A124" s="1" t="s">
        <v>136</v>
      </c>
      <c r="B124" t="str">
        <f>HYPERLINK("https://www.suredividend.com/sure-analysis-research-database/","American Public Education Inc")</f>
        <v>American Public Education Inc</v>
      </c>
      <c r="C124">
        <v>0.19278350515463899</v>
      </c>
      <c r="D124">
        <v>1.623582766439909</v>
      </c>
      <c r="E124">
        <v>1.5097613882863341</v>
      </c>
      <c r="F124">
        <v>0.19896373056994801</v>
      </c>
      <c r="G124">
        <v>-9.467918622848101E-2</v>
      </c>
      <c r="H124">
        <v>-0.48577777777777698</v>
      </c>
      <c r="I124">
        <v>-0.609649122807017</v>
      </c>
    </row>
    <row r="125" spans="1:9" x14ac:dyDescent="0.25">
      <c r="A125" s="1" t="s">
        <v>137</v>
      </c>
      <c r="B125" t="str">
        <f>HYPERLINK("https://www.suredividend.com/sure-analysis-research-database/","APi Group Corporation")</f>
        <v>APi Group Corporation</v>
      </c>
      <c r="C125">
        <v>-1.8991282689912001E-2</v>
      </c>
      <c r="D125">
        <v>0.227981293842556</v>
      </c>
      <c r="E125">
        <v>0.111856033874382</v>
      </c>
      <c r="F125">
        <v>-8.9306358381502013E-2</v>
      </c>
      <c r="G125">
        <v>0.52148720424915507</v>
      </c>
      <c r="H125">
        <v>0.27570850202429098</v>
      </c>
      <c r="I125">
        <v>2.029807692307692</v>
      </c>
    </row>
    <row r="126" spans="1:9" x14ac:dyDescent="0.25">
      <c r="A126" s="1" t="s">
        <v>138</v>
      </c>
      <c r="B126" t="str">
        <f>HYPERLINK("https://www.suredividend.com/sure-analysis-research-database/","Applied Digital Corporation")</f>
        <v>Applied Digital Corporation</v>
      </c>
      <c r="C126">
        <v>0.21001615508885199</v>
      </c>
      <c r="D126">
        <v>0.46003898635477503</v>
      </c>
      <c r="E126">
        <v>-7.4165636588380005E-2</v>
      </c>
      <c r="F126">
        <v>0.111275964391691</v>
      </c>
      <c r="G126">
        <v>2.5</v>
      </c>
      <c r="H126">
        <v>1497</v>
      </c>
      <c r="I126">
        <v>1497</v>
      </c>
    </row>
    <row r="127" spans="1:9" x14ac:dyDescent="0.25">
      <c r="A127" s="1" t="s">
        <v>139</v>
      </c>
      <c r="B127" t="str">
        <f>HYPERLINK("https://www.suredividend.com/sure-analysis-APLE/","Apple Hospitality REIT Inc")</f>
        <v>Apple Hospitality REIT Inc</v>
      </c>
      <c r="C127">
        <v>-3.6260268277972997E-2</v>
      </c>
      <c r="D127">
        <v>6.8241554985884009E-2</v>
      </c>
      <c r="E127">
        <v>9.9334121434343003E-2</v>
      </c>
      <c r="F127">
        <v>-9.0307043949420015E-3</v>
      </c>
      <c r="G127">
        <v>6.1928632718498001E-2</v>
      </c>
      <c r="H127">
        <v>9.1982618502670005E-2</v>
      </c>
      <c r="I127">
        <v>0.28936236879210397</v>
      </c>
    </row>
    <row r="128" spans="1:9" x14ac:dyDescent="0.25">
      <c r="A128" s="1" t="s">
        <v>140</v>
      </c>
      <c r="B128" t="str">
        <f>HYPERLINK("https://www.suredividend.com/sure-analysis-research-database/","Apellis Pharmaceuticals Inc")</f>
        <v>Apellis Pharmaceuticals Inc</v>
      </c>
      <c r="C128">
        <v>0.11688931297709899</v>
      </c>
      <c r="D128">
        <v>0.44983484723369099</v>
      </c>
      <c r="E128">
        <v>-0.18318213538032099</v>
      </c>
      <c r="F128">
        <v>0.173237554293351</v>
      </c>
      <c r="G128">
        <v>0.33618721461187201</v>
      </c>
      <c r="H128">
        <v>0.72132352941176503</v>
      </c>
      <c r="I128">
        <v>3.6913827655310629</v>
      </c>
    </row>
    <row r="129" spans="1:9" x14ac:dyDescent="0.25">
      <c r="A129" s="1" t="s">
        <v>141</v>
      </c>
      <c r="B129" t="str">
        <f>HYPERLINK("https://www.suredividend.com/sure-analysis-APOG/","Apogee Enterprises Inc.")</f>
        <v>Apogee Enterprises Inc.</v>
      </c>
      <c r="C129">
        <v>6.5956163281721006E-2</v>
      </c>
      <c r="D129">
        <v>0.19738702638723801</v>
      </c>
      <c r="E129">
        <v>0.120096014266908</v>
      </c>
      <c r="F129">
        <v>-7.4892342258000002E-3</v>
      </c>
      <c r="G129">
        <v>0.183916953842649</v>
      </c>
      <c r="H129">
        <v>0.12793233682642599</v>
      </c>
      <c r="I129">
        <v>0.84129630594487503</v>
      </c>
    </row>
    <row r="130" spans="1:9" x14ac:dyDescent="0.25">
      <c r="A130" s="1" t="s">
        <v>142</v>
      </c>
      <c r="B130" t="str">
        <f>HYPERLINK("https://www.suredividend.com/sure-analysis-research-database/","Appfolio Inc")</f>
        <v>Appfolio Inc</v>
      </c>
      <c r="C130">
        <v>-1.227295041728E-2</v>
      </c>
      <c r="D130">
        <v>2.2693308241540002E-3</v>
      </c>
      <c r="E130">
        <v>-2.7862779835721999E-2</v>
      </c>
      <c r="F130">
        <v>4.5255137381666012E-2</v>
      </c>
      <c r="G130">
        <v>0.51417342587172798</v>
      </c>
      <c r="H130">
        <v>0.55660620648156101</v>
      </c>
      <c r="I130">
        <v>1.956890920966688</v>
      </c>
    </row>
    <row r="131" spans="1:9" x14ac:dyDescent="0.25">
      <c r="A131" s="1" t="s">
        <v>143</v>
      </c>
      <c r="B131" t="str">
        <f>HYPERLINK("https://www.suredividend.com/sure-analysis-research-database/","AppHarvest Inc")</f>
        <v>AppHarvest Inc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1" t="s">
        <v>144</v>
      </c>
      <c r="B132" t="str">
        <f>HYPERLINK("https://www.suredividend.com/sure-analysis-research-database/","Appian Corp")</f>
        <v>Appian Corp</v>
      </c>
      <c r="C132">
        <v>-8.5210312075983008E-2</v>
      </c>
      <c r="D132">
        <v>-0.18318391083111199</v>
      </c>
      <c r="E132">
        <v>-0.34960447617210111</v>
      </c>
      <c r="F132">
        <v>-0.104885820499203</v>
      </c>
      <c r="G132">
        <v>-4.9083215796897013E-2</v>
      </c>
      <c r="H132">
        <v>-0.38507843852608498</v>
      </c>
      <c r="I132">
        <v>8.9880375040413005E-2</v>
      </c>
    </row>
    <row r="133" spans="1:9" x14ac:dyDescent="0.25">
      <c r="A133" s="1" t="s">
        <v>145</v>
      </c>
      <c r="B133" t="str">
        <f>HYPERLINK("https://www.suredividend.com/sure-analysis-research-database/","Digital Turbine Inc")</f>
        <v>Digital Turbine Inc</v>
      </c>
      <c r="C133">
        <v>-0.134020618556701</v>
      </c>
      <c r="D133">
        <v>9.9065420560747006E-2</v>
      </c>
      <c r="E133">
        <v>-0.47406082289803197</v>
      </c>
      <c r="F133">
        <v>-0.14285714285714199</v>
      </c>
      <c r="G133">
        <v>-0.651038575667655</v>
      </c>
      <c r="H133">
        <v>-0.88225871045254312</v>
      </c>
      <c r="I133">
        <v>1.6606334841628949</v>
      </c>
    </row>
    <row r="134" spans="1:9" x14ac:dyDescent="0.25">
      <c r="A134" s="1" t="s">
        <v>146</v>
      </c>
      <c r="B134" t="str">
        <f>HYPERLINK("https://www.suredividend.com/sure-analysis-research-database/","ArcBest Corp")</f>
        <v>ArcBest Corp</v>
      </c>
      <c r="C134">
        <v>7.4813194824129001E-2</v>
      </c>
      <c r="D134">
        <v>0.23242527083054601</v>
      </c>
      <c r="E134">
        <v>0.22382828428509</v>
      </c>
      <c r="F134">
        <v>-1.8800432576324001E-2</v>
      </c>
      <c r="G134">
        <v>0.52251895242434809</v>
      </c>
      <c r="H134">
        <v>0.30684411825969798</v>
      </c>
      <c r="I134">
        <v>2.1373602551382751</v>
      </c>
    </row>
    <row r="135" spans="1:9" x14ac:dyDescent="0.25">
      <c r="A135" s="1" t="s">
        <v>147</v>
      </c>
      <c r="B135" t="str">
        <f>HYPERLINK("https://www.suredividend.com/sure-analysis-research-database/","Arch Resources Inc")</f>
        <v>Arch Resources Inc</v>
      </c>
      <c r="C135">
        <v>8.245001586797801E-2</v>
      </c>
      <c r="D135">
        <v>0.103961677887105</v>
      </c>
      <c r="E135">
        <v>0.50284901540213101</v>
      </c>
      <c r="F135">
        <v>2.7720862962516E-2</v>
      </c>
      <c r="G135">
        <v>0.234316815702906</v>
      </c>
      <c r="H135">
        <v>0.78146313131787903</v>
      </c>
      <c r="I135">
        <v>1.079461929775787</v>
      </c>
    </row>
    <row r="136" spans="1:9" x14ac:dyDescent="0.25">
      <c r="A136" s="1" t="s">
        <v>148</v>
      </c>
      <c r="B136" t="str">
        <f>HYPERLINK("https://www.suredividend.com/sure-analysis-research-database/","Arcturus Therapeutics Holdings Inc")</f>
        <v>Arcturus Therapeutics Holdings Inc</v>
      </c>
      <c r="C136">
        <v>0.27745664739884401</v>
      </c>
      <c r="D136">
        <v>0.44633507853403098</v>
      </c>
      <c r="E136">
        <v>7.5949367088607E-2</v>
      </c>
      <c r="F136">
        <v>5.1379638439581002E-2</v>
      </c>
      <c r="G136">
        <v>0.66750503018108609</v>
      </c>
      <c r="H136">
        <v>6.2159564242229008E-2</v>
      </c>
      <c r="I136">
        <v>3.776657060518732</v>
      </c>
    </row>
    <row r="137" spans="1:9" x14ac:dyDescent="0.25">
      <c r="A137" s="1" t="s">
        <v>149</v>
      </c>
      <c r="B137" t="str">
        <f>HYPERLINK("https://www.suredividend.com/sure-analysis-research-database/","Arena Group Holdings Inc (The)")</f>
        <v>Arena Group Holdings Inc (The)</v>
      </c>
      <c r="C137">
        <v>-0.48828125</v>
      </c>
      <c r="D137">
        <v>-0.69675925925925908</v>
      </c>
      <c r="E137">
        <v>-0.70227272727272705</v>
      </c>
      <c r="F137">
        <v>-0.44957983193277301</v>
      </c>
      <c r="G137">
        <v>-0.8436754176610971</v>
      </c>
      <c r="H137">
        <v>4.954545454545455</v>
      </c>
      <c r="I137">
        <v>4.954545454545455</v>
      </c>
    </row>
    <row r="138" spans="1:9" x14ac:dyDescent="0.25">
      <c r="A138" s="1" t="s">
        <v>150</v>
      </c>
      <c r="B138" t="str">
        <f>HYPERLINK("https://www.suredividend.com/sure-analysis-research-database/","Argo Group International Holdings Ltd")</f>
        <v>Argo Group International Holdings Ltd</v>
      </c>
      <c r="C138">
        <v>9.0847913862710013E-3</v>
      </c>
      <c r="D138">
        <v>9.7643097643090003E-3</v>
      </c>
      <c r="E138">
        <v>2.2851296043655999E-2</v>
      </c>
      <c r="F138">
        <v>0.16015473887814299</v>
      </c>
      <c r="G138">
        <v>0.16993056097370601</v>
      </c>
      <c r="H138">
        <v>-0.46999901033493002</v>
      </c>
      <c r="I138">
        <v>-0.50032989223520308</v>
      </c>
    </row>
    <row r="139" spans="1:9" x14ac:dyDescent="0.25">
      <c r="A139" s="1" t="s">
        <v>151</v>
      </c>
      <c r="B139" t="str">
        <f>HYPERLINK("https://www.suredividend.com/sure-analysis-ARI/","Apollo Commercial Real Estate Finance Inc")</f>
        <v>Apollo Commercial Real Estate Finance Inc</v>
      </c>
      <c r="C139">
        <v>1.5496951774733999E-2</v>
      </c>
      <c r="D139">
        <v>0.19363124847100999</v>
      </c>
      <c r="E139">
        <v>6.9211102994886003E-2</v>
      </c>
      <c r="F139">
        <v>-2.5553662691650001E-3</v>
      </c>
      <c r="G139">
        <v>0.137787969179646</v>
      </c>
      <c r="H139">
        <v>8.8552996077118001E-2</v>
      </c>
      <c r="I139">
        <v>0.228725525172609</v>
      </c>
    </row>
    <row r="140" spans="1:9" x14ac:dyDescent="0.25">
      <c r="A140" s="1" t="s">
        <v>152</v>
      </c>
      <c r="B140" t="str">
        <f>HYPERLINK("https://www.suredividend.com/sure-analysis-research-database/","Aris Water Solutions Inc")</f>
        <v>Aris Water Solutions Inc</v>
      </c>
      <c r="C140">
        <v>1.0012515644554999E-2</v>
      </c>
      <c r="D140">
        <v>-0.102824934129339</v>
      </c>
      <c r="E140">
        <v>-0.240734991108978</v>
      </c>
      <c r="F140">
        <v>-3.8140643623360997E-2</v>
      </c>
      <c r="G140">
        <v>-0.44758566871568811</v>
      </c>
      <c r="H140">
        <v>-0.32469184358289799</v>
      </c>
      <c r="I140">
        <v>-0.39659491105943501</v>
      </c>
    </row>
    <row r="141" spans="1:9" x14ac:dyDescent="0.25">
      <c r="A141" s="1" t="s">
        <v>153</v>
      </c>
      <c r="B141" t="str">
        <f>HYPERLINK("https://www.suredividend.com/sure-analysis-research-database/","ARKO Corp")</f>
        <v>ARKO Corp</v>
      </c>
      <c r="C141">
        <v>3.7499999999989998E-3</v>
      </c>
      <c r="D141">
        <v>6.3872070377190004E-2</v>
      </c>
      <c r="E141">
        <v>-5.7252383441600007E-4</v>
      </c>
      <c r="F141">
        <v>-2.6666666666665999E-2</v>
      </c>
      <c r="G141">
        <v>-3.3182431130803013E-2</v>
      </c>
      <c r="H141">
        <v>-5.5727372146897013E-2</v>
      </c>
      <c r="I141">
        <v>-0.18888888888888899</v>
      </c>
    </row>
    <row r="142" spans="1:9" x14ac:dyDescent="0.25">
      <c r="A142" s="1" t="s">
        <v>154</v>
      </c>
      <c r="B142" t="str">
        <f>HYPERLINK("https://www.suredividend.com/sure-analysis-research-database/","American Realty Investors Inc.")</f>
        <v>American Realty Investors Inc.</v>
      </c>
      <c r="C142">
        <v>0.32040050062578201</v>
      </c>
      <c r="D142">
        <v>0.43537414965986398</v>
      </c>
      <c r="E142">
        <v>7.2154471544715007E-2</v>
      </c>
      <c r="F142">
        <v>0.211947156806433</v>
      </c>
      <c r="G142">
        <v>3.8897095027079998E-2</v>
      </c>
      <c r="H142">
        <v>0.6394716394716391</v>
      </c>
      <c r="I142">
        <v>0.75979983319432809</v>
      </c>
    </row>
    <row r="143" spans="1:9" x14ac:dyDescent="0.25">
      <c r="A143" s="1" t="s">
        <v>155</v>
      </c>
      <c r="B143" t="str">
        <f>HYPERLINK("https://www.suredividend.com/sure-analysis-research-database/","Arlo Technologies Inc")</f>
        <v>Arlo Technologies Inc</v>
      </c>
      <c r="C143">
        <v>-9.0539165818921005E-2</v>
      </c>
      <c r="D143">
        <v>5.9241706161136998E-2</v>
      </c>
      <c r="E143">
        <v>-0.20035778175312999</v>
      </c>
      <c r="F143">
        <v>-6.0924369747899013E-2</v>
      </c>
      <c r="G143">
        <v>1.2748091603053431</v>
      </c>
      <c r="H143">
        <v>-8.1192189105858001E-2</v>
      </c>
      <c r="I143">
        <v>0.13164556962025201</v>
      </c>
    </row>
    <row r="144" spans="1:9" x14ac:dyDescent="0.25">
      <c r="A144" s="1" t="s">
        <v>156</v>
      </c>
      <c r="B144" t="str">
        <f>HYPERLINK("https://www.suredividend.com/sure-analysis-research-database/","Arconic Corporation")</f>
        <v>Arconic Corporation</v>
      </c>
      <c r="C144">
        <v>8.4061869535970012E-3</v>
      </c>
      <c r="D144">
        <v>3.951473136915E-2</v>
      </c>
      <c r="E144">
        <v>0.24336650082918701</v>
      </c>
      <c r="F144">
        <v>0.41729678638941298</v>
      </c>
      <c r="G144">
        <v>9.6927578639356013E-2</v>
      </c>
      <c r="H144">
        <v>-0.14582739960125299</v>
      </c>
      <c r="I144">
        <v>3.3338150289017339</v>
      </c>
    </row>
    <row r="145" spans="1:9" x14ac:dyDescent="0.25">
      <c r="A145" s="1" t="s">
        <v>157</v>
      </c>
      <c r="B145" t="str">
        <f>HYPERLINK("https://www.suredividend.com/sure-analysis-research-database/","Archrock Inc")</f>
        <v>Archrock Inc</v>
      </c>
      <c r="C145">
        <v>-4.7554347826080003E-3</v>
      </c>
      <c r="D145">
        <v>0.14370920900602599</v>
      </c>
      <c r="E145">
        <v>0.45836444178985603</v>
      </c>
      <c r="F145">
        <v>-4.8701298701298003E-2</v>
      </c>
      <c r="G145">
        <v>0.62213634803405904</v>
      </c>
      <c r="H145">
        <v>0.96557229683495904</v>
      </c>
      <c r="I145">
        <v>1.129329515559367</v>
      </c>
    </row>
    <row r="146" spans="1:9" x14ac:dyDescent="0.25">
      <c r="A146" s="1" t="s">
        <v>158</v>
      </c>
      <c r="B146" t="str">
        <f>HYPERLINK("https://www.suredividend.com/sure-analysis-AROW/","Arrow Financial Corp.")</f>
        <v>Arrow Financial Corp.</v>
      </c>
      <c r="C146">
        <v>-8.2543027748507011E-2</v>
      </c>
      <c r="D146">
        <v>0.49552830167073098</v>
      </c>
      <c r="E146">
        <v>0.377586270549083</v>
      </c>
      <c r="F146">
        <v>-6.5139584824624008E-2</v>
      </c>
      <c r="G146">
        <v>-0.139983207941655</v>
      </c>
      <c r="H146">
        <v>-0.14163090128755301</v>
      </c>
      <c r="I146">
        <v>0.132834862862793</v>
      </c>
    </row>
    <row r="147" spans="1:9" x14ac:dyDescent="0.25">
      <c r="A147" s="1" t="s">
        <v>159</v>
      </c>
      <c r="B147" t="str">
        <f>HYPERLINK("https://www.suredividend.com/sure-analysis-research-database/","Arcutis Biotherapeutics Inc")</f>
        <v>Arcutis Biotherapeutics Inc</v>
      </c>
      <c r="C147">
        <v>0.52941176470588203</v>
      </c>
      <c r="D147">
        <v>-6.1855670103092002E-2</v>
      </c>
      <c r="E147">
        <v>-0.61235356762513304</v>
      </c>
      <c r="F147">
        <v>0.126934984520123</v>
      </c>
      <c r="G147">
        <v>-0.7422096317280451</v>
      </c>
      <c r="H147">
        <v>-0.78512396694214803</v>
      </c>
      <c r="I147">
        <v>-0.83302752293577909</v>
      </c>
    </row>
    <row r="148" spans="1:9" x14ac:dyDescent="0.25">
      <c r="A148" s="1" t="s">
        <v>160</v>
      </c>
      <c r="B148" t="str">
        <f>HYPERLINK("https://www.suredividend.com/sure-analysis-ARR/","ARMOUR Residential REIT Inc")</f>
        <v>ARMOUR Residential REIT Inc</v>
      </c>
      <c r="C148">
        <v>3.1062113807582999E-2</v>
      </c>
      <c r="D148">
        <v>0.151793457068193</v>
      </c>
      <c r="E148">
        <v>-0.14323069996190199</v>
      </c>
      <c r="F148">
        <v>3.6934571995954013E-2</v>
      </c>
      <c r="G148">
        <v>-0.201162532544856</v>
      </c>
      <c r="H148">
        <v>-0.41034678998036411</v>
      </c>
      <c r="I148">
        <v>-0.6208717841632071</v>
      </c>
    </row>
    <row r="149" spans="1:9" x14ac:dyDescent="0.25">
      <c r="A149" s="1" t="s">
        <v>161</v>
      </c>
      <c r="B149" t="str">
        <f>HYPERLINK("https://www.suredividend.com/sure-analysis-research-database/","Array Technologies Inc")</f>
        <v>Array Technologies Inc</v>
      </c>
      <c r="C149">
        <v>-0.23035230352303501</v>
      </c>
      <c r="D149">
        <v>-0.26954732510287999</v>
      </c>
      <c r="E149">
        <v>-0.31400966183574802</v>
      </c>
      <c r="F149">
        <v>-0.15476190476190399</v>
      </c>
      <c r="G149">
        <v>-0.39497230507030201</v>
      </c>
      <c r="H149">
        <v>5.4194506310319003E-2</v>
      </c>
      <c r="I149">
        <v>-0.61042524005486909</v>
      </c>
    </row>
    <row r="150" spans="1:9" x14ac:dyDescent="0.25">
      <c r="A150" s="1" t="s">
        <v>162</v>
      </c>
      <c r="B150" t="str">
        <f>HYPERLINK("https://www.suredividend.com/sure-analysis-ARTNA/","Artesian Resources Corp.")</f>
        <v>Artesian Resources Corp.</v>
      </c>
      <c r="C150">
        <v>-0.13923477473398199</v>
      </c>
      <c r="D150">
        <v>-5.6783985670658003E-2</v>
      </c>
      <c r="E150">
        <v>-0.20282805240116</v>
      </c>
      <c r="F150">
        <v>-8.2750301568154008E-2</v>
      </c>
      <c r="G150">
        <v>-0.35014212436180697</v>
      </c>
      <c r="H150">
        <v>-9.882577140229501E-2</v>
      </c>
      <c r="I150">
        <v>0.27718468453336698</v>
      </c>
    </row>
    <row r="151" spans="1:9" x14ac:dyDescent="0.25">
      <c r="A151" s="1" t="s">
        <v>163</v>
      </c>
      <c r="B151" t="str">
        <f>HYPERLINK("https://www.suredividend.com/sure-analysis-research-database/","Arvinas Inc")</f>
        <v>Arvinas Inc</v>
      </c>
      <c r="C151">
        <v>0.13982926111274599</v>
      </c>
      <c r="D151">
        <v>1.2992874109263659</v>
      </c>
      <c r="E151">
        <v>0.5720665854648801</v>
      </c>
      <c r="F151">
        <v>-5.9280855199222007E-2</v>
      </c>
      <c r="G151">
        <v>0.15582089552238801</v>
      </c>
      <c r="H151">
        <v>-0.40467404674046697</v>
      </c>
      <c r="I151">
        <v>1.3509411050394651</v>
      </c>
    </row>
    <row r="152" spans="1:9" x14ac:dyDescent="0.25">
      <c r="A152" s="1" t="s">
        <v>164</v>
      </c>
      <c r="B152" t="str">
        <f>HYPERLINK("https://www.suredividend.com/sure-analysis-research-database/","Arrowhead Pharmaceuticals Inc.")</f>
        <v>Arrowhead Pharmaceuticals Inc.</v>
      </c>
      <c r="C152">
        <v>0.35427509293680298</v>
      </c>
      <c r="D152">
        <v>0.36954887218045002</v>
      </c>
      <c r="E152">
        <v>5.6248187880543997E-2</v>
      </c>
      <c r="F152">
        <v>0.19052287581699301</v>
      </c>
      <c r="G152">
        <v>-1.059206952743E-2</v>
      </c>
      <c r="H152">
        <v>-0.36731503994442499</v>
      </c>
      <c r="I152">
        <v>1.449899125756557</v>
      </c>
    </row>
    <row r="153" spans="1:9" x14ac:dyDescent="0.25">
      <c r="A153" s="1" t="s">
        <v>165</v>
      </c>
      <c r="B153" t="str">
        <f>HYPERLINK("https://www.suredividend.com/sure-analysis-research-database/","Asana Inc")</f>
        <v>Asana Inc</v>
      </c>
      <c r="C153">
        <v>-6.7269076305220998E-2</v>
      </c>
      <c r="D153">
        <v>5.6882821387940007E-2</v>
      </c>
      <c r="E153">
        <v>-0.218342448464451</v>
      </c>
      <c r="F153">
        <v>-2.2619673855865E-2</v>
      </c>
      <c r="G153">
        <v>0.296580600139567</v>
      </c>
      <c r="H153">
        <v>-0.6983766233766231</v>
      </c>
      <c r="I153">
        <v>-0.35486111111111102</v>
      </c>
    </row>
    <row r="154" spans="1:9" x14ac:dyDescent="0.25">
      <c r="A154" s="1" t="s">
        <v>166</v>
      </c>
      <c r="B154" t="str">
        <f>HYPERLINK("https://www.suredividend.com/sure-analysis-ASB/","Associated Banc-Corp.")</f>
        <v>Associated Banc-Corp.</v>
      </c>
      <c r="C154">
        <v>3.1034482758619999E-2</v>
      </c>
      <c r="D154">
        <v>0.324473975636766</v>
      </c>
      <c r="E154">
        <v>0.219718293443358</v>
      </c>
      <c r="F154">
        <v>-2.1505376344085999E-2</v>
      </c>
      <c r="G154">
        <v>-5.6846089719036007E-2</v>
      </c>
      <c r="H154">
        <v>-9.482497642998601E-2</v>
      </c>
      <c r="I154">
        <v>0.25198894564944302</v>
      </c>
    </row>
    <row r="155" spans="1:9" x14ac:dyDescent="0.25">
      <c r="A155" s="1" t="s">
        <v>167</v>
      </c>
      <c r="B155" t="str">
        <f>HYPERLINK("https://www.suredividend.com/sure-analysis-research-database/","Ardmore Shipping Corp")</f>
        <v>Ardmore Shipping Corp</v>
      </c>
      <c r="C155">
        <v>0.105804555473916</v>
      </c>
      <c r="D155">
        <v>0.15825361521352599</v>
      </c>
      <c r="E155">
        <v>0.252746886861557</v>
      </c>
      <c r="F155">
        <v>6.8133427963094004E-2</v>
      </c>
      <c r="G155">
        <v>0.15508891498392</v>
      </c>
      <c r="H155">
        <v>3.7070966127670228</v>
      </c>
      <c r="I155">
        <v>2.1700895208004218</v>
      </c>
    </row>
    <row r="156" spans="1:9" x14ac:dyDescent="0.25">
      <c r="A156" s="1" t="s">
        <v>168</v>
      </c>
      <c r="B156" t="str">
        <f>HYPERLINK("https://www.suredividend.com/sure-analysis-research-database/","ASGN Inc")</f>
        <v>ASGN Inc</v>
      </c>
      <c r="C156">
        <v>-2.4718126626192001E-2</v>
      </c>
      <c r="D156">
        <v>9.3738601823708009E-2</v>
      </c>
      <c r="E156">
        <v>0.132997481108312</v>
      </c>
      <c r="F156">
        <v>-6.4573151710512006E-2</v>
      </c>
      <c r="G156">
        <v>3.6286142149521E-2</v>
      </c>
      <c r="H156">
        <v>-0.23911020891482701</v>
      </c>
      <c r="I156">
        <v>0.49460043196544201</v>
      </c>
    </row>
    <row r="157" spans="1:9" x14ac:dyDescent="0.25">
      <c r="A157" s="1" t="s">
        <v>169</v>
      </c>
      <c r="B157" t="str">
        <f>HYPERLINK("https://www.suredividend.com/sure-analysis-research-database/","AdvanSix Inc")</f>
        <v>AdvanSix Inc</v>
      </c>
      <c r="C157">
        <v>-6.5614915740408009E-2</v>
      </c>
      <c r="D157">
        <v>-8.8897202012397009E-2</v>
      </c>
      <c r="E157">
        <v>-0.302928982212117</v>
      </c>
      <c r="F157">
        <v>-0.13017356475300401</v>
      </c>
      <c r="G157">
        <v>-0.38498572203997811</v>
      </c>
      <c r="H157">
        <v>-0.40936226536541998</v>
      </c>
      <c r="I157">
        <v>-2.5867224880382001E-2</v>
      </c>
    </row>
    <row r="158" spans="1:9" x14ac:dyDescent="0.25">
      <c r="A158" s="1" t="s">
        <v>170</v>
      </c>
      <c r="B158" t="str">
        <f>HYPERLINK("https://www.suredividend.com/sure-analysis-research-database/","AerSale Corp")</f>
        <v>AerSale Corp</v>
      </c>
      <c r="C158">
        <v>-0.248308525033829</v>
      </c>
      <c r="D158">
        <v>-0.28507078507078498</v>
      </c>
      <c r="E158">
        <v>-0.25336021505376299</v>
      </c>
      <c r="F158">
        <v>-0.124852304056715</v>
      </c>
      <c r="G158">
        <v>-0.35519442832269299</v>
      </c>
      <c r="H158">
        <v>-0.29728020240354203</v>
      </c>
      <c r="I158">
        <v>0.14772727272727201</v>
      </c>
    </row>
    <row r="159" spans="1:9" x14ac:dyDescent="0.25">
      <c r="A159" s="1" t="s">
        <v>171</v>
      </c>
      <c r="B159" t="str">
        <f>HYPERLINK("https://www.suredividend.com/sure-analysis-research-database/","Academy Sports and Outdoors Inc")</f>
        <v>Academy Sports and Outdoors Inc</v>
      </c>
      <c r="C159">
        <v>6.5191284954537007E-2</v>
      </c>
      <c r="D159">
        <v>0.44019224212115798</v>
      </c>
      <c r="E159">
        <v>9.102666153573101E-2</v>
      </c>
      <c r="F159">
        <v>-5.9242424242424013E-2</v>
      </c>
      <c r="G159">
        <v>0.126294040926793</v>
      </c>
      <c r="H159">
        <v>0.57687286986290909</v>
      </c>
      <c r="I159">
        <v>3.8629385964912282</v>
      </c>
    </row>
    <row r="160" spans="1:9" x14ac:dyDescent="0.25">
      <c r="A160" s="1" t="s">
        <v>172</v>
      </c>
      <c r="B160" t="str">
        <f>HYPERLINK("https://www.suredividend.com/sure-analysis-research-database/","Aspen Aerogels Inc.")</f>
        <v>Aspen Aerogels Inc.</v>
      </c>
      <c r="C160">
        <v>1.4328808446455E-2</v>
      </c>
      <c r="D160">
        <v>0.6165865384615381</v>
      </c>
      <c r="E160">
        <v>0.52321630804076902</v>
      </c>
      <c r="F160">
        <v>-0.14765525982256</v>
      </c>
      <c r="G160">
        <v>0.132154882154881</v>
      </c>
      <c r="H160">
        <v>-0.67042391570693405</v>
      </c>
      <c r="I160">
        <v>4.4453441295546554</v>
      </c>
    </row>
    <row r="161" spans="1:9" x14ac:dyDescent="0.25">
      <c r="A161" s="1" t="s">
        <v>173</v>
      </c>
      <c r="B161" t="str">
        <f>HYPERLINK("https://www.suredividend.com/sure-analysis-research-database/","Astec Industries Inc.")</f>
        <v>Astec Industries Inc.</v>
      </c>
      <c r="C161">
        <v>-1.2998266897746E-2</v>
      </c>
      <c r="D161">
        <v>-0.21614776887714299</v>
      </c>
      <c r="E161">
        <v>-0.24819639741522101</v>
      </c>
      <c r="F161">
        <v>-8.1451612903225001E-2</v>
      </c>
      <c r="G161">
        <v>-0.102539521617057</v>
      </c>
      <c r="H161">
        <v>-0.501992322199453</v>
      </c>
      <c r="I161">
        <v>-8.4213092204920015E-3</v>
      </c>
    </row>
    <row r="162" spans="1:9" x14ac:dyDescent="0.25">
      <c r="A162" s="1" t="s">
        <v>174</v>
      </c>
      <c r="B162" t="str">
        <f>HYPERLINK("https://www.suredividend.com/sure-analysis-research-database/","Astra Space Inc")</f>
        <v>Astra Space Inc</v>
      </c>
      <c r="C162">
        <v>0.30769230769230699</v>
      </c>
      <c r="D162">
        <v>1.334844114819393</v>
      </c>
      <c r="E162">
        <v>-0.71495640509725</v>
      </c>
      <c r="F162">
        <v>-0.25438596491227999</v>
      </c>
      <c r="G162">
        <v>-0.8139942009956781</v>
      </c>
      <c r="H162">
        <v>-0.9793187347931871</v>
      </c>
      <c r="I162">
        <v>-0.83000000000000007</v>
      </c>
    </row>
    <row r="163" spans="1:9" x14ac:dyDescent="0.25">
      <c r="A163" s="1" t="s">
        <v>175</v>
      </c>
      <c r="B163" t="str">
        <f>HYPERLINK("https://www.suredividend.com/sure-analysis-research-database/","Alphatec Holdings Inc")</f>
        <v>Alphatec Holdings Inc</v>
      </c>
      <c r="C163">
        <v>0.114925373134328</v>
      </c>
      <c r="D163">
        <v>0.33273862622658301</v>
      </c>
      <c r="E163">
        <v>-0.20531914893617001</v>
      </c>
      <c r="F163">
        <v>-1.1250827266709999E-2</v>
      </c>
      <c r="G163">
        <v>0.13785224676313701</v>
      </c>
      <c r="H163">
        <v>0.230642504118616</v>
      </c>
      <c r="I163">
        <v>6.6615384615384619</v>
      </c>
    </row>
    <row r="164" spans="1:9" x14ac:dyDescent="0.25">
      <c r="A164" s="1" t="s">
        <v>176</v>
      </c>
      <c r="B164" t="str">
        <f>HYPERLINK("https://www.suredividend.com/sure-analysis-research-database/","A10 Networks Inc")</f>
        <v>A10 Networks Inc</v>
      </c>
      <c r="C164">
        <v>2.9635258358662001E-2</v>
      </c>
      <c r="D164">
        <v>0.248111712906672</v>
      </c>
      <c r="E164">
        <v>-6.4278216673111011E-2</v>
      </c>
      <c r="F164">
        <v>2.8853454821564001E-2</v>
      </c>
      <c r="G164">
        <v>-0.12861736334405099</v>
      </c>
      <c r="H164">
        <v>-2.7356059464075998E-2</v>
      </c>
      <c r="I164">
        <v>1.09243788316321</v>
      </c>
    </row>
    <row r="165" spans="1:9" x14ac:dyDescent="0.25">
      <c r="A165" s="1" t="s">
        <v>177</v>
      </c>
      <c r="B165" t="str">
        <f>HYPERLINK("https://www.suredividend.com/sure-analysis-research-database/","Aterian Inc")</f>
        <v>Aterian Inc</v>
      </c>
      <c r="C165">
        <v>1.7592273197653999E-2</v>
      </c>
      <c r="D165">
        <v>-2.5115664243224999E-2</v>
      </c>
      <c r="E165">
        <v>-0.53448003787281007</v>
      </c>
      <c r="F165">
        <v>-0.15351506456240999</v>
      </c>
      <c r="G165">
        <v>-0.69534235257668009</v>
      </c>
      <c r="H165">
        <v>-0.92317708333333304</v>
      </c>
      <c r="I165">
        <v>-0.97050000000000003</v>
      </c>
    </row>
    <row r="166" spans="1:9" x14ac:dyDescent="0.25">
      <c r="A166" s="1" t="s">
        <v>178</v>
      </c>
      <c r="B166" t="str">
        <f>HYPERLINK("https://www.suredividend.com/sure-analysis-research-database/","Anterix Inc")</f>
        <v>Anterix Inc</v>
      </c>
      <c r="C166">
        <v>-0.14981695297099301</v>
      </c>
      <c r="D166">
        <v>-4.3409378960708997E-2</v>
      </c>
      <c r="E166">
        <v>-2.2344559585491999E-2</v>
      </c>
      <c r="F166">
        <v>-9.3937575030012002E-2</v>
      </c>
      <c r="G166">
        <v>-0.17423413566739601</v>
      </c>
      <c r="H166">
        <v>-0.44102943899277902</v>
      </c>
      <c r="I166">
        <v>-0.23954659949622101</v>
      </c>
    </row>
    <row r="167" spans="1:9" x14ac:dyDescent="0.25">
      <c r="A167" s="1" t="s">
        <v>179</v>
      </c>
      <c r="B167" t="str">
        <f>HYPERLINK("https://www.suredividend.com/sure-analysis-research-database/","Adtalem Global Education Inc")</f>
        <v>Adtalem Global Education Inc</v>
      </c>
      <c r="C167">
        <v>-4.5846203869288997E-2</v>
      </c>
      <c r="D167">
        <v>0.32154920063048797</v>
      </c>
      <c r="E167">
        <v>0.53840104849279102</v>
      </c>
      <c r="F167">
        <v>-4.4105173876160001E-3</v>
      </c>
      <c r="G167">
        <v>0.57261521972132901</v>
      </c>
      <c r="H167">
        <v>0.99490142760027112</v>
      </c>
      <c r="I167">
        <v>0.238969812117373</v>
      </c>
    </row>
    <row r="168" spans="1:9" x14ac:dyDescent="0.25">
      <c r="A168" s="1" t="s">
        <v>180</v>
      </c>
      <c r="B168" t="str">
        <f>HYPERLINK("https://www.suredividend.com/sure-analysis-research-database/","Athira Pharma Inc")</f>
        <v>Athira Pharma Inc</v>
      </c>
      <c r="C168">
        <v>0.33333333333333298</v>
      </c>
      <c r="D168">
        <v>0.67597765363128404</v>
      </c>
      <c r="E168">
        <v>2.0408163265305999E-2</v>
      </c>
      <c r="F168">
        <v>0.234567901234567</v>
      </c>
      <c r="G168">
        <v>-0.22077922077921999</v>
      </c>
      <c r="H168">
        <v>-0.73730297723292404</v>
      </c>
      <c r="I168">
        <v>-0.82466393921683201</v>
      </c>
    </row>
    <row r="169" spans="1:9" x14ac:dyDescent="0.25">
      <c r="A169" s="1" t="s">
        <v>181</v>
      </c>
      <c r="B169" t="str">
        <f>HYPERLINK("https://www.suredividend.com/sure-analysis-research-database/","ATI Inc")</f>
        <v>ATI Inc</v>
      </c>
      <c r="C169">
        <v>3.5223160434257002E-2</v>
      </c>
      <c r="D169">
        <v>0.14487726787620001</v>
      </c>
      <c r="E169">
        <v>-7.7799269288631012E-2</v>
      </c>
      <c r="F169">
        <v>-5.6300857708378997E-2</v>
      </c>
      <c r="G169">
        <v>0.210778781038374</v>
      </c>
      <c r="H169">
        <v>1.1358885017421601</v>
      </c>
      <c r="I169">
        <v>0.73093989511899904</v>
      </c>
    </row>
    <row r="170" spans="1:9" x14ac:dyDescent="0.25">
      <c r="A170" s="1" t="s">
        <v>182</v>
      </c>
      <c r="B170" t="str">
        <f>HYPERLINK("https://www.suredividend.com/sure-analysis-research-database/","ATI Physical Therapy Inc")</f>
        <v>ATI Physical Therapy Inc</v>
      </c>
      <c r="C170">
        <v>-6.6175595238095006E-2</v>
      </c>
      <c r="D170">
        <v>-0.15767785234899301</v>
      </c>
      <c r="E170">
        <v>-0.233785103785103</v>
      </c>
      <c r="F170">
        <v>2.2035830618891999E-2</v>
      </c>
      <c r="G170">
        <v>-0.70614376024350201</v>
      </c>
      <c r="H170">
        <v>-0.95871513157894706</v>
      </c>
      <c r="I170">
        <v>-0.37247000000000002</v>
      </c>
    </row>
    <row r="171" spans="1:9" x14ac:dyDescent="0.25">
      <c r="A171" s="1" t="s">
        <v>183</v>
      </c>
      <c r="B171" t="str">
        <f>HYPERLINK("https://www.suredividend.com/sure-analysis-research-database/","Atkore Inc")</f>
        <v>Atkore Inc</v>
      </c>
      <c r="C171">
        <v>5.9319059319059002E-2</v>
      </c>
      <c r="D171">
        <v>9.9373451843217012E-2</v>
      </c>
      <c r="E171">
        <v>-2.0257109466302999E-2</v>
      </c>
      <c r="F171">
        <v>-5.6875000000000002E-2</v>
      </c>
      <c r="G171">
        <v>0.196100190234622</v>
      </c>
      <c r="H171">
        <v>0.43837575064340811</v>
      </c>
      <c r="I171">
        <v>5.7637830569251456</v>
      </c>
    </row>
    <row r="172" spans="1:9" x14ac:dyDescent="0.25">
      <c r="A172" s="1" t="s">
        <v>184</v>
      </c>
      <c r="B172" t="str">
        <f>HYPERLINK("https://www.suredividend.com/sure-analysis-research-database/","Atlanticus Holdings Corp")</f>
        <v>Atlanticus Holdings Corp</v>
      </c>
      <c r="C172">
        <v>8.7992667277726005E-2</v>
      </c>
      <c r="D172">
        <v>0.26321390564029801</v>
      </c>
      <c r="E172">
        <v>-0.15355360114095501</v>
      </c>
      <c r="F172">
        <v>-7.9131109387121007E-2</v>
      </c>
      <c r="G172">
        <v>0.193764666443178</v>
      </c>
      <c r="H172">
        <v>-0.49048504793246511</v>
      </c>
      <c r="I172">
        <v>10.672348236528119</v>
      </c>
    </row>
    <row r="173" spans="1:9" x14ac:dyDescent="0.25">
      <c r="A173" s="1" t="s">
        <v>185</v>
      </c>
      <c r="B173" t="str">
        <f>HYPERLINK("https://www.suredividend.com/sure-analysis-research-database/","ATN International Inc")</f>
        <v>ATN International Inc</v>
      </c>
      <c r="C173">
        <v>0.116966175742017</v>
      </c>
      <c r="D173">
        <v>0.13789654318042099</v>
      </c>
      <c r="E173">
        <v>5.6887239791236013E-2</v>
      </c>
      <c r="F173">
        <v>-4.5419553502694013E-2</v>
      </c>
      <c r="G173">
        <v>-0.184639663335086</v>
      </c>
      <c r="H173">
        <v>-3.8516213408046E-2</v>
      </c>
      <c r="I173">
        <v>-0.46018501723199712</v>
      </c>
    </row>
    <row r="174" spans="1:9" x14ac:dyDescent="0.25">
      <c r="A174" s="1" t="s">
        <v>186</v>
      </c>
      <c r="B174" t="str">
        <f>HYPERLINK("https://www.suredividend.com/sure-analysis-research-database/","Atomera Inc")</f>
        <v>Atomera Inc</v>
      </c>
      <c r="C174">
        <v>-5.6657223796033003E-2</v>
      </c>
      <c r="D174">
        <v>6.2200956937799007E-2</v>
      </c>
      <c r="E174">
        <v>-0.28464017185821699</v>
      </c>
      <c r="F174">
        <v>-4.9928673323823003E-2</v>
      </c>
      <c r="G174">
        <v>-7.6282940360610008E-2</v>
      </c>
      <c r="H174">
        <v>-0.59831121833534306</v>
      </c>
      <c r="I174">
        <v>1.1210191082802541</v>
      </c>
    </row>
    <row r="175" spans="1:9" x14ac:dyDescent="0.25">
      <c r="A175" s="1" t="s">
        <v>187</v>
      </c>
      <c r="B175" t="str">
        <f>HYPERLINK("https://www.suredividend.com/sure-analysis-research-database/","Atara Biotherapeutics Inc")</f>
        <v>Atara Biotherapeutics Inc</v>
      </c>
      <c r="C175">
        <v>6.1061946902654013E-2</v>
      </c>
      <c r="D175">
        <v>-0.53285714285714203</v>
      </c>
      <c r="E175">
        <v>-0.6384924623115571</v>
      </c>
      <c r="F175">
        <v>0.40288611544461711</v>
      </c>
      <c r="G175">
        <v>-0.81506426735218507</v>
      </c>
      <c r="H175">
        <v>-0.94944483485593811</v>
      </c>
      <c r="I175">
        <v>-0.97945158526135412</v>
      </c>
    </row>
    <row r="176" spans="1:9" x14ac:dyDescent="0.25">
      <c r="A176" s="1" t="s">
        <v>188</v>
      </c>
      <c r="B176" t="str">
        <f>HYPERLINK("https://www.suredividend.com/sure-analysis-research-database/","Atricure Inc")</f>
        <v>Atricure Inc</v>
      </c>
      <c r="C176">
        <v>6.3272936439450001E-3</v>
      </c>
      <c r="D176">
        <v>-4.3727794479366013E-2</v>
      </c>
      <c r="E176">
        <v>-0.34463382655927999</v>
      </c>
      <c r="F176">
        <v>-1.9613337069206E-2</v>
      </c>
      <c r="G176">
        <v>-0.188731741247391</v>
      </c>
      <c r="H176">
        <v>-0.47721500074704898</v>
      </c>
      <c r="I176">
        <v>0.17258713136729201</v>
      </c>
    </row>
    <row r="177" spans="1:9" x14ac:dyDescent="0.25">
      <c r="A177" s="1" t="s">
        <v>189</v>
      </c>
      <c r="B177" t="str">
        <f>HYPERLINK("https://www.suredividend.com/sure-analysis-ATRI/","Atrion Corp.")</f>
        <v>Atrion Corp.</v>
      </c>
      <c r="C177">
        <v>6.8559954102120008E-3</v>
      </c>
      <c r="D177">
        <v>-0.107688991009011</v>
      </c>
      <c r="E177">
        <v>-0.33887961954545998</v>
      </c>
      <c r="F177">
        <v>-7.3391589007101007E-2</v>
      </c>
      <c r="G177">
        <v>-0.42544456061380598</v>
      </c>
      <c r="H177">
        <v>-0.45111148399756701</v>
      </c>
      <c r="I177">
        <v>-0.49214260000300902</v>
      </c>
    </row>
    <row r="178" spans="1:9" x14ac:dyDescent="0.25">
      <c r="A178" s="1" t="s">
        <v>190</v>
      </c>
      <c r="B178" t="str">
        <f>HYPERLINK("https://www.suredividend.com/sure-analysis-research-database/","Astronics Corp.")</f>
        <v>Astronics Corp.</v>
      </c>
      <c r="C178">
        <v>5.4794520547945001E-2</v>
      </c>
      <c r="D178">
        <v>0.109364767518009</v>
      </c>
      <c r="E178">
        <v>-9.3632958801498009E-2</v>
      </c>
      <c r="F178">
        <v>-2.7554535017221E-2</v>
      </c>
      <c r="G178">
        <v>0.54140127388535009</v>
      </c>
      <c r="H178">
        <v>0.32862745098039198</v>
      </c>
      <c r="I178">
        <v>-0.45407669996777311</v>
      </c>
    </row>
    <row r="179" spans="1:9" x14ac:dyDescent="0.25">
      <c r="A179" s="1" t="s">
        <v>191</v>
      </c>
      <c r="B179" t="str">
        <f>HYPERLINK("https://www.suredividend.com/sure-analysis-research-database/","Air Transport Services Group Inc")</f>
        <v>Air Transport Services Group Inc</v>
      </c>
      <c r="C179">
        <v>3.4134007585333997E-2</v>
      </c>
      <c r="D179">
        <v>-0.18849206349206299</v>
      </c>
      <c r="E179">
        <v>-0.16573176950535401</v>
      </c>
      <c r="F179">
        <v>-7.0982396365701E-2</v>
      </c>
      <c r="G179">
        <v>-0.40422432629278898</v>
      </c>
      <c r="H179">
        <v>-0.41508759385055399</v>
      </c>
      <c r="I179">
        <v>-0.30736663844199802</v>
      </c>
    </row>
    <row r="180" spans="1:9" x14ac:dyDescent="0.25">
      <c r="A180" s="1" t="s">
        <v>192</v>
      </c>
      <c r="B180" t="str">
        <f>HYPERLINK("https://www.suredividend.com/sure-analysis-research-database/","Atlantic Union Bankshares Corp")</f>
        <v>Atlantic Union Bankshares Corp</v>
      </c>
      <c r="C180">
        <v>9.7560975609750009E-3</v>
      </c>
      <c r="D180">
        <v>0.241322384016254</v>
      </c>
      <c r="E180">
        <v>0.28829369728209903</v>
      </c>
      <c r="F180">
        <v>-3.6945812807881E-2</v>
      </c>
      <c r="G180">
        <v>-3.124619337512E-3</v>
      </c>
      <c r="H180">
        <v>-8.940118877264501E-2</v>
      </c>
      <c r="I180">
        <v>0.133661930994491</v>
      </c>
    </row>
    <row r="181" spans="1:9" x14ac:dyDescent="0.25">
      <c r="A181" s="1" t="s">
        <v>193</v>
      </c>
      <c r="B181" t="str">
        <f>HYPERLINK("https://www.suredividend.com/sure-analysis-research-database/","Aurinia Pharmaceuticals Inc")</f>
        <v>Aurinia Pharmaceuticals Inc</v>
      </c>
      <c r="C181">
        <v>-0.11542857142857101</v>
      </c>
      <c r="D181">
        <v>2.9255319148936001E-2</v>
      </c>
      <c r="E181">
        <v>-0.29572338489535899</v>
      </c>
      <c r="F181">
        <v>-0.13904338153503801</v>
      </c>
      <c r="G181">
        <v>-0.150384193194291</v>
      </c>
      <c r="H181">
        <v>-0.58719999999999906</v>
      </c>
      <c r="I181">
        <v>4.7361299052774003E-2</v>
      </c>
    </row>
    <row r="182" spans="1:9" x14ac:dyDescent="0.25">
      <c r="A182" s="1" t="s">
        <v>194</v>
      </c>
      <c r="B182" t="str">
        <f>HYPERLINK("https://www.suredividend.com/sure-analysis-research-database/","Aura Biosciences Inc")</f>
        <v>Aura Biosciences Inc</v>
      </c>
      <c r="C182">
        <v>-3.4602076124566998E-2</v>
      </c>
      <c r="D182">
        <v>-1.1806375442738999E-2</v>
      </c>
      <c r="E182">
        <v>-0.32390953150242302</v>
      </c>
      <c r="F182">
        <v>-5.5304740406319997E-2</v>
      </c>
      <c r="G182">
        <v>-0.26578947368421002</v>
      </c>
      <c r="H182">
        <v>-0.49118541033434598</v>
      </c>
      <c r="I182">
        <v>-0.43445945945945902</v>
      </c>
    </row>
    <row r="183" spans="1:9" x14ac:dyDescent="0.25">
      <c r="A183" s="1" t="s">
        <v>195</v>
      </c>
      <c r="B183" t="str">
        <f>HYPERLINK("https://www.suredividend.com/sure-analysis-AVA/","Avista Corp.")</f>
        <v>Avista Corp.</v>
      </c>
      <c r="C183">
        <v>-1.6804407713498001E-2</v>
      </c>
      <c r="D183">
        <v>0.104902249121557</v>
      </c>
      <c r="E183">
        <v>-5.9078482187346001E-2</v>
      </c>
      <c r="F183">
        <v>-1.398992725237E-3</v>
      </c>
      <c r="G183">
        <v>-0.12553872841717301</v>
      </c>
      <c r="H183">
        <v>-9.5081135902636005E-2</v>
      </c>
      <c r="I183">
        <v>6.3725154164145009E-2</v>
      </c>
    </row>
    <row r="184" spans="1:9" x14ac:dyDescent="0.25">
      <c r="A184" s="1" t="s">
        <v>196</v>
      </c>
      <c r="B184" t="str">
        <f>HYPERLINK("https://www.suredividend.com/sure-analysis-research-database/","Aveanna Healthcare Holdings Inc")</f>
        <v>Aveanna Healthcare Holdings Inc</v>
      </c>
      <c r="C184">
        <v>4.3478260869565001E-2</v>
      </c>
      <c r="D184">
        <v>1.0512820512820511</v>
      </c>
      <c r="E184">
        <v>0.46341463414634099</v>
      </c>
      <c r="F184">
        <v>-0.104477611940298</v>
      </c>
      <c r="G184">
        <v>0.92</v>
      </c>
      <c r="H184">
        <v>-0.62145110410094606</v>
      </c>
      <c r="I184">
        <v>-0.79184735472679901</v>
      </c>
    </row>
    <row r="185" spans="1:9" x14ac:dyDescent="0.25">
      <c r="A185" s="1" t="s">
        <v>197</v>
      </c>
      <c r="B185" t="str">
        <f>HYPERLINK("https://www.suredividend.com/sure-analysis-research-database/","AeroVironment Inc.")</f>
        <v>AeroVironment Inc.</v>
      </c>
      <c r="C185">
        <v>-7.880220646170001E-4</v>
      </c>
      <c r="D185">
        <v>0.137015781922525</v>
      </c>
      <c r="E185">
        <v>0.26914222800520399</v>
      </c>
      <c r="F185">
        <v>6.0298317994280006E-3</v>
      </c>
      <c r="G185">
        <v>0.43585097950402002</v>
      </c>
      <c r="H185">
        <v>1.0838126540673789</v>
      </c>
      <c r="I185">
        <v>0.71932203389830507</v>
      </c>
    </row>
    <row r="186" spans="1:9" x14ac:dyDescent="0.25">
      <c r="A186" s="1" t="s">
        <v>198</v>
      </c>
      <c r="B186" t="str">
        <f>HYPERLINK("https://www.suredividend.com/sure-analysis-research-database/","American Vanguard Corp.")</f>
        <v>American Vanguard Corp.</v>
      </c>
      <c r="C186">
        <v>-5.3277618177068997E-2</v>
      </c>
      <c r="D186">
        <v>2.6870035958429998E-3</v>
      </c>
      <c r="E186">
        <v>-0.41496535903258902</v>
      </c>
      <c r="F186">
        <v>-7.4749316317228004E-2</v>
      </c>
      <c r="G186">
        <v>-0.55808465617680003</v>
      </c>
      <c r="H186">
        <v>-0.36540289101185403</v>
      </c>
      <c r="I186">
        <v>-0.38324117396852397</v>
      </c>
    </row>
    <row r="187" spans="1:9" x14ac:dyDescent="0.25">
      <c r="A187" s="1" t="s">
        <v>199</v>
      </c>
      <c r="B187" t="str">
        <f>HYPERLINK("https://www.suredividend.com/sure-analysis-research-database/","AvidXchange Holdings Inc")</f>
        <v>AvidXchange Holdings Inc</v>
      </c>
      <c r="C187">
        <v>-1.6521739130434001E-2</v>
      </c>
      <c r="D187">
        <v>0.25666666666666599</v>
      </c>
      <c r="E187">
        <v>2.9117379435850001E-2</v>
      </c>
      <c r="F187">
        <v>-8.7167070217917003E-2</v>
      </c>
      <c r="G187">
        <v>7.0009460737936999E-2</v>
      </c>
      <c r="H187">
        <v>-2.7515047291486999E-2</v>
      </c>
      <c r="I187">
        <v>-0.54651162790697605</v>
      </c>
    </row>
    <row r="188" spans="1:9" x14ac:dyDescent="0.25">
      <c r="A188" s="1" t="s">
        <v>200</v>
      </c>
      <c r="B188" t="str">
        <f>HYPERLINK("https://www.suredividend.com/sure-analysis-research-database/","Avid Technology, Inc.")</f>
        <v>Avid Technology, Inc.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s="1" t="s">
        <v>201</v>
      </c>
      <c r="B189" t="str">
        <f>HYPERLINK("https://www.suredividend.com/sure-analysis-research-database/","Atea Pharmaceuticals Inc")</f>
        <v>Atea Pharmaceuticals Inc</v>
      </c>
      <c r="C189">
        <v>0.14102564102564</v>
      </c>
      <c r="D189">
        <v>0.17491749174917401</v>
      </c>
      <c r="E189">
        <v>-5.0666666666666013E-2</v>
      </c>
      <c r="F189">
        <v>0.167213114754098</v>
      </c>
      <c r="G189">
        <v>-0.27789046653144001</v>
      </c>
      <c r="H189">
        <v>-0.51232876712328701</v>
      </c>
      <c r="I189">
        <v>-0.88266315095583303</v>
      </c>
    </row>
    <row r="190" spans="1:9" x14ac:dyDescent="0.25">
      <c r="A190" s="1" t="s">
        <v>202</v>
      </c>
      <c r="B190" t="str">
        <f>HYPERLINK("https://www.suredividend.com/sure-analysis-research-database/","Avanos Medical Inc")</f>
        <v>Avanos Medical Inc</v>
      </c>
      <c r="C190">
        <v>-9.5547309833024008E-2</v>
      </c>
      <c r="D190">
        <v>5.6910569105691013E-2</v>
      </c>
      <c r="E190">
        <v>-0.23559388475107801</v>
      </c>
      <c r="F190">
        <v>-0.13062862238073999</v>
      </c>
      <c r="G190">
        <v>-0.33673469387755001</v>
      </c>
      <c r="H190">
        <v>-0.40275650842266397</v>
      </c>
      <c r="I190">
        <v>-0.548297428769979</v>
      </c>
    </row>
    <row r="191" spans="1:9" x14ac:dyDescent="0.25">
      <c r="A191" s="1" t="s">
        <v>203</v>
      </c>
      <c r="B191" t="str">
        <f>HYPERLINK("https://www.suredividend.com/sure-analysis-AVNT/","Avient Corp")</f>
        <v>Avient Corp</v>
      </c>
      <c r="C191">
        <v>-6.1699727990440004E-3</v>
      </c>
      <c r="D191">
        <v>0.14572944264622201</v>
      </c>
      <c r="E191">
        <v>-8.265645055408001E-2</v>
      </c>
      <c r="F191">
        <v>-9.9109935049314007E-2</v>
      </c>
      <c r="G191">
        <v>-3.9814147453299999E-3</v>
      </c>
      <c r="H191">
        <v>-0.28427272935762199</v>
      </c>
      <c r="I191">
        <v>0.27002105962825201</v>
      </c>
    </row>
    <row r="192" spans="1:9" x14ac:dyDescent="0.25">
      <c r="A192" s="1" t="s">
        <v>204</v>
      </c>
      <c r="B192" t="str">
        <f>HYPERLINK("https://www.suredividend.com/sure-analysis-research-database/","Aviat Networks Inc")</f>
        <v>Aviat Networks Inc</v>
      </c>
      <c r="C192">
        <v>-1.4916286149162E-2</v>
      </c>
      <c r="D192">
        <v>0.207012308839985</v>
      </c>
      <c r="E192">
        <v>1.0618363522798E-2</v>
      </c>
      <c r="F192">
        <v>-9.1855480710340016E-3</v>
      </c>
      <c r="G192">
        <v>1.3784461152882E-2</v>
      </c>
      <c r="H192">
        <v>1.7610062893081001E-2</v>
      </c>
      <c r="I192">
        <v>3.6561151079136689</v>
      </c>
    </row>
    <row r="193" spans="1:9" x14ac:dyDescent="0.25">
      <c r="A193" s="1" t="s">
        <v>205</v>
      </c>
      <c r="B193" t="str">
        <f>HYPERLINK("https://www.suredividend.com/sure-analysis-research-database/","Mission Produce Inc")</f>
        <v>Mission Produce Inc</v>
      </c>
      <c r="C193">
        <v>4.8704663212435002E-2</v>
      </c>
      <c r="D193">
        <v>0.120708748615725</v>
      </c>
      <c r="E193">
        <v>-0.13945578231292499</v>
      </c>
      <c r="F193">
        <v>2.9732408325069998E-3</v>
      </c>
      <c r="G193">
        <v>-0.16294458229942099</v>
      </c>
      <c r="H193">
        <v>-0.27765881513204799</v>
      </c>
      <c r="I193">
        <v>-0.19040000000000001</v>
      </c>
    </row>
    <row r="194" spans="1:9" x14ac:dyDescent="0.25">
      <c r="A194" s="1" t="s">
        <v>206</v>
      </c>
      <c r="B194" t="str">
        <f>HYPERLINK("https://www.suredividend.com/sure-analysis-research-database/","AvePoint Inc")</f>
        <v>AvePoint Inc</v>
      </c>
      <c r="C194">
        <v>-2.2836538461537999E-2</v>
      </c>
      <c r="D194">
        <v>0.121379310344827</v>
      </c>
      <c r="E194">
        <v>0.38737201365187701</v>
      </c>
      <c r="F194">
        <v>-9.7442143727160015E-3</v>
      </c>
      <c r="G194">
        <v>0.86896551724137905</v>
      </c>
      <c r="H194">
        <v>0.31129032258064498</v>
      </c>
      <c r="I194">
        <v>-0.16871165644171701</v>
      </c>
    </row>
    <row r="195" spans="1:9" x14ac:dyDescent="0.25">
      <c r="A195" s="1" t="s">
        <v>207</v>
      </c>
      <c r="B195" t="str">
        <f>HYPERLINK("https://www.suredividend.com/sure-analysis-research-database/","Avantax Inc")</f>
        <v>Avantax Inc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s="1" t="s">
        <v>208</v>
      </c>
      <c r="B196" t="str">
        <f>HYPERLINK("https://www.suredividend.com/sure-analysis-research-database/","Aerovate Therapeutics Inc")</f>
        <v>Aerovate Therapeutics Inc</v>
      </c>
      <c r="C196">
        <v>4.9634273772204002E-2</v>
      </c>
      <c r="D196">
        <v>0.82636363636363608</v>
      </c>
      <c r="E196">
        <v>6.4088983050847009E-2</v>
      </c>
      <c r="F196">
        <v>-0.112240388864339</v>
      </c>
      <c r="G196">
        <v>-0.19800399201596799</v>
      </c>
      <c r="H196">
        <v>1.139510117145899</v>
      </c>
      <c r="I196">
        <v>-0.120017520805957</v>
      </c>
    </row>
    <row r="197" spans="1:9" x14ac:dyDescent="0.25">
      <c r="A197" s="1" t="s">
        <v>209</v>
      </c>
      <c r="B197" t="str">
        <f>HYPERLINK("https://www.suredividend.com/sure-analysis-research-database/","Anavex Life Sciences Corporation")</f>
        <v>Anavex Life Sciences Corporation</v>
      </c>
      <c r="C197">
        <v>-0.29112426035502897</v>
      </c>
      <c r="D197">
        <v>-9.9173553719000013E-3</v>
      </c>
      <c r="E197">
        <v>-0.29112426035502897</v>
      </c>
      <c r="F197">
        <v>-0.35660580021482202</v>
      </c>
      <c r="G197">
        <v>-0.43383742911153111</v>
      </c>
      <c r="H197">
        <v>-0.56341107871720109</v>
      </c>
      <c r="I197">
        <v>1.9800995024875621</v>
      </c>
    </row>
    <row r="198" spans="1:9" x14ac:dyDescent="0.25">
      <c r="A198" s="1" t="s">
        <v>210</v>
      </c>
      <c r="B198" t="str">
        <f>HYPERLINK("https://www.suredividend.com/sure-analysis-AWR/","American States Water Co.")</f>
        <v>American States Water Co.</v>
      </c>
      <c r="C198">
        <v>-6.6278655422259011E-2</v>
      </c>
      <c r="D198">
        <v>5.6943717704490008E-3</v>
      </c>
      <c r="E198">
        <v>-9.0243114907583008E-2</v>
      </c>
      <c r="F198">
        <v>-2.2506839094751999E-2</v>
      </c>
      <c r="G198">
        <v>-0.16084349053240099</v>
      </c>
      <c r="H198">
        <v>-0.14636556533599099</v>
      </c>
      <c r="I198">
        <v>0.30990250299522898</v>
      </c>
    </row>
    <row r="199" spans="1:9" x14ac:dyDescent="0.25">
      <c r="A199" s="1" t="s">
        <v>211</v>
      </c>
      <c r="B199" t="str">
        <f>HYPERLINK("https://www.suredividend.com/sure-analysis-research-database/","Axos Financial Inc.")</f>
        <v>Axos Financial Inc.</v>
      </c>
      <c r="C199">
        <v>2.3772709702356998E-2</v>
      </c>
      <c r="D199">
        <v>0.48500140173815498</v>
      </c>
      <c r="E199">
        <v>0.231860465116279</v>
      </c>
      <c r="F199">
        <v>-2.9853479853479001E-2</v>
      </c>
      <c r="G199">
        <v>0.27946859903381599</v>
      </c>
      <c r="H199">
        <v>-0.12475214805023099</v>
      </c>
      <c r="I199">
        <v>0.92198838896952107</v>
      </c>
    </row>
    <row r="200" spans="1:9" x14ac:dyDescent="0.25">
      <c r="A200" s="1" t="s">
        <v>212</v>
      </c>
      <c r="B200" t="str">
        <f>HYPERLINK("https://www.suredividend.com/sure-analysis-research-database/","BioXcel Therapeutics Inc")</f>
        <v>BioXcel Therapeutics Inc</v>
      </c>
      <c r="C200">
        <v>-0.17812500000000001</v>
      </c>
      <c r="D200">
        <v>-0.15974440894568601</v>
      </c>
      <c r="E200">
        <v>-0.76909569798068411</v>
      </c>
      <c r="F200">
        <v>-0.10847457627118599</v>
      </c>
      <c r="G200">
        <v>-0.90912232204561105</v>
      </c>
      <c r="H200">
        <v>-0.86478149100257007</v>
      </c>
      <c r="I200">
        <v>-0.56672158154859908</v>
      </c>
    </row>
    <row r="201" spans="1:9" x14ac:dyDescent="0.25">
      <c r="A201" s="1" t="s">
        <v>213</v>
      </c>
      <c r="B201" t="str">
        <f>HYPERLINK("https://www.suredividend.com/sure-analysis-research-database/","Peabody Energy Corp.")</f>
        <v>Peabody Energy Corp.</v>
      </c>
      <c r="C201">
        <v>1.1904761904761E-2</v>
      </c>
      <c r="D201">
        <v>-7.3010185203217004E-2</v>
      </c>
      <c r="E201">
        <v>0.127497193100475</v>
      </c>
      <c r="F201">
        <v>-2.1381578947367998E-2</v>
      </c>
      <c r="G201">
        <v>-0.1539221750599</v>
      </c>
      <c r="H201">
        <v>0.92759374746902112</v>
      </c>
      <c r="I201">
        <v>-0.17751221636266801</v>
      </c>
    </row>
    <row r="202" spans="1:9" x14ac:dyDescent="0.25">
      <c r="A202" s="1" t="s">
        <v>214</v>
      </c>
      <c r="B202" t="str">
        <f>HYPERLINK("https://www.suredividend.com/sure-analysis-research-database/","First Busey Corp.")</f>
        <v>First Busey Corp.</v>
      </c>
      <c r="C202">
        <v>-4.1683528935652997E-2</v>
      </c>
      <c r="D202">
        <v>0.27204456453423698</v>
      </c>
      <c r="E202">
        <v>0.16268793023872399</v>
      </c>
      <c r="F202">
        <v>-4.5930701047542002E-2</v>
      </c>
      <c r="G202">
        <v>2.8018719665199001E-2</v>
      </c>
      <c r="H202">
        <v>-9.6834726094534002E-2</v>
      </c>
      <c r="I202">
        <v>0.173282068306024</v>
      </c>
    </row>
    <row r="203" spans="1:9" x14ac:dyDescent="0.25">
      <c r="A203" s="1" t="s">
        <v>215</v>
      </c>
      <c r="B203" t="str">
        <f>HYPERLINK("https://www.suredividend.com/sure-analysis-research-database/","BrightView Holdings Inc")</f>
        <v>BrightView Holdings Inc</v>
      </c>
      <c r="C203">
        <v>-3.6275695284149999E-3</v>
      </c>
      <c r="D203">
        <v>9.8666666666666014E-2</v>
      </c>
      <c r="E203">
        <v>7.5718015665796001E-2</v>
      </c>
      <c r="F203">
        <v>-2.1377672209026002E-2</v>
      </c>
      <c r="G203">
        <v>6.8741893644617011E-2</v>
      </c>
      <c r="H203">
        <v>-0.41725601131541701</v>
      </c>
      <c r="I203">
        <v>-0.39941690962099102</v>
      </c>
    </row>
    <row r="204" spans="1:9" x14ac:dyDescent="0.25">
      <c r="A204" s="1" t="s">
        <v>216</v>
      </c>
      <c r="B204" t="str">
        <f>HYPERLINK("https://www.suredividend.com/sure-analysis-research-database/","Bluegreen Vacations Holding Corporation")</f>
        <v>Bluegreen Vacations Holding Corporation</v>
      </c>
      <c r="C204">
        <v>9.6943584219730001E-3</v>
      </c>
      <c r="D204">
        <v>1.231187834536847</v>
      </c>
      <c r="E204">
        <v>1.001398496882739</v>
      </c>
      <c r="F204">
        <v>-1.730564430245E-3</v>
      </c>
      <c r="G204">
        <v>1.726007030400849</v>
      </c>
      <c r="H204">
        <v>1.3726657765346859</v>
      </c>
      <c r="I204">
        <v>1.4515829530148681</v>
      </c>
    </row>
    <row r="205" spans="1:9" x14ac:dyDescent="0.25">
      <c r="A205" s="1" t="s">
        <v>217</v>
      </c>
      <c r="B205" t="str">
        <f>HYPERLINK("https://www.suredividend.com/sure-analysis-research-database/","Bioventus Inc")</f>
        <v>Bioventus Inc</v>
      </c>
      <c r="C205">
        <v>5.2083333333333003E-2</v>
      </c>
      <c r="D205">
        <v>0.74740484429065701</v>
      </c>
      <c r="E205">
        <v>0.36856368563685599</v>
      </c>
      <c r="F205">
        <v>-4.1745730550284001E-2</v>
      </c>
      <c r="G205">
        <v>1.0954356846473019</v>
      </c>
      <c r="H205">
        <v>-0.66061827956989205</v>
      </c>
      <c r="I205">
        <v>-0.73711608537220208</v>
      </c>
    </row>
    <row r="206" spans="1:9" x14ac:dyDescent="0.25">
      <c r="A206" s="1" t="s">
        <v>218</v>
      </c>
      <c r="B206" t="str">
        <f>HYPERLINK("https://www.suredividend.com/sure-analysis-research-database/","Babcock &amp; Wilcox Enterprises Inc")</f>
        <v>Babcock &amp; Wilcox Enterprises Inc</v>
      </c>
      <c r="C206">
        <v>-0.29479768786127097</v>
      </c>
      <c r="D206">
        <v>-0.55311355311355304</v>
      </c>
      <c r="E206">
        <v>-0.80996884735202401</v>
      </c>
      <c r="F206">
        <v>-0.164383561643835</v>
      </c>
      <c r="G206">
        <v>-0.80634920634920604</v>
      </c>
      <c r="H206">
        <v>-0.85194174757281504</v>
      </c>
      <c r="I206">
        <v>-0.84290497038372303</v>
      </c>
    </row>
    <row r="207" spans="1:9" x14ac:dyDescent="0.25">
      <c r="A207" s="1" t="s">
        <v>219</v>
      </c>
      <c r="B207" t="str">
        <f>HYPERLINK("https://www.suredividend.com/sure-analysis-research-database/","Bridgewater Bancshares Inc")</f>
        <v>Bridgewater Bancshares Inc</v>
      </c>
      <c r="C207">
        <v>4.5833333333332997E-2</v>
      </c>
      <c r="D207">
        <v>0.33795309168443399</v>
      </c>
      <c r="E207">
        <v>0.27670396744659198</v>
      </c>
      <c r="F207">
        <v>-7.1745562130177007E-2</v>
      </c>
      <c r="G207">
        <v>-0.29255918827508398</v>
      </c>
      <c r="H207">
        <v>-0.297312430011198</v>
      </c>
      <c r="I207">
        <v>0.19523809523809499</v>
      </c>
    </row>
    <row r="208" spans="1:9" x14ac:dyDescent="0.25">
      <c r="A208" s="1" t="s">
        <v>220</v>
      </c>
      <c r="B208" t="str">
        <f>HYPERLINK("https://www.suredividend.com/sure-analysis-research-database/","Bankwell Financial Group Inc")</f>
        <v>Bankwell Financial Group Inc</v>
      </c>
      <c r="C208">
        <v>0</v>
      </c>
      <c r="D208">
        <v>0.175700794358636</v>
      </c>
      <c r="E208">
        <v>0.17004421365231301</v>
      </c>
      <c r="F208">
        <v>-6.5275016567263006E-2</v>
      </c>
      <c r="G208">
        <v>-2.1352621810549002E-2</v>
      </c>
      <c r="H208">
        <v>-0.111490466081676</v>
      </c>
      <c r="I208">
        <v>0.13614853299502599</v>
      </c>
    </row>
    <row r="209" spans="1:9" x14ac:dyDescent="0.25">
      <c r="A209" s="1" t="s">
        <v>221</v>
      </c>
      <c r="B209" t="str">
        <f>HYPERLINK("https://www.suredividend.com/sure-analysis-research-database/","Bluelinx Hldgs Inc")</f>
        <v>Bluelinx Hldgs Inc</v>
      </c>
      <c r="C209">
        <v>9.5157264103844008E-2</v>
      </c>
      <c r="D209">
        <v>0.49836065573770411</v>
      </c>
      <c r="E209">
        <v>0.14095495682929299</v>
      </c>
      <c r="F209">
        <v>-3.2036007413289998E-2</v>
      </c>
      <c r="G209">
        <v>0.37117139642455299</v>
      </c>
      <c r="H209">
        <v>0.30820610687022898</v>
      </c>
      <c r="I209">
        <v>3.244582043343653</v>
      </c>
    </row>
    <row r="210" spans="1:9" x14ac:dyDescent="0.25">
      <c r="A210" s="1" t="s">
        <v>222</v>
      </c>
      <c r="B210" t="str">
        <f>HYPERLINK("https://www.suredividend.com/sure-analysis-BXMT/","Blackstone Mortgage Trust Inc")</f>
        <v>Blackstone Mortgage Trust Inc</v>
      </c>
      <c r="C210">
        <v>-2.3314862938671001E-2</v>
      </c>
      <c r="D210">
        <v>3.5305320332501999E-2</v>
      </c>
      <c r="E210">
        <v>1.4061719289062E-2</v>
      </c>
      <c r="F210">
        <v>1.8805829807240001E-3</v>
      </c>
      <c r="G210">
        <v>3.0588804255833001E-2</v>
      </c>
      <c r="H210">
        <v>-0.17238861616852</v>
      </c>
      <c r="I210">
        <v>3.1886303658329E-2</v>
      </c>
    </row>
    <row r="211" spans="1:9" x14ac:dyDescent="0.25">
      <c r="A211" s="1" t="s">
        <v>223</v>
      </c>
      <c r="B211" t="str">
        <f>HYPERLINK("https://www.suredividend.com/sure-analysis-research-database/","Byline Bancorp Inc")</f>
        <v>Byline Bancorp Inc</v>
      </c>
      <c r="C211">
        <v>-1.7872711421098E-2</v>
      </c>
      <c r="D211">
        <v>0.15938598341969901</v>
      </c>
      <c r="E211">
        <v>0.196577565100086</v>
      </c>
      <c r="F211">
        <v>-4.3718166383700997E-2</v>
      </c>
      <c r="G211">
        <v>-1.2292638445621E-2</v>
      </c>
      <c r="H211">
        <v>-0.187466865742694</v>
      </c>
      <c r="I211">
        <v>0.37891779740374198</v>
      </c>
    </row>
    <row r="212" spans="1:9" x14ac:dyDescent="0.25">
      <c r="A212" s="1" t="s">
        <v>224</v>
      </c>
      <c r="B212" t="str">
        <f>HYPERLINK("https://www.suredividend.com/sure-analysis-research-database/","Beyond Meat Inc")</f>
        <v>Beyond Meat Inc</v>
      </c>
      <c r="C212">
        <v>-0.274209012464045</v>
      </c>
      <c r="D212">
        <v>-0.123842592592592</v>
      </c>
      <c r="E212">
        <v>-0.57159026598754903</v>
      </c>
      <c r="F212">
        <v>-0.14943820224719101</v>
      </c>
      <c r="G212">
        <v>-0.52479598242310099</v>
      </c>
      <c r="H212">
        <v>-0.89312438232387403</v>
      </c>
      <c r="I212">
        <v>-0.88486692015209112</v>
      </c>
    </row>
    <row r="213" spans="1:9" x14ac:dyDescent="0.25">
      <c r="A213" s="1" t="s">
        <v>225</v>
      </c>
      <c r="B213" t="str">
        <f>HYPERLINK("https://www.suredividend.com/sure-analysis-research-database/","Beazer Homes USA Inc.")</f>
        <v>Beazer Homes USA Inc.</v>
      </c>
      <c r="C213">
        <v>4.7148038245960998E-2</v>
      </c>
      <c r="D213">
        <v>0.35784523300555798</v>
      </c>
      <c r="E213">
        <v>9.3663911845730002E-2</v>
      </c>
      <c r="F213">
        <v>-6.0076945841964012E-2</v>
      </c>
      <c r="G213">
        <v>1.1679180887372009</v>
      </c>
      <c r="H213">
        <v>0.45554537121906502</v>
      </c>
      <c r="I213">
        <v>1.6378737541528241</v>
      </c>
    </row>
    <row r="214" spans="1:9" x14ac:dyDescent="0.25">
      <c r="A214" s="1" t="s">
        <v>226</v>
      </c>
      <c r="B214" t="str">
        <f>HYPERLINK("https://www.suredividend.com/sure-analysis-research-database/","Camden National Corp.")</f>
        <v>Camden National Corp.</v>
      </c>
      <c r="C214">
        <v>-1.9063283630382E-2</v>
      </c>
      <c r="D214">
        <v>0.38801454401165902</v>
      </c>
      <c r="E214">
        <v>0.26772391635391701</v>
      </c>
      <c r="F214">
        <v>-1.0722161944617999E-2</v>
      </c>
      <c r="G214">
        <v>-4.5662855089229001E-2</v>
      </c>
      <c r="H214">
        <v>-0.167313269199517</v>
      </c>
      <c r="I214">
        <v>0.22629489055031499</v>
      </c>
    </row>
    <row r="215" spans="1:9" x14ac:dyDescent="0.25">
      <c r="A215" s="1" t="s">
        <v>227</v>
      </c>
      <c r="B215" t="str">
        <f>HYPERLINK("https://www.suredividend.com/sure-analysis-research-database/","Cadence Bank")</f>
        <v>Cadence Bank</v>
      </c>
      <c r="C215">
        <v>-3.4976966387988001E-2</v>
      </c>
      <c r="D215">
        <v>0.38651918966092003</v>
      </c>
      <c r="E215">
        <v>0.36144154900082298</v>
      </c>
      <c r="F215">
        <v>-4.4271713416694003E-2</v>
      </c>
      <c r="G215">
        <v>0.140837797715097</v>
      </c>
      <c r="H215">
        <v>-9.8740212184853002E-2</v>
      </c>
      <c r="I215">
        <v>0.103661439755227</v>
      </c>
    </row>
    <row r="216" spans="1:9" x14ac:dyDescent="0.25">
      <c r="A216" s="1" t="s">
        <v>228</v>
      </c>
      <c r="B216" t="str">
        <f>HYPERLINK("https://www.suredividend.com/sure-analysis-CAKE/","Cheesecake Factory Inc.")</f>
        <v>Cheesecake Factory Inc.</v>
      </c>
      <c r="C216">
        <v>-3.1109781633263001E-2</v>
      </c>
      <c r="D216">
        <v>0.13674250799299401</v>
      </c>
      <c r="E216">
        <v>-9.3126069195684003E-2</v>
      </c>
      <c r="F216">
        <v>-7.4835761211082E-2</v>
      </c>
      <c r="G216">
        <v>-0.109964332624382</v>
      </c>
      <c r="H216">
        <v>-8.2217864874361002E-2</v>
      </c>
      <c r="I216">
        <v>-0.204753311481849</v>
      </c>
    </row>
    <row r="217" spans="1:9" x14ac:dyDescent="0.25">
      <c r="A217" s="1" t="s">
        <v>229</v>
      </c>
      <c r="B217" t="str">
        <f>HYPERLINK("https://www.suredividend.com/sure-analysis-research-database/","Caleres Inc")</f>
        <v>Caleres Inc</v>
      </c>
      <c r="C217">
        <v>6.6781331318150009E-3</v>
      </c>
      <c r="D217">
        <v>9.3614760827491011E-2</v>
      </c>
      <c r="E217">
        <v>0.165949829305578</v>
      </c>
      <c r="F217">
        <v>-4.1978522616335001E-2</v>
      </c>
      <c r="G217">
        <v>0.24644357133179701</v>
      </c>
      <c r="H217">
        <v>0.28712395126067303</v>
      </c>
      <c r="I217">
        <v>7.5021452958682011E-2</v>
      </c>
    </row>
    <row r="218" spans="1:9" x14ac:dyDescent="0.25">
      <c r="A218" s="1" t="s">
        <v>230</v>
      </c>
      <c r="B218" t="str">
        <f>HYPERLINK("https://www.suredividend.com/sure-analysis-research-database/","Cal-Maine Foods, Inc.")</f>
        <v>Cal-Maine Foods, Inc.</v>
      </c>
      <c r="C218">
        <v>1.8171704060818999E-2</v>
      </c>
      <c r="D218">
        <v>0.108242897133826</v>
      </c>
      <c r="E218">
        <v>0.28468184763968002</v>
      </c>
      <c r="F218">
        <v>-4.3213103328106003E-2</v>
      </c>
      <c r="G218">
        <v>0.12068314526021</v>
      </c>
      <c r="H218">
        <v>0.56739275020195401</v>
      </c>
      <c r="I218">
        <v>0.49518713665264302</v>
      </c>
    </row>
    <row r="219" spans="1:9" x14ac:dyDescent="0.25">
      <c r="A219" s="1" t="s">
        <v>231</v>
      </c>
      <c r="B219" t="str">
        <f>HYPERLINK("https://www.suredividend.com/sure-analysis-research-database/","Calix Inc")</f>
        <v>Calix Inc</v>
      </c>
      <c r="C219">
        <v>9.5351609058400011E-3</v>
      </c>
      <c r="D219">
        <v>-2.2842639593908001E-2</v>
      </c>
      <c r="E219">
        <v>-0.167812929848693</v>
      </c>
      <c r="F219">
        <v>-3.0670634012359001E-2</v>
      </c>
      <c r="G219">
        <v>-0.34116365899190998</v>
      </c>
      <c r="H219">
        <v>-0.22549378200438899</v>
      </c>
      <c r="I219">
        <v>3.6951219512195119</v>
      </c>
    </row>
    <row r="220" spans="1:9" x14ac:dyDescent="0.25">
      <c r="A220" s="1" t="s">
        <v>232</v>
      </c>
      <c r="B220" t="str">
        <f>HYPERLINK("https://www.suredividend.com/sure-analysis-research-database/","Cano Health Inc")</f>
        <v>Cano Health Inc</v>
      </c>
      <c r="C220">
        <v>-0.61740166865315804</v>
      </c>
      <c r="D220">
        <v>-0.81966292134831409</v>
      </c>
      <c r="E220">
        <v>-0.97707142857142804</v>
      </c>
      <c r="F220">
        <v>-0.45315161839863699</v>
      </c>
      <c r="G220">
        <v>-0.97831081081081006</v>
      </c>
      <c r="H220">
        <v>-0.99527941176470602</v>
      </c>
      <c r="I220">
        <v>-0.68529411764705805</v>
      </c>
    </row>
    <row r="221" spans="1:9" x14ac:dyDescent="0.25">
      <c r="A221" s="1" t="s">
        <v>233</v>
      </c>
      <c r="B221" t="str">
        <f>HYPERLINK("https://www.suredividend.com/sure-analysis-research-database/","Cara Therapeutics Inc")</f>
        <v>Cara Therapeutics Inc</v>
      </c>
      <c r="C221">
        <v>-0.52491666666666603</v>
      </c>
      <c r="D221">
        <v>-0.59852112676056302</v>
      </c>
      <c r="E221">
        <v>-0.80135888501742103</v>
      </c>
      <c r="F221">
        <v>-0.23270524899057801</v>
      </c>
      <c r="G221">
        <v>-0.94745622119815609</v>
      </c>
      <c r="H221">
        <v>-0.95106437768240304</v>
      </c>
      <c r="I221">
        <v>-0.96398610233733406</v>
      </c>
    </row>
    <row r="222" spans="1:9" x14ac:dyDescent="0.25">
      <c r="A222" s="1" t="s">
        <v>234</v>
      </c>
      <c r="B222" t="str">
        <f>HYPERLINK("https://www.suredividend.com/sure-analysis-research-database/","Carter Bankshares Inc")</f>
        <v>Carter Bankshares Inc</v>
      </c>
      <c r="C222">
        <v>-2.8711484593836999E-2</v>
      </c>
      <c r="D222">
        <v>0.27481617647058798</v>
      </c>
      <c r="E222">
        <v>-8.2671957671957008E-2</v>
      </c>
      <c r="F222">
        <v>-7.3480293921174999E-2</v>
      </c>
      <c r="G222">
        <v>-0.16041162227602901</v>
      </c>
      <c r="H222">
        <v>-0.14276885043263199</v>
      </c>
      <c r="I222">
        <v>0.62222222222222201</v>
      </c>
    </row>
    <row r="223" spans="1:9" x14ac:dyDescent="0.25">
      <c r="A223" s="1" t="s">
        <v>235</v>
      </c>
      <c r="B223" t="str">
        <f>HYPERLINK("https://www.suredividend.com/sure-analysis-research-database/","CarGurus Inc")</f>
        <v>CarGurus Inc</v>
      </c>
      <c r="C223">
        <v>0</v>
      </c>
      <c r="D223">
        <v>0.31088082901554398</v>
      </c>
      <c r="E223">
        <v>-3.3941450997030012E-2</v>
      </c>
      <c r="F223">
        <v>-5.7533112582781001E-2</v>
      </c>
      <c r="G223">
        <v>0.39950829748002398</v>
      </c>
      <c r="H223">
        <v>-0.28843750000000001</v>
      </c>
      <c r="I223">
        <v>-0.36785119378123199</v>
      </c>
    </row>
    <row r="224" spans="1:9" x14ac:dyDescent="0.25">
      <c r="A224" s="1" t="s">
        <v>236</v>
      </c>
      <c r="B224" t="str">
        <f>HYPERLINK("https://www.suredividend.com/sure-analysis-research-database/","Cars.com")</f>
        <v>Cars.com</v>
      </c>
      <c r="C224">
        <v>-9.5363540569019009E-2</v>
      </c>
      <c r="D224">
        <v>6.315789473684201E-2</v>
      </c>
      <c r="E224">
        <v>-0.19691300280636001</v>
      </c>
      <c r="F224">
        <v>-9.4886663152345008E-2</v>
      </c>
      <c r="G224">
        <v>0.133333333333333</v>
      </c>
      <c r="H224">
        <v>5.0152905198776007E-2</v>
      </c>
      <c r="I224">
        <v>-0.25574338968357102</v>
      </c>
    </row>
    <row r="225" spans="1:9" x14ac:dyDescent="0.25">
      <c r="A225" s="1" t="s">
        <v>237</v>
      </c>
      <c r="B225" t="str">
        <f>HYPERLINK("https://www.suredividend.com/sure-analysis-research-database/","Casa Systems Inc")</f>
        <v>Casa Systems Inc</v>
      </c>
      <c r="C225">
        <v>-0.17002417405318199</v>
      </c>
      <c r="D225">
        <v>-0.35985083903045301</v>
      </c>
      <c r="E225">
        <v>-0.6704</v>
      </c>
      <c r="F225">
        <v>-0.22264150943396199</v>
      </c>
      <c r="G225">
        <v>-0.87627627627627602</v>
      </c>
      <c r="H225">
        <v>-0.91953125000000002</v>
      </c>
      <c r="I225">
        <v>-0.97005813953488307</v>
      </c>
    </row>
    <row r="226" spans="1:9" x14ac:dyDescent="0.25">
      <c r="A226" s="1" t="s">
        <v>238</v>
      </c>
      <c r="B226" t="str">
        <f>HYPERLINK("https://www.suredividend.com/sure-analysis-research-database/","Pathward Financial Inc")</f>
        <v>Pathward Financial Inc</v>
      </c>
      <c r="C226">
        <v>-2.4362390559573E-2</v>
      </c>
      <c r="D226">
        <v>8.6709956985280001E-2</v>
      </c>
      <c r="E226">
        <v>-2.1438252868297002E-2</v>
      </c>
      <c r="F226">
        <v>-3.1551105233327E-2</v>
      </c>
      <c r="G226">
        <v>0.103806474257794</v>
      </c>
      <c r="H226">
        <v>-0.16611898828076699</v>
      </c>
      <c r="I226">
        <v>1.475718542774485</v>
      </c>
    </row>
    <row r="227" spans="1:9" x14ac:dyDescent="0.25">
      <c r="A227" s="1" t="s">
        <v>239</v>
      </c>
      <c r="B227" t="str">
        <f>HYPERLINK("https://www.suredividend.com/sure-analysis-CASS/","Cass Information Systems Inc")</f>
        <v>Cass Information Systems Inc</v>
      </c>
      <c r="C227">
        <v>-2.3187087974539E-2</v>
      </c>
      <c r="D227">
        <v>0.19423808610631599</v>
      </c>
      <c r="E227">
        <v>0.12986773947569</v>
      </c>
      <c r="F227">
        <v>-4.6170921198668002E-2</v>
      </c>
      <c r="G227">
        <v>-7.3283298826777005E-2</v>
      </c>
      <c r="H227">
        <v>0.15915834906932799</v>
      </c>
      <c r="I227">
        <v>-6.6770334720400004E-2</v>
      </c>
    </row>
    <row r="228" spans="1:9" x14ac:dyDescent="0.25">
      <c r="A228" s="1" t="s">
        <v>240</v>
      </c>
      <c r="B228" t="str">
        <f>HYPERLINK("https://www.suredividend.com/sure-analysis-CATC/","Cambridge Bancorp")</f>
        <v>Cambridge Bancorp</v>
      </c>
      <c r="C228">
        <v>2.3795359904810001E-3</v>
      </c>
      <c r="D228">
        <v>0.18329482650861301</v>
      </c>
      <c r="E228">
        <v>0.22892010013693101</v>
      </c>
      <c r="F228">
        <v>-2.8818443804034002E-2</v>
      </c>
      <c r="G228">
        <v>-0.147879560235053</v>
      </c>
      <c r="H228">
        <v>-0.186731905086545</v>
      </c>
      <c r="I228">
        <v>1.3387541046706E-2</v>
      </c>
    </row>
    <row r="229" spans="1:9" x14ac:dyDescent="0.25">
      <c r="A229" s="1" t="s">
        <v>241</v>
      </c>
      <c r="B229" t="str">
        <f>HYPERLINK("https://www.suredividend.com/sure-analysis-research-database/","Cato Corp.")</f>
        <v>Cato Corp.</v>
      </c>
      <c r="C229">
        <v>4.9955130122644013E-2</v>
      </c>
      <c r="D229">
        <v>-7.9701543157530003E-3</v>
      </c>
      <c r="E229">
        <v>-9.3093558638865009E-2</v>
      </c>
      <c r="F229">
        <v>-1.6806722689075002E-2</v>
      </c>
      <c r="G229">
        <v>-0.254951072997813</v>
      </c>
      <c r="H229">
        <v>-0.51588210143028501</v>
      </c>
      <c r="I229">
        <v>-0.36045187445907101</v>
      </c>
    </row>
    <row r="230" spans="1:9" x14ac:dyDescent="0.25">
      <c r="A230" s="1" t="s">
        <v>242</v>
      </c>
      <c r="B230" t="str">
        <f>HYPERLINK("https://www.suredividend.com/sure-analysis-research-database/","Cathay General Bancorp")</f>
        <v>Cathay General Bancorp</v>
      </c>
      <c r="C230">
        <v>1.3513513513513001E-2</v>
      </c>
      <c r="D230">
        <v>0.27165532340202703</v>
      </c>
      <c r="E230">
        <v>0.29320124026317701</v>
      </c>
      <c r="F230">
        <v>-4.0834642135965001E-2</v>
      </c>
      <c r="G230">
        <v>5.8312394014036012E-2</v>
      </c>
      <c r="H230">
        <v>1.9301152823643E-2</v>
      </c>
      <c r="I230">
        <v>0.47810843610941112</v>
      </c>
    </row>
    <row r="231" spans="1:9" x14ac:dyDescent="0.25">
      <c r="A231" s="1" t="s">
        <v>243</v>
      </c>
      <c r="B231" t="str">
        <f>HYPERLINK("https://www.suredividend.com/sure-analysis-research-database/","Colony Bankcorp, Inc.")</f>
        <v>Colony Bankcorp, Inc.</v>
      </c>
      <c r="C231">
        <v>3.8556193601312003E-2</v>
      </c>
      <c r="D231">
        <v>0.31285582437183002</v>
      </c>
      <c r="E231">
        <v>0.33775730166110102</v>
      </c>
      <c r="F231">
        <v>-4.8120300751879001E-2</v>
      </c>
      <c r="G231">
        <v>5.9343307561000001E-2</v>
      </c>
      <c r="H231">
        <v>-0.23034367039741199</v>
      </c>
      <c r="I231">
        <v>-1.9721712467187999E-2</v>
      </c>
    </row>
    <row r="232" spans="1:9" x14ac:dyDescent="0.25">
      <c r="A232" s="1" t="s">
        <v>244</v>
      </c>
      <c r="B232" t="str">
        <f>HYPERLINK("https://www.suredividend.com/sure-analysis-research-database/","CBL&amp; Associates Properties, Inc.")</f>
        <v>CBL&amp; Associates Properties, Inc.</v>
      </c>
      <c r="C232">
        <v>5.0606440819740001E-2</v>
      </c>
      <c r="D232">
        <v>0.22674818942320299</v>
      </c>
      <c r="E232">
        <v>0.15608000515449599</v>
      </c>
      <c r="F232">
        <v>2.8665028665028E-2</v>
      </c>
      <c r="G232">
        <v>1.2062560937285E-2</v>
      </c>
      <c r="H232">
        <v>-1.5450219877558E-2</v>
      </c>
      <c r="I232">
        <v>-8.5567238167400007E-3</v>
      </c>
    </row>
    <row r="233" spans="1:9" x14ac:dyDescent="0.25">
      <c r="A233" s="1" t="s">
        <v>245</v>
      </c>
      <c r="B233" t="str">
        <f>HYPERLINK("https://www.suredividend.com/sure-analysis-research-database/","Capital Bancorp Inc")</f>
        <v>Capital Bancorp Inc</v>
      </c>
      <c r="C233">
        <v>-1.7999162829634999E-2</v>
      </c>
      <c r="D233">
        <v>0.202263083451202</v>
      </c>
      <c r="E233">
        <v>0.28226150263994998</v>
      </c>
      <c r="F233">
        <v>-3.0578512396693999E-2</v>
      </c>
      <c r="G233">
        <v>2.408297429316E-2</v>
      </c>
      <c r="H233">
        <v>-9.9700667741192003E-2</v>
      </c>
      <c r="I233">
        <v>1.112580932741402</v>
      </c>
    </row>
    <row r="234" spans="1:9" x14ac:dyDescent="0.25">
      <c r="A234" s="1" t="s">
        <v>246</v>
      </c>
      <c r="B234" t="str">
        <f>HYPERLINK("https://www.suredividend.com/sure-analysis-CBRL/","Cracker Barrel Old Country Store Inc")</f>
        <v>Cracker Barrel Old Country Store Inc</v>
      </c>
      <c r="C234">
        <v>-6.7899637868598012E-2</v>
      </c>
      <c r="D234">
        <v>0.104812303013208</v>
      </c>
      <c r="E234">
        <v>-0.20870892302287</v>
      </c>
      <c r="F234">
        <v>-6.4997405293200999E-2</v>
      </c>
      <c r="G234">
        <v>-0.25881741938469599</v>
      </c>
      <c r="H234">
        <v>-0.374241896706065</v>
      </c>
      <c r="I234">
        <v>-0.47853129174028802</v>
      </c>
    </row>
    <row r="235" spans="1:9" x14ac:dyDescent="0.25">
      <c r="A235" s="1" t="s">
        <v>247</v>
      </c>
      <c r="B235" t="str">
        <f>HYPERLINK("https://www.suredividend.com/sure-analysis-research-database/","Cabot Corp.")</f>
        <v>Cabot Corp.</v>
      </c>
      <c r="C235">
        <v>-4.5926667500937997E-2</v>
      </c>
      <c r="D235">
        <v>0.115977329148906</v>
      </c>
      <c r="E235">
        <v>0.105855493232727</v>
      </c>
      <c r="F235">
        <v>-8.6946107784431001E-2</v>
      </c>
      <c r="G235">
        <v>7.4067551861374009E-2</v>
      </c>
      <c r="H235">
        <v>0.327804298644504</v>
      </c>
      <c r="I235">
        <v>0.92658069830969303</v>
      </c>
    </row>
    <row r="236" spans="1:9" x14ac:dyDescent="0.25">
      <c r="A236" s="1" t="s">
        <v>248</v>
      </c>
      <c r="B236" t="str">
        <f>HYPERLINK("https://www.suredividend.com/sure-analysis-CBU/","Community Bank System, Inc.")</f>
        <v>Community Bank System, Inc.</v>
      </c>
      <c r="C236">
        <v>-2.9016975917882999E-2</v>
      </c>
      <c r="D236">
        <v>0.208938130090492</v>
      </c>
      <c r="E236">
        <v>0.103065665931887</v>
      </c>
      <c r="F236">
        <v>-5.6035309921319998E-2</v>
      </c>
      <c r="G236">
        <v>-0.20614427226394899</v>
      </c>
      <c r="H236">
        <v>-0.31827883074910301</v>
      </c>
      <c r="I236">
        <v>-8.6071650198987007E-2</v>
      </c>
    </row>
    <row r="237" spans="1:9" x14ac:dyDescent="0.25">
      <c r="A237" s="1" t="s">
        <v>249</v>
      </c>
      <c r="B237" t="str">
        <f>HYPERLINK("https://www.suredividend.com/sure-analysis-research-database/","Cbiz Inc")</f>
        <v>Cbiz Inc</v>
      </c>
      <c r="C237">
        <v>4.6442196052413003E-2</v>
      </c>
      <c r="D237">
        <v>0.17202303548207301</v>
      </c>
      <c r="E237">
        <v>0.18501126972201301</v>
      </c>
      <c r="F237">
        <v>7.9884965649460009E-3</v>
      </c>
      <c r="G237">
        <v>0.308378266279552</v>
      </c>
      <c r="H237">
        <v>0.55739323623796599</v>
      </c>
      <c r="I237">
        <v>2.1032956222331531</v>
      </c>
    </row>
    <row r="238" spans="1:9" x14ac:dyDescent="0.25">
      <c r="A238" s="1" t="s">
        <v>250</v>
      </c>
      <c r="B238" t="str">
        <f>HYPERLINK("https://www.suredividend.com/sure-analysis-research-database/","Coastal Financial Corp")</f>
        <v>Coastal Financial Corp</v>
      </c>
      <c r="C238">
        <v>-5.9838637382339008E-2</v>
      </c>
      <c r="D238">
        <v>-1.190476190476E-3</v>
      </c>
      <c r="E238">
        <v>4.6395609877773997E-2</v>
      </c>
      <c r="F238">
        <v>-5.5392929520378012E-2</v>
      </c>
      <c r="G238">
        <v>-8.525948539031801E-2</v>
      </c>
      <c r="H238">
        <v>-0.19124734914208499</v>
      </c>
      <c r="I238">
        <v>1.7726371447455389</v>
      </c>
    </row>
    <row r="239" spans="1:9" x14ac:dyDescent="0.25">
      <c r="A239" s="1" t="s">
        <v>251</v>
      </c>
      <c r="B239" t="str">
        <f>HYPERLINK("https://www.suredividend.com/sure-analysis-research-database/","Capital City Bank Group, Inc.")</f>
        <v>Capital City Bank Group, Inc.</v>
      </c>
      <c r="C239">
        <v>-7.2522982635342001E-2</v>
      </c>
      <c r="D239">
        <v>-5.2782018158488007E-2</v>
      </c>
      <c r="E239">
        <v>-0.127032197898339</v>
      </c>
      <c r="F239">
        <v>-7.4413863404689001E-2</v>
      </c>
      <c r="G239">
        <v>-0.13136370158962901</v>
      </c>
      <c r="H239">
        <v>5.5335371168888002E-2</v>
      </c>
      <c r="I239">
        <v>0.29497223701224601</v>
      </c>
    </row>
    <row r="240" spans="1:9" x14ac:dyDescent="0.25">
      <c r="A240" s="1" t="s">
        <v>252</v>
      </c>
      <c r="B240" t="str">
        <f>HYPERLINK("https://www.suredividend.com/sure-analysis-research-database/","C4 Therapeutics Inc")</f>
        <v>C4 Therapeutics Inc</v>
      </c>
      <c r="C240">
        <v>0.234119782214156</v>
      </c>
      <c r="D240">
        <v>2.4170854271356781</v>
      </c>
      <c r="E240">
        <v>0.86813186813186705</v>
      </c>
      <c r="F240">
        <v>0.20353982300884901</v>
      </c>
      <c r="G240">
        <v>-0.20374707259953101</v>
      </c>
      <c r="H240">
        <v>-0.74852071005917109</v>
      </c>
      <c r="I240">
        <v>-0.73322871714397808</v>
      </c>
    </row>
    <row r="241" spans="1:9" x14ac:dyDescent="0.25">
      <c r="A241" s="1" t="s">
        <v>253</v>
      </c>
      <c r="B241" t="str">
        <f>HYPERLINK("https://www.suredividend.com/sure-analysis-research-database/","Chase Corp.")</f>
        <v>Chase Corp.</v>
      </c>
      <c r="C241">
        <v>6.4735138548980007E-3</v>
      </c>
      <c r="D241">
        <v>1.1825396825396E-2</v>
      </c>
      <c r="E241">
        <v>0.14217882099981999</v>
      </c>
      <c r="F241">
        <v>0.47797356828193799</v>
      </c>
      <c r="G241">
        <v>0.33252226009321001</v>
      </c>
      <c r="H241">
        <v>0.191369509575156</v>
      </c>
      <c r="I241">
        <v>0.20319101848906901</v>
      </c>
    </row>
    <row r="242" spans="1:9" x14ac:dyDescent="0.25">
      <c r="A242" s="1" t="s">
        <v>254</v>
      </c>
      <c r="B242" t="str">
        <f>HYPERLINK("https://www.suredividend.com/sure-analysis-research-database/","CNB Financial Corp (PA)")</f>
        <v>CNB Financial Corp (PA)</v>
      </c>
      <c r="C242">
        <v>-4.4634806131650002E-2</v>
      </c>
      <c r="D242">
        <v>0.200022652622041</v>
      </c>
      <c r="E242">
        <v>0.19063672937315901</v>
      </c>
      <c r="F242">
        <v>-6.1974324922532013E-2</v>
      </c>
      <c r="G242">
        <v>-5.9664070647229013E-2</v>
      </c>
      <c r="H242">
        <v>-0.16036311620590299</v>
      </c>
      <c r="I242">
        <v>4.3446574452055013E-2</v>
      </c>
    </row>
    <row r="243" spans="1:9" x14ac:dyDescent="0.25">
      <c r="A243" s="1" t="s">
        <v>255</v>
      </c>
      <c r="B243" t="str">
        <f>HYPERLINK("https://www.suredividend.com/sure-analysis-research-database/","Clear Channel Outdoor Holdings Inc.")</f>
        <v>Clear Channel Outdoor Holdings Inc.</v>
      </c>
      <c r="C243">
        <v>-1.1834319526627E-2</v>
      </c>
      <c r="D243">
        <v>0.50450450450450401</v>
      </c>
      <c r="E243">
        <v>-5.9523809523800014E-3</v>
      </c>
      <c r="F243">
        <v>-8.2417582417582E-2</v>
      </c>
      <c r="G243">
        <v>0.184397163120567</v>
      </c>
      <c r="H243">
        <v>-0.49240121580547103</v>
      </c>
      <c r="I243">
        <v>-0.62471910112359508</v>
      </c>
    </row>
    <row r="244" spans="1:9" x14ac:dyDescent="0.25">
      <c r="A244" s="1" t="s">
        <v>256</v>
      </c>
      <c r="B244" t="str">
        <f>HYPERLINK("https://www.suredividend.com/sure-analysis-CCOI/","Cogent Communications Holdings Inc")</f>
        <v>Cogent Communications Holdings Inc</v>
      </c>
      <c r="C244">
        <v>4.1932285026207002E-2</v>
      </c>
      <c r="D244">
        <v>0.20823935459812601</v>
      </c>
      <c r="E244">
        <v>0.19171261497879799</v>
      </c>
      <c r="F244">
        <v>-3.3000262950301999E-2</v>
      </c>
      <c r="G244">
        <v>0.23009767192935501</v>
      </c>
      <c r="H244">
        <v>0.31104468247050299</v>
      </c>
      <c r="I244">
        <v>1.006815806778153</v>
      </c>
    </row>
    <row r="245" spans="1:9" x14ac:dyDescent="0.25">
      <c r="A245" s="1" t="s">
        <v>257</v>
      </c>
      <c r="B245" t="str">
        <f>HYPERLINK("https://www.suredividend.com/sure-analysis-research-database/","Cross Country Healthcares, Inc.")</f>
        <v>Cross Country Healthcares, Inc.</v>
      </c>
      <c r="C245">
        <v>5.0023375409069003E-2</v>
      </c>
      <c r="D245">
        <v>-2.3478260869565001E-2</v>
      </c>
      <c r="E245">
        <v>-0.14568276911373099</v>
      </c>
      <c r="F245">
        <v>-7.9505300353350013E-3</v>
      </c>
      <c r="G245">
        <v>-0.19785714285714201</v>
      </c>
      <c r="H245">
        <v>-3.8115631691648E-2</v>
      </c>
      <c r="I245">
        <v>1.5610034207525649</v>
      </c>
    </row>
    <row r="246" spans="1:9" x14ac:dyDescent="0.25">
      <c r="A246" s="1" t="s">
        <v>258</v>
      </c>
      <c r="B246" t="str">
        <f>HYPERLINK("https://www.suredividend.com/sure-analysis-research-database/","Century Communities Inc")</f>
        <v>Century Communities Inc</v>
      </c>
      <c r="C246">
        <v>8.1246870305458005E-2</v>
      </c>
      <c r="D246">
        <v>0.40413224887134502</v>
      </c>
      <c r="E246">
        <v>0.125148508660399</v>
      </c>
      <c r="F246">
        <v>-5.2337063857801007E-2</v>
      </c>
      <c r="G246">
        <v>0.50837227822369302</v>
      </c>
      <c r="H246">
        <v>0.19641781120784599</v>
      </c>
      <c r="I246">
        <v>3.0903989050593639</v>
      </c>
    </row>
    <row r="247" spans="1:9" x14ac:dyDescent="0.25">
      <c r="A247" s="1" t="s">
        <v>259</v>
      </c>
      <c r="B247" t="str">
        <f>HYPERLINK("https://www.suredividend.com/sure-analysis-research-database/","Consensus Cloud Solutions Inc")</f>
        <v>Consensus Cloud Solutions Inc</v>
      </c>
      <c r="C247">
        <v>-0.261244377811094</v>
      </c>
      <c r="D247">
        <v>-0.17427733556765801</v>
      </c>
      <c r="E247">
        <v>-0.42536443148688002</v>
      </c>
      <c r="F247">
        <v>-0.24799694772987399</v>
      </c>
      <c r="G247">
        <v>-0.65439242503945205</v>
      </c>
      <c r="H247">
        <v>-0.66301931954180104</v>
      </c>
      <c r="I247">
        <v>-0.69620838471023405</v>
      </c>
    </row>
    <row r="248" spans="1:9" x14ac:dyDescent="0.25">
      <c r="A248" s="1" t="s">
        <v>260</v>
      </c>
      <c r="B248" t="str">
        <f>HYPERLINK("https://www.suredividend.com/sure-analysis-research-database/","Coeur Mining Inc")</f>
        <v>Coeur Mining Inc</v>
      </c>
      <c r="C248">
        <v>-0.124620060790273</v>
      </c>
      <c r="D248">
        <v>0.151999999999999</v>
      </c>
      <c r="E248">
        <v>-6.1889250814331997E-2</v>
      </c>
      <c r="F248">
        <v>-0.11656441717791401</v>
      </c>
      <c r="G248">
        <v>-0.24210526315789399</v>
      </c>
      <c r="H248">
        <v>-0.44508670520231203</v>
      </c>
      <c r="I248">
        <v>-0.41463414634146301</v>
      </c>
    </row>
    <row r="249" spans="1:9" x14ac:dyDescent="0.25">
      <c r="A249" s="1" t="s">
        <v>261</v>
      </c>
      <c r="B249" t="str">
        <f>HYPERLINK("https://www.suredividend.com/sure-analysis-research-database/","Cardlytics Inc")</f>
        <v>Cardlytics Inc</v>
      </c>
      <c r="C249">
        <v>-0.18417945690672899</v>
      </c>
      <c r="D249">
        <v>-0.37409420289855011</v>
      </c>
      <c r="E249">
        <v>-0.29200819672131101</v>
      </c>
      <c r="F249">
        <v>-0.249728555917481</v>
      </c>
      <c r="G249">
        <v>0.37649402390438202</v>
      </c>
      <c r="H249">
        <v>-0.89784151389710209</v>
      </c>
      <c r="I249">
        <v>-0.48548026805658911</v>
      </c>
    </row>
    <row r="250" spans="1:9" x14ac:dyDescent="0.25">
      <c r="A250" s="1" t="s">
        <v>262</v>
      </c>
      <c r="B250" t="str">
        <f>HYPERLINK("https://www.suredividend.com/sure-analysis-research-database/","Avid Bioservices Inc")</f>
        <v>Avid Bioservices Inc</v>
      </c>
      <c r="C250">
        <v>0.17790262172284599</v>
      </c>
      <c r="D250">
        <v>-0.23572296476306201</v>
      </c>
      <c r="E250">
        <v>-0.5295437546746441</v>
      </c>
      <c r="F250">
        <v>-3.2307692307692003E-2</v>
      </c>
      <c r="G250">
        <v>-0.61434702636419303</v>
      </c>
      <c r="H250">
        <v>-0.69672131147540906</v>
      </c>
      <c r="I250">
        <v>0.36739130434782602</v>
      </c>
    </row>
    <row r="251" spans="1:9" x14ac:dyDescent="0.25">
      <c r="A251" s="1" t="s">
        <v>263</v>
      </c>
      <c r="B251" t="str">
        <f>HYPERLINK("https://www.suredividend.com/sure-analysis-research-database/","Caredx Inc")</f>
        <v>Caredx Inc</v>
      </c>
      <c r="C251">
        <v>4.3601895734597003E-2</v>
      </c>
      <c r="D251">
        <v>0.94867256637168107</v>
      </c>
      <c r="E251">
        <v>8.9020771513353011E-2</v>
      </c>
      <c r="F251">
        <v>-8.2500000000000004E-2</v>
      </c>
      <c r="G251">
        <v>-0.226825842696629</v>
      </c>
      <c r="H251">
        <v>-0.72921790457452007</v>
      </c>
      <c r="I251">
        <v>-0.55497170573969201</v>
      </c>
    </row>
    <row r="252" spans="1:9" x14ac:dyDescent="0.25">
      <c r="A252" s="1" t="s">
        <v>264</v>
      </c>
      <c r="B252" t="str">
        <f>HYPERLINK("https://www.suredividend.com/sure-analysis-research-database/","Cadre Holdings Inc")</f>
        <v>Cadre Holdings Inc</v>
      </c>
      <c r="C252">
        <v>3.2876712328766003E-2</v>
      </c>
      <c r="D252">
        <v>0.230114419130762</v>
      </c>
      <c r="E252">
        <v>0.549032140248356</v>
      </c>
      <c r="F252">
        <v>3.1620553359683001E-2</v>
      </c>
      <c r="G252">
        <v>0.566091556121742</v>
      </c>
      <c r="H252">
        <v>0.67497655131559409</v>
      </c>
      <c r="I252">
        <v>1.287621359223301</v>
      </c>
    </row>
    <row r="253" spans="1:9" x14ac:dyDescent="0.25">
      <c r="A253" s="1" t="s">
        <v>265</v>
      </c>
      <c r="B253" t="str">
        <f>HYPERLINK("https://www.suredividend.com/sure-analysis-research-database/","Codexis Inc.")</f>
        <v>Codexis Inc.</v>
      </c>
      <c r="C253">
        <v>0.36842105263157898</v>
      </c>
      <c r="D253">
        <v>0.43718592964824099</v>
      </c>
      <c r="E253">
        <v>-8.6261980830670007E-2</v>
      </c>
      <c r="F253">
        <v>-6.2295081967213013E-2</v>
      </c>
      <c r="G253">
        <v>-0.54458598726114604</v>
      </c>
      <c r="H253">
        <v>-0.88122923588039803</v>
      </c>
      <c r="I253">
        <v>-0.82258064516129004</v>
      </c>
    </row>
    <row r="254" spans="1:9" x14ac:dyDescent="0.25">
      <c r="A254" s="1" t="s">
        <v>266</v>
      </c>
      <c r="B254" t="str">
        <f>HYPERLINK("https://www.suredividend.com/sure-analysis-research-database/","Consol Energy Inc")</f>
        <v>Consol Energy Inc</v>
      </c>
      <c r="C254">
        <v>6.2879899392160009E-3</v>
      </c>
      <c r="D254">
        <v>-0.10579251257217299</v>
      </c>
      <c r="E254">
        <v>0.47632226322263199</v>
      </c>
      <c r="F254">
        <v>-4.4862230180045003E-2</v>
      </c>
      <c r="G254">
        <v>0.67070335880625209</v>
      </c>
      <c r="H254">
        <v>3.2935650183109222</v>
      </c>
      <c r="I254">
        <v>2.1606111875497849</v>
      </c>
    </row>
    <row r="255" spans="1:9" x14ac:dyDescent="0.25">
      <c r="A255" s="1" t="s">
        <v>267</v>
      </c>
      <c r="B255" t="str">
        <f>HYPERLINK("https://www.suredividend.com/sure-analysis-research-database/","Celsius Holdings Inc")</f>
        <v>Celsius Holdings Inc</v>
      </c>
      <c r="C255">
        <v>0.16303719406436601</v>
      </c>
      <c r="D255">
        <v>0.106188607448764</v>
      </c>
      <c r="E255">
        <v>0.217470244099253</v>
      </c>
      <c r="F255">
        <v>0.106933235509904</v>
      </c>
      <c r="G255">
        <v>0.64321869375685803</v>
      </c>
      <c r="H255">
        <v>2.6036950563394581</v>
      </c>
      <c r="I255">
        <v>45.66357380344855</v>
      </c>
    </row>
    <row r="256" spans="1:9" x14ac:dyDescent="0.25">
      <c r="A256" s="1" t="s">
        <v>268</v>
      </c>
      <c r="B256" t="str">
        <f>HYPERLINK("https://www.suredividend.com/sure-analysis-research-database/","PhenomeX Inc")</f>
        <v>PhenomeX Inc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 s="1" t="s">
        <v>269</v>
      </c>
      <c r="B257" t="str">
        <f>HYPERLINK("https://www.suredividend.com/sure-analysis-research-database/","Celularity Inc")</f>
        <v>Celularity Inc</v>
      </c>
      <c r="C257">
        <v>8.4289276807979013E-2</v>
      </c>
      <c r="D257">
        <v>-0.269489247311827</v>
      </c>
      <c r="E257">
        <v>-0.57455968688845305</v>
      </c>
      <c r="F257">
        <v>-0.12126111560226301</v>
      </c>
      <c r="G257">
        <v>-0.78893203883495111</v>
      </c>
      <c r="H257">
        <v>-0.94799043062200905</v>
      </c>
      <c r="I257">
        <v>-0.97781632653061212</v>
      </c>
    </row>
    <row r="258" spans="1:9" x14ac:dyDescent="0.25">
      <c r="A258" s="1" t="s">
        <v>270</v>
      </c>
      <c r="B258" t="str">
        <f>HYPERLINK("https://www.suredividend.com/sure-analysis-research-database/","Cenntro Electric Group Limited")</f>
        <v>Cenntro Electric Group Limited</v>
      </c>
      <c r="C258">
        <v>-2.2388059701492002E-2</v>
      </c>
      <c r="D258">
        <v>-0.40155322064869797</v>
      </c>
      <c r="E258">
        <v>-0.70998450298870908</v>
      </c>
      <c r="F258">
        <v>-9.0277777777777013E-2</v>
      </c>
      <c r="G258">
        <v>-0.75458973398276508</v>
      </c>
      <c r="H258">
        <v>-0.49808429118773911</v>
      </c>
      <c r="I258">
        <v>-0.99892181069958808</v>
      </c>
    </row>
    <row r="259" spans="1:9" x14ac:dyDescent="0.25">
      <c r="A259" s="1" t="s">
        <v>271</v>
      </c>
      <c r="B259" t="str">
        <f>HYPERLINK("https://www.suredividend.com/sure-analysis-research-database/","Central Garden &amp; Pet Co.")</f>
        <v>Central Garden &amp; Pet Co.</v>
      </c>
      <c r="C259">
        <v>3.3833791499260002E-3</v>
      </c>
      <c r="D259">
        <v>8.6309523809523003E-2</v>
      </c>
      <c r="E259">
        <v>0.213554987212276</v>
      </c>
      <c r="F259">
        <v>-5.3083216922769003E-2</v>
      </c>
      <c r="G259">
        <v>0.176835317460317</v>
      </c>
      <c r="H259">
        <v>-3.183023872679E-2</v>
      </c>
      <c r="I259">
        <v>0.227684346701164</v>
      </c>
    </row>
    <row r="260" spans="1:9" x14ac:dyDescent="0.25">
      <c r="A260" s="1" t="s">
        <v>272</v>
      </c>
      <c r="B260" t="str">
        <f>HYPERLINK("https://www.suredividend.com/sure-analysis-research-database/","Central Garden &amp; Pet Co.")</f>
        <v>Central Garden &amp; Pet Co.</v>
      </c>
      <c r="C260">
        <v>-9.0540862520840006E-3</v>
      </c>
      <c r="D260">
        <v>5.1314459049545007E-2</v>
      </c>
      <c r="E260">
        <v>0.127405801030089</v>
      </c>
      <c r="F260">
        <v>-5.5631244323342002E-2</v>
      </c>
      <c r="G260">
        <v>8.4767866458007005E-2</v>
      </c>
      <c r="H260">
        <v>-7.4749721913236006E-2</v>
      </c>
      <c r="I260">
        <v>0.18254193915268699</v>
      </c>
    </row>
    <row r="261" spans="1:9" x14ac:dyDescent="0.25">
      <c r="A261" s="1" t="s">
        <v>273</v>
      </c>
      <c r="B261" t="str">
        <f>HYPERLINK("https://www.suredividend.com/sure-analysis-research-database/","Century Aluminum Co.")</f>
        <v>Century Aluminum Co.</v>
      </c>
      <c r="C261">
        <v>0.269230769230769</v>
      </c>
      <c r="D261">
        <v>0.67281105990783407</v>
      </c>
      <c r="E261">
        <v>0.19933920704845801</v>
      </c>
      <c r="F261">
        <v>-0.102965403624382</v>
      </c>
      <c r="G261">
        <v>8.7912087912088002E-2</v>
      </c>
      <c r="H261">
        <v>-0.35062611806797811</v>
      </c>
      <c r="I261">
        <v>0.27071178529754902</v>
      </c>
    </row>
    <row r="262" spans="1:9" x14ac:dyDescent="0.25">
      <c r="A262" s="1" t="s">
        <v>274</v>
      </c>
      <c r="B262" t="str">
        <f>HYPERLINK("https://www.suredividend.com/sure-analysis-research-database/","Cerevel Therapeutics Holdings Inc")</f>
        <v>Cerevel Therapeutics Holdings Inc</v>
      </c>
      <c r="C262">
        <v>3.8929440389294002E-2</v>
      </c>
      <c r="D262">
        <v>0.90880643719266807</v>
      </c>
      <c r="E262">
        <v>0.41954787234042501</v>
      </c>
      <c r="F262">
        <v>7.0754716981130004E-3</v>
      </c>
      <c r="G262">
        <v>0.30222628850259198</v>
      </c>
      <c r="H262">
        <v>0.57914201183431901</v>
      </c>
      <c r="I262">
        <v>3.3218623481781369</v>
      </c>
    </row>
    <row r="263" spans="1:9" x14ac:dyDescent="0.25">
      <c r="A263" s="1" t="s">
        <v>275</v>
      </c>
      <c r="B263" t="str">
        <f>HYPERLINK("https://www.suredividend.com/sure-analysis-research-database/","Cerus Corp.")</f>
        <v>Cerus Corp.</v>
      </c>
      <c r="C263">
        <v>-6.3535911602209005E-2</v>
      </c>
      <c r="D263">
        <v>0.31395348837209303</v>
      </c>
      <c r="E263">
        <v>-0.33003952569169898</v>
      </c>
      <c r="F263">
        <v>-0.21527777777777701</v>
      </c>
      <c r="G263">
        <v>-0.46019108280254711</v>
      </c>
      <c r="H263">
        <v>-0.71319796954314707</v>
      </c>
      <c r="I263">
        <v>-0.69786096256684405</v>
      </c>
    </row>
    <row r="264" spans="1:9" x14ac:dyDescent="0.25">
      <c r="A264" s="1" t="s">
        <v>276</v>
      </c>
      <c r="B264" t="str">
        <f>HYPERLINK("https://www.suredividend.com/sure-analysis-research-database/","Ceva Inc.")</f>
        <v>Ceva Inc.</v>
      </c>
      <c r="C264">
        <v>-7.1523767214571002E-2</v>
      </c>
      <c r="D264">
        <v>0.111702127659574</v>
      </c>
      <c r="E264">
        <v>-0.20713201820940799</v>
      </c>
      <c r="F264">
        <v>-7.9700572435050007E-2</v>
      </c>
      <c r="G264">
        <v>-0.314978695509669</v>
      </c>
      <c r="H264">
        <v>-0.47997014182632403</v>
      </c>
      <c r="I264">
        <v>-0.12661930631007101</v>
      </c>
    </row>
    <row r="265" spans="1:9" x14ac:dyDescent="0.25">
      <c r="A265" s="1" t="s">
        <v>277</v>
      </c>
      <c r="B265" t="str">
        <f>HYPERLINK("https://www.suredividend.com/sure-analysis-research-database/","Crossfirst Bankshares Inc")</f>
        <v>Crossfirst Bankshares Inc</v>
      </c>
      <c r="C265">
        <v>4.3443917851500001E-2</v>
      </c>
      <c r="D265">
        <v>0.33975659229208899</v>
      </c>
      <c r="E265">
        <v>0.21639042357274399</v>
      </c>
      <c r="F265">
        <v>-2.7245949926361999E-2</v>
      </c>
      <c r="G265">
        <v>6.1897106109324002E-2</v>
      </c>
      <c r="H265">
        <v>-0.163394553514882</v>
      </c>
      <c r="I265">
        <v>-9.5205479452054001E-2</v>
      </c>
    </row>
    <row r="266" spans="1:9" x14ac:dyDescent="0.25">
      <c r="A266" s="1" t="s">
        <v>278</v>
      </c>
      <c r="B266" t="str">
        <f>HYPERLINK("https://www.suredividend.com/sure-analysis-research-database/","Capitol Federal Financial")</f>
        <v>Capitol Federal Financial</v>
      </c>
      <c r="C266">
        <v>-2.5974025974025001E-2</v>
      </c>
      <c r="D266">
        <v>0.38500957964959198</v>
      </c>
      <c r="E266">
        <v>1.5864415962616001E-2</v>
      </c>
      <c r="F266">
        <v>-6.9767441860465004E-2</v>
      </c>
      <c r="G266">
        <v>-0.250009374882813</v>
      </c>
      <c r="H266">
        <v>-0.3797744446397</v>
      </c>
      <c r="I266">
        <v>-0.36222456073216602</v>
      </c>
    </row>
    <row r="267" spans="1:9" x14ac:dyDescent="0.25">
      <c r="A267" s="1" t="s">
        <v>279</v>
      </c>
      <c r="B267" t="str">
        <f>HYPERLINK("https://www.suredividend.com/sure-analysis-research-database/","Cullinan Oncology Inc")</f>
        <v>Cullinan Oncology Inc</v>
      </c>
      <c r="C267">
        <v>0.24882075471698001</v>
      </c>
      <c r="D267">
        <v>0.20340909090909001</v>
      </c>
      <c r="E267">
        <v>-8.0729166666666005E-2</v>
      </c>
      <c r="F267">
        <v>3.9254170755642012E-2</v>
      </c>
      <c r="G267">
        <v>-3.5519125683060003E-2</v>
      </c>
      <c r="H267">
        <v>-0.206146926536731</v>
      </c>
      <c r="I267">
        <v>-0.64593781344032108</v>
      </c>
    </row>
    <row r="268" spans="1:9" x14ac:dyDescent="0.25">
      <c r="A268" s="1" t="s">
        <v>280</v>
      </c>
      <c r="B268" t="str">
        <f>HYPERLINK("https://www.suredividend.com/sure-analysis-CHCO/","City Holding Co.")</f>
        <v>City Holding Co.</v>
      </c>
      <c r="C268">
        <v>-1.3674469720272E-2</v>
      </c>
      <c r="D268">
        <v>0.16250878307543401</v>
      </c>
      <c r="E268">
        <v>0.153593828490214</v>
      </c>
      <c r="F268">
        <v>-4.7935968936808002E-2</v>
      </c>
      <c r="G268">
        <v>0.16894579305923499</v>
      </c>
      <c r="H268">
        <v>0.34580425350549698</v>
      </c>
      <c r="I268">
        <v>0.82261649382576907</v>
      </c>
    </row>
    <row r="269" spans="1:9" x14ac:dyDescent="0.25">
      <c r="A269" s="1" t="s">
        <v>281</v>
      </c>
      <c r="B269" t="str">
        <f>HYPERLINK("https://www.suredividend.com/sure-analysis-CHCT/","Community Healthcare Trust Inc")</f>
        <v>Community Healthcare Trust Inc</v>
      </c>
      <c r="C269">
        <v>-6.895319757056001E-2</v>
      </c>
      <c r="D269">
        <v>-6.762742305958401E-2</v>
      </c>
      <c r="E269">
        <v>-0.24624133003985699</v>
      </c>
      <c r="F269">
        <v>-2.1771771771771E-2</v>
      </c>
      <c r="G269">
        <v>-0.32329616569116698</v>
      </c>
      <c r="H269">
        <v>-0.38317628708102203</v>
      </c>
      <c r="I269">
        <v>5.2253299900265997E-2</v>
      </c>
    </row>
    <row r="270" spans="1:9" x14ac:dyDescent="0.25">
      <c r="A270" s="1" t="s">
        <v>282</v>
      </c>
      <c r="B270" t="str">
        <f>HYPERLINK("https://www.suredividend.com/sure-analysis-research-database/","Chefs` Warehouse Inc")</f>
        <v>Chefs` Warehouse Inc</v>
      </c>
      <c r="C270">
        <v>2.9965156794425001E-2</v>
      </c>
      <c r="D270">
        <v>0.54764397905759099</v>
      </c>
      <c r="E270">
        <v>-0.20151269584008599</v>
      </c>
      <c r="F270">
        <v>4.4172612979950007E-3</v>
      </c>
      <c r="G270">
        <v>-0.19608376393799201</v>
      </c>
      <c r="H270">
        <v>-9.5471236230110001E-2</v>
      </c>
      <c r="I270">
        <v>-0.12828074314361501</v>
      </c>
    </row>
    <row r="271" spans="1:9" x14ac:dyDescent="0.25">
      <c r="A271" s="1" t="s">
        <v>283</v>
      </c>
      <c r="B271" t="str">
        <f>HYPERLINK("https://www.suredividend.com/sure-analysis-research-database/","Chegg Inc")</f>
        <v>Chegg Inc</v>
      </c>
      <c r="C271">
        <v>1.0928961748633E-2</v>
      </c>
      <c r="D271">
        <v>0.34382566585956398</v>
      </c>
      <c r="E271">
        <v>0.170886075949366</v>
      </c>
      <c r="F271">
        <v>-2.2887323943662E-2</v>
      </c>
      <c r="G271">
        <v>-0.54914703493095007</v>
      </c>
      <c r="H271">
        <v>-0.61973278520041108</v>
      </c>
      <c r="I271">
        <v>-0.65698393077873907</v>
      </c>
    </row>
    <row r="272" spans="1:9" x14ac:dyDescent="0.25">
      <c r="A272" s="1" t="s">
        <v>284</v>
      </c>
      <c r="B272" t="str">
        <f>HYPERLINK("https://www.suredividend.com/sure-analysis-research-database/","Chord Energy Corp")</f>
        <v>Chord Energy Corp</v>
      </c>
      <c r="C272">
        <v>-9.1166299905690012E-3</v>
      </c>
      <c r="D272">
        <v>-5.0786534178309001E-2</v>
      </c>
      <c r="E272">
        <v>2.9010119687718001E-2</v>
      </c>
      <c r="F272">
        <v>-5.1916019972326997E-2</v>
      </c>
      <c r="G272">
        <v>0.24055220316088899</v>
      </c>
      <c r="H272">
        <v>0.39793396713435902</v>
      </c>
      <c r="I272">
        <v>5.1999158133258847</v>
      </c>
    </row>
    <row r="273" spans="1:9" x14ac:dyDescent="0.25">
      <c r="A273" s="1" t="s">
        <v>285</v>
      </c>
      <c r="B273" t="str">
        <f>HYPERLINK("https://www.suredividend.com/sure-analysis-research-database/","Coherus Biosciences Inc")</f>
        <v>Coherus Biosciences Inc</v>
      </c>
      <c r="C273">
        <v>8.4388185654008005E-2</v>
      </c>
      <c r="D273">
        <v>-0.325459317585301</v>
      </c>
      <c r="E273">
        <v>-0.39812646370023402</v>
      </c>
      <c r="F273">
        <v>-0.228228228228228</v>
      </c>
      <c r="G273">
        <v>-0.75406698564593311</v>
      </c>
      <c r="H273">
        <v>-0.81444043321299608</v>
      </c>
      <c r="I273">
        <v>-0.79223928860145509</v>
      </c>
    </row>
    <row r="274" spans="1:9" x14ac:dyDescent="0.25">
      <c r="A274" s="1" t="s">
        <v>286</v>
      </c>
      <c r="B274" t="str">
        <f>HYPERLINK("https://www.suredividend.com/sure-analysis-research-database/","Chico`s Fas, Inc.")</f>
        <v>Chico`s Fas, Inc.</v>
      </c>
      <c r="C274">
        <v>5.2980132450330007E-3</v>
      </c>
      <c r="D274">
        <v>1.6064257028112001E-2</v>
      </c>
      <c r="E274">
        <v>0.36265709156193798</v>
      </c>
      <c r="F274">
        <v>1.31926121372E-3</v>
      </c>
      <c r="G274">
        <v>0.56494845360824708</v>
      </c>
      <c r="H274">
        <v>0.36756756756756698</v>
      </c>
      <c r="I274">
        <v>0.43294064340734001</v>
      </c>
    </row>
    <row r="275" spans="1:9" x14ac:dyDescent="0.25">
      <c r="A275" s="1" t="s">
        <v>287</v>
      </c>
      <c r="B275" t="str">
        <f>HYPERLINK("https://www.suredividend.com/sure-analysis-research-database/","Chuy`s Holdings Inc")</f>
        <v>Chuy`s Holdings Inc</v>
      </c>
      <c r="C275">
        <v>-0.10148849797023</v>
      </c>
      <c r="D275">
        <v>3.3945811273745997E-2</v>
      </c>
      <c r="E275">
        <v>-0.19729206963249499</v>
      </c>
      <c r="F275">
        <v>-0.13157206382422101</v>
      </c>
      <c r="G275">
        <v>1.6222834404652001E-2</v>
      </c>
      <c r="H275">
        <v>0.17605384342897601</v>
      </c>
      <c r="I275">
        <v>0.578697099381835</v>
      </c>
    </row>
    <row r="276" spans="1:9" x14ac:dyDescent="0.25">
      <c r="A276" s="1" t="s">
        <v>288</v>
      </c>
      <c r="B276" t="str">
        <f>HYPERLINK("https://www.suredividend.com/sure-analysis-research-database/","ChampionX Corp.")</f>
        <v>ChampionX Corp.</v>
      </c>
      <c r="C276">
        <v>-9.6487774413837005E-2</v>
      </c>
      <c r="D276">
        <v>-0.205392110039163</v>
      </c>
      <c r="E276">
        <v>-0.21320584627661901</v>
      </c>
      <c r="F276">
        <v>-8.597092412391201E-2</v>
      </c>
      <c r="G276">
        <v>-0.15592013266829999</v>
      </c>
      <c r="H276">
        <v>0.16966773000096599</v>
      </c>
      <c r="I276">
        <v>-0.15114795918367299</v>
      </c>
    </row>
    <row r="277" spans="1:9" x14ac:dyDescent="0.25">
      <c r="A277" s="1" t="s">
        <v>289</v>
      </c>
      <c r="B277" t="str">
        <f>HYPERLINK("https://www.suredividend.com/sure-analysis-research-database/","Cipher Mining Inc")</f>
        <v>Cipher Mining Inc</v>
      </c>
      <c r="C277">
        <v>0.32520325203251998</v>
      </c>
      <c r="D277">
        <v>0.358333333333333</v>
      </c>
      <c r="E277">
        <v>-0.37428023032629498</v>
      </c>
      <c r="F277">
        <v>-0.210653753026634</v>
      </c>
      <c r="G277">
        <v>1.936936936936936</v>
      </c>
      <c r="H277">
        <v>-4.1176470588235002E-2</v>
      </c>
      <c r="I277">
        <v>-0.6673469387755101</v>
      </c>
    </row>
    <row r="278" spans="1:9" x14ac:dyDescent="0.25">
      <c r="A278" s="1" t="s">
        <v>290</v>
      </c>
      <c r="B278" t="str">
        <f>HYPERLINK("https://www.suredividend.com/sure-analysis-CIM/","Chimera Investment Corp")</f>
        <v>Chimera Investment Corp</v>
      </c>
      <c r="C278">
        <v>-6.6953132807030004E-3</v>
      </c>
      <c r="D278">
        <v>-2.5776732333627001E-2</v>
      </c>
      <c r="E278">
        <v>-9.2303758629506003E-2</v>
      </c>
      <c r="F278">
        <v>-4.0080160320640004E-3</v>
      </c>
      <c r="G278">
        <v>-0.175527944128332</v>
      </c>
      <c r="H278">
        <v>-0.55859104392774006</v>
      </c>
      <c r="I278">
        <v>-0.50924243621139109</v>
      </c>
    </row>
    <row r="279" spans="1:9" x14ac:dyDescent="0.25">
      <c r="A279" s="1" t="s">
        <v>291</v>
      </c>
      <c r="B279" t="str">
        <f>HYPERLINK("https://www.suredividend.com/sure-analysis-CIO/","City Office REIT Inc")</f>
        <v>City Office REIT Inc</v>
      </c>
      <c r="C279">
        <v>6.7172079363452999E-2</v>
      </c>
      <c r="D279">
        <v>0.68873277492569507</v>
      </c>
      <c r="E279">
        <v>0.12545693551581899</v>
      </c>
      <c r="F279">
        <v>3.9224489117241003E-2</v>
      </c>
      <c r="G279">
        <v>-0.27215558402235901</v>
      </c>
      <c r="H279">
        <v>-0.63397850721794302</v>
      </c>
      <c r="I279">
        <v>-0.21750779362237499</v>
      </c>
    </row>
    <row r="280" spans="1:9" x14ac:dyDescent="0.25">
      <c r="A280" s="1" t="s">
        <v>292</v>
      </c>
      <c r="B280" t="str">
        <f>HYPERLINK("https://www.suredividend.com/sure-analysis-research-database/","Circor International Inc")</f>
        <v>Circor International Inc</v>
      </c>
      <c r="C280">
        <v>3.9440659734670007E-3</v>
      </c>
      <c r="D280">
        <v>-1.7853954650899999E-4</v>
      </c>
      <c r="E280">
        <v>0.90865712338104998</v>
      </c>
      <c r="F280">
        <v>1.337228714524207</v>
      </c>
      <c r="G280">
        <v>2.1981724728726442</v>
      </c>
      <c r="H280">
        <v>0.73374613003096001</v>
      </c>
      <c r="I280">
        <v>0.45152928978745399</v>
      </c>
    </row>
    <row r="281" spans="1:9" x14ac:dyDescent="0.25">
      <c r="A281" s="1" t="s">
        <v>293</v>
      </c>
      <c r="B281" t="str">
        <f>HYPERLINK("https://www.suredividend.com/sure-analysis-research-database/","CISO Global Inc")</f>
        <v>CISO Global Inc</v>
      </c>
      <c r="C281">
        <v>0.113360323886639</v>
      </c>
      <c r="D281">
        <v>-0.12</v>
      </c>
      <c r="E281">
        <v>-0.45</v>
      </c>
      <c r="F281">
        <v>8.2677165354330007E-2</v>
      </c>
      <c r="G281">
        <v>-0.94554455445544505</v>
      </c>
      <c r="H281">
        <v>-0.97970479704797009</v>
      </c>
      <c r="I281">
        <v>-0.97970479704797009</v>
      </c>
    </row>
    <row r="282" spans="1:9" x14ac:dyDescent="0.25">
      <c r="A282" s="1" t="s">
        <v>294</v>
      </c>
      <c r="B282" t="str">
        <f>HYPERLINK("https://www.suredividend.com/sure-analysis-research-database/","Civista Bancshares Inc")</f>
        <v>Civista Bancshares Inc</v>
      </c>
      <c r="C282">
        <v>-5.9569773855488013E-2</v>
      </c>
      <c r="D282">
        <v>0.134269576960689</v>
      </c>
      <c r="E282">
        <v>2.6817708239233001E-2</v>
      </c>
      <c r="F282">
        <v>-7.5379609544468013E-2</v>
      </c>
      <c r="G282">
        <v>-0.19441714544904701</v>
      </c>
      <c r="H282">
        <v>-0.24775539917495701</v>
      </c>
      <c r="I282">
        <v>0.123314205148139</v>
      </c>
    </row>
    <row r="283" spans="1:9" x14ac:dyDescent="0.25">
      <c r="A283" s="1" t="s">
        <v>295</v>
      </c>
      <c r="B283" t="str">
        <f>HYPERLINK("https://www.suredividend.com/sure-analysis-research-database/","Civitas Resources Inc")</f>
        <v>Civitas Resources Inc</v>
      </c>
      <c r="C283">
        <v>-5.7323879921550008E-3</v>
      </c>
      <c r="D283">
        <v>-0.11676024818085499</v>
      </c>
      <c r="E283">
        <v>-6.6569419562246004E-2</v>
      </c>
      <c r="F283">
        <v>-3.6121673003802E-2</v>
      </c>
      <c r="G283">
        <v>0.149914598210313</v>
      </c>
      <c r="H283">
        <v>0.32729996858461602</v>
      </c>
      <c r="I283">
        <v>1.846838286109191</v>
      </c>
    </row>
    <row r="284" spans="1:9" x14ac:dyDescent="0.25">
      <c r="A284" s="1" t="s">
        <v>296</v>
      </c>
      <c r="B284" t="str">
        <f>HYPERLINK("https://www.suredividend.com/sure-analysis-research-database/","Compx International, Inc.")</f>
        <v>Compx International, Inc.</v>
      </c>
      <c r="C284">
        <v>0.43968871595330711</v>
      </c>
      <c r="D284">
        <v>0.62566797928371709</v>
      </c>
      <c r="E284">
        <v>0.32423666256570799</v>
      </c>
      <c r="F284">
        <v>0.170886075949367</v>
      </c>
      <c r="G284">
        <v>0.74183221918840003</v>
      </c>
      <c r="H284">
        <v>0.633752442349512</v>
      </c>
      <c r="I284">
        <v>1.9273309861940739</v>
      </c>
    </row>
    <row r="285" spans="1:9" x14ac:dyDescent="0.25">
      <c r="A285" s="1" t="s">
        <v>297</v>
      </c>
      <c r="B285" t="str">
        <f>HYPERLINK("https://www.suredividend.com/sure-analysis-research-database/","Clarus Corp")</f>
        <v>Clarus Corp</v>
      </c>
      <c r="C285">
        <v>3.412969283276E-3</v>
      </c>
      <c r="D285">
        <v>1.3548453821491E-2</v>
      </c>
      <c r="E285">
        <v>-0.37379524808570902</v>
      </c>
      <c r="F285">
        <v>-0.147208121827411</v>
      </c>
      <c r="G285">
        <v>-0.367857488416096</v>
      </c>
      <c r="H285">
        <v>-0.75049434368979806</v>
      </c>
      <c r="I285">
        <v>-0.38391257426053699</v>
      </c>
    </row>
    <row r="286" spans="1:9" x14ac:dyDescent="0.25">
      <c r="A286" s="1" t="s">
        <v>298</v>
      </c>
      <c r="B286" t="str">
        <f>HYPERLINK("https://www.suredividend.com/sure-analysis-research-database/","Columbia Financial, Inc")</f>
        <v>Columbia Financial, Inc</v>
      </c>
      <c r="C286">
        <v>-3.3160621761658002E-2</v>
      </c>
      <c r="D286">
        <v>0.196921103271327</v>
      </c>
      <c r="E286">
        <v>3.6666666666666001E-2</v>
      </c>
      <c r="F286">
        <v>-3.2157676348547E-2</v>
      </c>
      <c r="G286">
        <v>-0.15220354384370699</v>
      </c>
      <c r="H286">
        <v>-0.11185149928605401</v>
      </c>
      <c r="I286">
        <v>0.246492985971943</v>
      </c>
    </row>
    <row r="287" spans="1:9" x14ac:dyDescent="0.25">
      <c r="A287" s="1" t="s">
        <v>299</v>
      </c>
      <c r="B287" t="str">
        <f>HYPERLINK("https://www.suredividend.com/sure-analysis-research-database/","Chatham Lodging Trust")</f>
        <v>Chatham Lodging Trust</v>
      </c>
      <c r="C287">
        <v>-1.4019125429393001E-2</v>
      </c>
      <c r="D287">
        <v>0.10299845247863</v>
      </c>
      <c r="E287">
        <v>0.108802555883857</v>
      </c>
      <c r="F287">
        <v>-9.328358208955001E-3</v>
      </c>
      <c r="G287">
        <v>-0.14054723348466799</v>
      </c>
      <c r="H287">
        <v>-0.20092698489135</v>
      </c>
      <c r="I287">
        <v>-0.38943761570214602</v>
      </c>
    </row>
    <row r="288" spans="1:9" x14ac:dyDescent="0.25">
      <c r="A288" s="1" t="s">
        <v>300</v>
      </c>
      <c r="B288" t="str">
        <f>HYPERLINK("https://www.suredividend.com/sure-analysis-research-database/","Celldex Therapeutics Inc.")</f>
        <v>Celldex Therapeutics Inc.</v>
      </c>
      <c r="C288">
        <v>0.21222606689734699</v>
      </c>
      <c r="D288">
        <v>0.60826319816373309</v>
      </c>
      <c r="E288">
        <v>0.12226374799786401</v>
      </c>
      <c r="F288">
        <v>6.0010085728694013E-2</v>
      </c>
      <c r="G288">
        <v>-8.6484137331594005E-2</v>
      </c>
      <c r="H288">
        <v>0.39575033200531201</v>
      </c>
      <c r="I288">
        <v>9.7670636445127421</v>
      </c>
    </row>
    <row r="289" spans="1:9" x14ac:dyDescent="0.25">
      <c r="A289" s="1" t="s">
        <v>301</v>
      </c>
      <c r="B289" t="str">
        <f>HYPERLINK("https://www.suredividend.com/sure-analysis-research-database/","Clearfield Inc")</f>
        <v>Clearfield Inc</v>
      </c>
      <c r="C289">
        <v>-7.5664621676891003E-2</v>
      </c>
      <c r="D289">
        <v>0.10423452768729601</v>
      </c>
      <c r="E289">
        <v>-0.42917280572511002</v>
      </c>
      <c r="F289">
        <v>-6.7400275103163002E-2</v>
      </c>
      <c r="G289">
        <v>-0.66845965770171101</v>
      </c>
      <c r="H289">
        <v>-0.61591842515224404</v>
      </c>
      <c r="I289">
        <v>1.4789762340036561</v>
      </c>
    </row>
    <row r="290" spans="1:9" x14ac:dyDescent="0.25">
      <c r="A290" s="1" t="s">
        <v>302</v>
      </c>
      <c r="B290" t="str">
        <f>HYPERLINK("https://www.suredividend.com/sure-analysis-research-database/","Clean Energy Fuels Corp")</f>
        <v>Clean Energy Fuels Corp</v>
      </c>
      <c r="C290">
        <v>-7.8378378378378008E-2</v>
      </c>
      <c r="D290">
        <v>-0.114285714285714</v>
      </c>
      <c r="E290">
        <v>-0.331372549019607</v>
      </c>
      <c r="F290">
        <v>-0.10966057441253201</v>
      </c>
      <c r="G290">
        <v>-0.41308089500860501</v>
      </c>
      <c r="H290">
        <v>-0.43543046357615811</v>
      </c>
      <c r="I290">
        <v>0.68811881188118806</v>
      </c>
    </row>
    <row r="291" spans="1:9" x14ac:dyDescent="0.25">
      <c r="A291" s="1" t="s">
        <v>303</v>
      </c>
      <c r="B291" t="str">
        <f>HYPERLINK("https://www.suredividend.com/sure-analysis-research-database/","Clover Health Investments Corp")</f>
        <v>Clover Health Investments Corp</v>
      </c>
      <c r="C291">
        <v>3.682111077017E-3</v>
      </c>
      <c r="D291">
        <v>-4.7281553398058E-2</v>
      </c>
      <c r="E291">
        <v>3.169086076467E-3</v>
      </c>
      <c r="F291">
        <v>3.0669047368972999E-2</v>
      </c>
      <c r="G291">
        <v>-0.20862903225806401</v>
      </c>
      <c r="H291">
        <v>-0.68035830618892501</v>
      </c>
      <c r="I291">
        <v>-0.90379411764705808</v>
      </c>
    </row>
    <row r="292" spans="1:9" x14ac:dyDescent="0.25">
      <c r="A292" s="1" t="s">
        <v>304</v>
      </c>
      <c r="B292" t="str">
        <f>HYPERLINK("https://www.suredividend.com/sure-analysis-CLPR/","Clipper Realty Inc")</f>
        <v>Clipper Realty Inc</v>
      </c>
      <c r="C292">
        <v>-3.8817005545286012E-2</v>
      </c>
      <c r="D292">
        <v>6.8903140930768006E-2</v>
      </c>
      <c r="E292">
        <v>-0.13987031890962001</v>
      </c>
      <c r="F292">
        <v>-3.7037037037037E-2</v>
      </c>
      <c r="G292">
        <v>-0.206990682140515</v>
      </c>
      <c r="H292">
        <v>-0.38595248216900402</v>
      </c>
      <c r="I292">
        <v>-0.49601659268448611</v>
      </c>
    </row>
    <row r="293" spans="1:9" x14ac:dyDescent="0.25">
      <c r="A293" s="1" t="s">
        <v>305</v>
      </c>
      <c r="B293" t="str">
        <f>HYPERLINK("https://www.suredividend.com/sure-analysis-research-database/","Cleanspark Inc")</f>
        <v>Cleanspark Inc</v>
      </c>
      <c r="C293">
        <v>-0.20585365853658499</v>
      </c>
      <c r="D293">
        <v>1.3125</v>
      </c>
      <c r="E293">
        <v>8.9692101740294003E-2</v>
      </c>
      <c r="F293">
        <v>-0.26201269265639099</v>
      </c>
      <c r="G293">
        <v>2.1550387596899219</v>
      </c>
      <c r="H293">
        <v>-3.6719706242340001E-3</v>
      </c>
      <c r="I293">
        <v>0.59607843137254901</v>
      </c>
    </row>
    <row r="294" spans="1:9" x14ac:dyDescent="0.25">
      <c r="A294" s="1" t="s">
        <v>306</v>
      </c>
      <c r="B294" t="str">
        <f>HYPERLINK("https://www.suredividend.com/sure-analysis-research-database/","Clearwater Paper Corp")</f>
        <v>Clearwater Paper Corp</v>
      </c>
      <c r="C294">
        <v>-3.2645089285714003E-2</v>
      </c>
      <c r="D294">
        <v>-4.8834019204389012E-2</v>
      </c>
      <c r="E294">
        <v>9.1624685138538012E-2</v>
      </c>
      <c r="F294">
        <v>-4.0143964562569003E-2</v>
      </c>
      <c r="G294">
        <v>-5.1695842450765007E-2</v>
      </c>
      <c r="H294">
        <v>-5.7111775904269003E-2</v>
      </c>
      <c r="I294">
        <v>0.151827242524916</v>
      </c>
    </row>
    <row r="295" spans="1:9" x14ac:dyDescent="0.25">
      <c r="A295" s="1" t="s">
        <v>307</v>
      </c>
      <c r="B295" t="str">
        <f>HYPERLINK("https://www.suredividend.com/sure-analysis-research-database/","CareMax Inc")</f>
        <v>CareMax Inc</v>
      </c>
      <c r="C295">
        <v>-0.247355573637103</v>
      </c>
      <c r="D295">
        <v>-0.86090225563909706</v>
      </c>
      <c r="E295">
        <v>-0.86446886446886406</v>
      </c>
      <c r="F295">
        <v>-0.25732637494981903</v>
      </c>
      <c r="G295">
        <v>-0.91796008869179602</v>
      </c>
      <c r="H295">
        <v>-0.95006747638326505</v>
      </c>
      <c r="I295">
        <v>-0.96262626262626205</v>
      </c>
    </row>
    <row r="296" spans="1:9" x14ac:dyDescent="0.25">
      <c r="A296" s="1" t="s">
        <v>308</v>
      </c>
      <c r="B296" t="str">
        <f>HYPERLINK("https://www.suredividend.com/sure-analysis-research-database/","Cambium Networks Corp")</f>
        <v>Cambium Networks Corp</v>
      </c>
      <c r="C296">
        <v>4.1580041580040004E-3</v>
      </c>
      <c r="D296">
        <v>-4.5454545454544998E-2</v>
      </c>
      <c r="E296">
        <v>-0.68431372549019609</v>
      </c>
      <c r="F296">
        <v>-0.19499999999999901</v>
      </c>
      <c r="G296">
        <v>-0.78485523385300604</v>
      </c>
      <c r="H296">
        <v>-0.79790794979079405</v>
      </c>
      <c r="I296">
        <v>-0.50206185567010309</v>
      </c>
    </row>
    <row r="297" spans="1:9" x14ac:dyDescent="0.25">
      <c r="A297" s="1" t="s">
        <v>309</v>
      </c>
      <c r="B297" t="str">
        <f>HYPERLINK("https://www.suredividend.com/sure-analysis-research-database/","Commercial Metals Co.")</f>
        <v>Commercial Metals Co.</v>
      </c>
      <c r="C297">
        <v>5.9221658206429002E-2</v>
      </c>
      <c r="D297">
        <v>0.16496001265451701</v>
      </c>
      <c r="E297">
        <v>-0.101023555049741</v>
      </c>
      <c r="F297">
        <v>7.9936051159000001E-4</v>
      </c>
      <c r="G297">
        <v>-9.4747801943544013E-2</v>
      </c>
      <c r="H297">
        <v>0.36047768849190098</v>
      </c>
      <c r="I297">
        <v>2.4915256600642808</v>
      </c>
    </row>
    <row r="298" spans="1:9" x14ac:dyDescent="0.25">
      <c r="A298" s="1" t="s">
        <v>310</v>
      </c>
      <c r="B298" t="str">
        <f>HYPERLINK("https://www.suredividend.com/sure-analysis-research-database/","Columbus Mckinnon Corp.")</f>
        <v>Columbus Mckinnon Corp.</v>
      </c>
      <c r="C298">
        <v>-2.8172722485518002E-2</v>
      </c>
      <c r="D298">
        <v>9.140155356915701E-2</v>
      </c>
      <c r="E298">
        <v>-0.10965413765986901</v>
      </c>
      <c r="F298">
        <v>-5.4074833418759002E-2</v>
      </c>
      <c r="G298">
        <v>2.821389969134E-2</v>
      </c>
      <c r="H298">
        <v>-0.229663084561747</v>
      </c>
      <c r="I298">
        <v>0.16731025278544601</v>
      </c>
    </row>
    <row r="299" spans="1:9" x14ac:dyDescent="0.25">
      <c r="A299" s="1" t="s">
        <v>311</v>
      </c>
      <c r="B299" t="str">
        <f>HYPERLINK("https://www.suredividend.com/sure-analysis-research-database/","Cumulus Media Inc.")</f>
        <v>Cumulus Media Inc.</v>
      </c>
      <c r="C299">
        <v>-1.2024048096192E-2</v>
      </c>
      <c r="D299">
        <v>-5.7361376673039997E-2</v>
      </c>
      <c r="E299">
        <v>5.5674518201284003E-2</v>
      </c>
      <c r="F299">
        <v>-7.3308270676691004E-2</v>
      </c>
      <c r="G299">
        <v>-0.269629629629629</v>
      </c>
      <c r="H299">
        <v>-0.54436229205175601</v>
      </c>
      <c r="I299">
        <v>-0.58916666666666606</v>
      </c>
    </row>
    <row r="300" spans="1:9" x14ac:dyDescent="0.25">
      <c r="A300" s="1" t="s">
        <v>312</v>
      </c>
      <c r="B300" t="str">
        <f>HYPERLINK("https://www.suredividend.com/sure-analysis-CMP/","Compass Minerals International Inc")</f>
        <v>Compass Minerals International Inc</v>
      </c>
      <c r="C300">
        <v>-0.17206477732793499</v>
      </c>
      <c r="D300">
        <v>-0.24548490047410801</v>
      </c>
      <c r="E300">
        <v>-0.38552790514593999</v>
      </c>
      <c r="F300">
        <v>-0.192338072669826</v>
      </c>
      <c r="G300">
        <v>-0.55640586802369607</v>
      </c>
      <c r="H300">
        <v>-0.60593657987636607</v>
      </c>
      <c r="I300">
        <v>-0.45095070101110901</v>
      </c>
    </row>
    <row r="301" spans="1:9" x14ac:dyDescent="0.25">
      <c r="A301" s="1" t="s">
        <v>313</v>
      </c>
      <c r="B301" t="str">
        <f>HYPERLINK("https://www.suredividend.com/sure-analysis-research-database/","CompoSecure Inc")</f>
        <v>CompoSecure Inc</v>
      </c>
      <c r="C301">
        <v>8.7398373983739008E-2</v>
      </c>
      <c r="D301">
        <v>-0.14399999999999999</v>
      </c>
      <c r="E301">
        <v>-0.22910662824207501</v>
      </c>
      <c r="F301">
        <v>-9.2592592592590003E-3</v>
      </c>
      <c r="G301">
        <v>6.3618290258449006E-2</v>
      </c>
      <c r="H301">
        <v>-0.27994616419919199</v>
      </c>
      <c r="I301">
        <v>-0.45795339412360597</v>
      </c>
    </row>
    <row r="302" spans="1:9" x14ac:dyDescent="0.25">
      <c r="A302" s="1" t="s">
        <v>314</v>
      </c>
      <c r="B302" t="str">
        <f>HYPERLINK("https://www.suredividend.com/sure-analysis-research-database/","Cimpress plc")</f>
        <v>Cimpress plc</v>
      </c>
      <c r="C302">
        <v>-7.2141503474415003E-2</v>
      </c>
      <c r="D302">
        <v>0.12811059907834099</v>
      </c>
      <c r="E302">
        <v>0.18318028032866099</v>
      </c>
      <c r="F302">
        <v>-8.2573391630231002E-2</v>
      </c>
      <c r="G302">
        <v>1.4102395799146701</v>
      </c>
      <c r="H302">
        <v>2.0425177157147999E-2</v>
      </c>
      <c r="I302">
        <v>-0.36172431774726199</v>
      </c>
    </row>
    <row r="303" spans="1:9" x14ac:dyDescent="0.25">
      <c r="A303" s="1" t="s">
        <v>315</v>
      </c>
      <c r="B303" t="str">
        <f>HYPERLINK("https://www.suredividend.com/sure-analysis-research-database/","Costamare Inc")</f>
        <v>Costamare Inc</v>
      </c>
      <c r="C303">
        <v>0.128151260504201</v>
      </c>
      <c r="D303">
        <v>0.13156258889719999</v>
      </c>
      <c r="E303">
        <v>9.5717113183292013E-2</v>
      </c>
      <c r="F303">
        <v>3.1700288184438E-2</v>
      </c>
      <c r="G303">
        <v>0.15008995116936499</v>
      </c>
      <c r="H303">
        <v>-9.4435075885328013E-2</v>
      </c>
      <c r="I303">
        <v>1.7649057769539691</v>
      </c>
    </row>
    <row r="304" spans="1:9" x14ac:dyDescent="0.25">
      <c r="A304" s="1" t="s">
        <v>316</v>
      </c>
      <c r="B304" t="str">
        <f>HYPERLINK("https://www.suredividend.com/sure-analysis-research-database/","Chimerix Inc")</f>
        <v>Chimerix Inc</v>
      </c>
      <c r="C304">
        <v>1.2124406958355E-2</v>
      </c>
      <c r="D304">
        <v>-2.4786672084517999E-2</v>
      </c>
      <c r="E304">
        <v>-0.206611570247933</v>
      </c>
      <c r="F304">
        <v>-2.5974025974019998E-3</v>
      </c>
      <c r="G304">
        <v>-0.53398058252427105</v>
      </c>
      <c r="H304">
        <v>-0.8344827586206891</v>
      </c>
      <c r="I304">
        <v>-0.68729641693811006</v>
      </c>
    </row>
    <row r="305" spans="1:9" x14ac:dyDescent="0.25">
      <c r="A305" s="1" t="s">
        <v>317</v>
      </c>
      <c r="B305" t="str">
        <f>HYPERLINK("https://www.suredividend.com/sure-analysis-research-database/","Claros Mortgage Trust Inc")</f>
        <v>Claros Mortgage Trust Inc</v>
      </c>
      <c r="C305">
        <v>-7.3655168321825004E-2</v>
      </c>
      <c r="D305">
        <v>0.135784955623454</v>
      </c>
      <c r="E305">
        <v>0.106553383005678</v>
      </c>
      <c r="F305">
        <v>-8.3639031548055007E-2</v>
      </c>
      <c r="G305">
        <v>-0.14235882223687099</v>
      </c>
      <c r="H305">
        <v>-0.160437728543772</v>
      </c>
      <c r="I305">
        <v>-8.2925826394701002E-2</v>
      </c>
    </row>
    <row r="306" spans="1:9" x14ac:dyDescent="0.25">
      <c r="A306" s="1" t="s">
        <v>318</v>
      </c>
      <c r="B306" t="str">
        <f>HYPERLINK("https://www.suredividend.com/sure-analysis-research-database/","Comtech Telecommunications Corp.")</f>
        <v>Comtech Telecommunications Corp.</v>
      </c>
      <c r="C306">
        <v>5.5702917771883013E-2</v>
      </c>
      <c r="D306">
        <v>-0.232401157184185</v>
      </c>
      <c r="E306">
        <v>-0.120441988950276</v>
      </c>
      <c r="F306">
        <v>-5.5753262158956013E-2</v>
      </c>
      <c r="G306">
        <v>-0.40949554896142398</v>
      </c>
      <c r="H306">
        <v>-0.645959445455071</v>
      </c>
      <c r="I306">
        <v>-0.65545600138510107</v>
      </c>
    </row>
    <row r="307" spans="1:9" x14ac:dyDescent="0.25">
      <c r="A307" s="1" t="s">
        <v>319</v>
      </c>
      <c r="B307" t="str">
        <f>HYPERLINK("https://www.suredividend.com/sure-analysis-research-database/","Conduent Inc")</f>
        <v>Conduent Inc</v>
      </c>
      <c r="C307">
        <v>4.7477744807120997E-2</v>
      </c>
      <c r="D307">
        <v>7.2948328267477006E-2</v>
      </c>
      <c r="E307">
        <v>-2.4861878453038E-2</v>
      </c>
      <c r="F307">
        <v>-3.2876712328767002E-2</v>
      </c>
      <c r="G307">
        <v>-0.24893617021276601</v>
      </c>
      <c r="H307">
        <v>-0.39554794520547898</v>
      </c>
      <c r="I307">
        <v>-0.70286195286195208</v>
      </c>
    </row>
    <row r="308" spans="1:9" x14ac:dyDescent="0.25">
      <c r="A308" s="1" t="s">
        <v>320</v>
      </c>
      <c r="B308" t="str">
        <f>HYPERLINK("https://www.suredividend.com/sure-analysis-research-database/","Cinemark Holdings Inc")</f>
        <v>Cinemark Holdings Inc</v>
      </c>
      <c r="C308">
        <v>-0.12223667100130001</v>
      </c>
      <c r="D308">
        <v>-0.20588235294117599</v>
      </c>
      <c r="E308">
        <v>-0.17833231892878801</v>
      </c>
      <c r="F308">
        <v>-4.1873669268985003E-2</v>
      </c>
      <c r="G308">
        <v>0.248843663274745</v>
      </c>
      <c r="H308">
        <v>-0.21236872812135299</v>
      </c>
      <c r="I308">
        <v>-0.64142854866213006</v>
      </c>
    </row>
    <row r="309" spans="1:9" x14ac:dyDescent="0.25">
      <c r="A309" s="1" t="s">
        <v>321</v>
      </c>
      <c r="B309" t="str">
        <f>HYPERLINK("https://www.suredividend.com/sure-analysis-research-database/","Conmed Corp.")</f>
        <v>Conmed Corp.</v>
      </c>
      <c r="C309">
        <v>3.8113151512150002E-3</v>
      </c>
      <c r="D309">
        <v>0.19655387335237801</v>
      </c>
      <c r="E309">
        <v>-0.16728009520211701</v>
      </c>
      <c r="F309">
        <v>1.8537119897725999E-2</v>
      </c>
      <c r="G309">
        <v>0.17054434404810601</v>
      </c>
      <c r="H309">
        <v>-0.170587303605647</v>
      </c>
      <c r="I309">
        <v>0.8072113468374611</v>
      </c>
    </row>
    <row r="310" spans="1:9" x14ac:dyDescent="0.25">
      <c r="A310" s="1" t="s">
        <v>322</v>
      </c>
      <c r="B310" t="str">
        <f>HYPERLINK("https://www.suredividend.com/sure-analysis-research-database/","Cannae Holdings Inc")</f>
        <v>Cannae Holdings Inc</v>
      </c>
      <c r="C310">
        <v>5.1867219917012007E-2</v>
      </c>
      <c r="D310">
        <v>0.11184210526315699</v>
      </c>
      <c r="E310">
        <v>-3.8862559241706E-2</v>
      </c>
      <c r="F310">
        <v>3.9466940030753003E-2</v>
      </c>
      <c r="G310">
        <v>-0.138121546961325</v>
      </c>
      <c r="H310">
        <v>-0.38952438290186597</v>
      </c>
      <c r="I310">
        <v>0.122923588039867</v>
      </c>
    </row>
    <row r="311" spans="1:9" x14ac:dyDescent="0.25">
      <c r="A311" s="1" t="s">
        <v>323</v>
      </c>
      <c r="B311" t="str">
        <f>HYPERLINK("https://www.suredividend.com/sure-analysis-research-database/","CNO Financial Group Inc")</f>
        <v>CNO Financial Group Inc</v>
      </c>
      <c r="C311">
        <v>0</v>
      </c>
      <c r="D311">
        <v>0.151832905627028</v>
      </c>
      <c r="E311">
        <v>0.129658643909593</v>
      </c>
      <c r="F311">
        <v>-2.8315412186379001E-2</v>
      </c>
      <c r="G311">
        <v>0.19907470885616799</v>
      </c>
      <c r="H311">
        <v>9.6465506432786008E-2</v>
      </c>
      <c r="I311">
        <v>0.85405553275885604</v>
      </c>
    </row>
    <row r="312" spans="1:9" x14ac:dyDescent="0.25">
      <c r="A312" s="1" t="s">
        <v>324</v>
      </c>
      <c r="B312" t="str">
        <f>HYPERLINK("https://www.suredividend.com/sure-analysis-research-database/","ConnectOne Bancorp Inc.")</f>
        <v>ConnectOne Bancorp Inc.</v>
      </c>
      <c r="C312">
        <v>1.7921146953404E-2</v>
      </c>
      <c r="D312">
        <v>0.33914099292117711</v>
      </c>
      <c r="E312">
        <v>0.37286773458696099</v>
      </c>
      <c r="F312">
        <v>-8.2933216935830011E-3</v>
      </c>
      <c r="G312">
        <v>-6.6131226648142E-2</v>
      </c>
      <c r="H312">
        <v>-0.32474202292072801</v>
      </c>
      <c r="I312">
        <v>0.35046778967890702</v>
      </c>
    </row>
    <row r="313" spans="1:9" x14ac:dyDescent="0.25">
      <c r="A313" s="1" t="s">
        <v>325</v>
      </c>
      <c r="B313" t="str">
        <f>HYPERLINK("https://www.suredividend.com/sure-analysis-CNS/","Cohen &amp; Steers Inc.")</f>
        <v>Cohen &amp; Steers Inc.</v>
      </c>
      <c r="C313">
        <v>9.4758661533900015E-3</v>
      </c>
      <c r="D313">
        <v>0.23006422746626201</v>
      </c>
      <c r="E313">
        <v>8.5539147394817008E-2</v>
      </c>
      <c r="F313">
        <v>-9.9696289449359002E-2</v>
      </c>
      <c r="G313">
        <v>-4.2111681516885012E-2</v>
      </c>
      <c r="H313">
        <v>-0.176036661413668</v>
      </c>
      <c r="I313">
        <v>1.3408879443240851</v>
      </c>
    </row>
    <row r="314" spans="1:9" x14ac:dyDescent="0.25">
      <c r="A314" s="1" t="s">
        <v>326</v>
      </c>
      <c r="B314" t="str">
        <f>HYPERLINK("https://www.suredividend.com/sure-analysis-research-database/","Consolidated Communications Holdings Inc")</f>
        <v>Consolidated Communications Holdings Inc</v>
      </c>
      <c r="C314">
        <v>3.8724373576309E-2</v>
      </c>
      <c r="D314">
        <v>0.291784702549575</v>
      </c>
      <c r="E314">
        <v>0.106796116504854</v>
      </c>
      <c r="F314">
        <v>4.8275862068965003E-2</v>
      </c>
      <c r="G314">
        <v>1.3333333333332999E-2</v>
      </c>
      <c r="H314">
        <v>-0.37016574585635298</v>
      </c>
      <c r="I314">
        <v>-0.56613575383912706</v>
      </c>
    </row>
    <row r="315" spans="1:9" x14ac:dyDescent="0.25">
      <c r="A315" s="1" t="s">
        <v>327</v>
      </c>
      <c r="B315" t="str">
        <f>HYPERLINK("https://www.suredividend.com/sure-analysis-research-database/","Century Casinos Inc.")</f>
        <v>Century Casinos Inc.</v>
      </c>
      <c r="C315">
        <v>-5.0772626931567012E-2</v>
      </c>
      <c r="D315">
        <v>-9.8532494758909003E-2</v>
      </c>
      <c r="E315">
        <v>-0.43495400788436211</v>
      </c>
      <c r="F315">
        <v>-0.11885245901639301</v>
      </c>
      <c r="G315">
        <v>-0.46047678795482999</v>
      </c>
      <c r="H315">
        <v>-0.62114537444933904</v>
      </c>
      <c r="I315">
        <v>-0.45362134688691202</v>
      </c>
    </row>
    <row r="316" spans="1:9" x14ac:dyDescent="0.25">
      <c r="A316" s="1" t="s">
        <v>328</v>
      </c>
      <c r="B316" t="str">
        <f>HYPERLINK("https://www.suredividend.com/sure-analysis-research-database/","CNX Resources Corp")</f>
        <v>CNX Resources Corp</v>
      </c>
      <c r="C316">
        <v>8.0160320641280008E-3</v>
      </c>
      <c r="D316">
        <v>-0.131635735865343</v>
      </c>
      <c r="E316">
        <v>0.124650642817216</v>
      </c>
      <c r="F316">
        <v>6.0000000000000001E-3</v>
      </c>
      <c r="G316">
        <v>0.20406941950927501</v>
      </c>
      <c r="H316">
        <v>0.32281393819855297</v>
      </c>
      <c r="I316">
        <v>0.59936406995230507</v>
      </c>
    </row>
    <row r="317" spans="1:9" x14ac:dyDescent="0.25">
      <c r="A317" s="1" t="s">
        <v>329</v>
      </c>
      <c r="B317" t="str">
        <f>HYPERLINK("https://www.suredividend.com/sure-analysis-research-database/","PC Connection, Inc.")</f>
        <v>PC Connection, Inc.</v>
      </c>
      <c r="C317">
        <v>1.392111368909E-3</v>
      </c>
      <c r="D317">
        <v>0.20932717399629</v>
      </c>
      <c r="E317">
        <v>0.41490568388200799</v>
      </c>
      <c r="F317">
        <v>-3.6750483558993997E-2</v>
      </c>
      <c r="G317">
        <v>0.31600077244407299</v>
      </c>
      <c r="H317">
        <v>0.60739690587268402</v>
      </c>
      <c r="I317">
        <v>1.162216321827563</v>
      </c>
    </row>
    <row r="318" spans="1:9" x14ac:dyDescent="0.25">
      <c r="A318" s="1" t="s">
        <v>330</v>
      </c>
      <c r="B318" t="str">
        <f>HYPERLINK("https://www.suredividend.com/sure-analysis-research-database/","Vita Coco Company Inc (The)")</f>
        <v>Vita Coco Company Inc (The)</v>
      </c>
      <c r="C318">
        <v>-6.5703971119133009E-2</v>
      </c>
      <c r="D318">
        <v>-1.5220700152207001E-2</v>
      </c>
      <c r="E318">
        <v>5.4175152749490002E-2</v>
      </c>
      <c r="F318">
        <v>8.9668615984400003E-3</v>
      </c>
      <c r="G318">
        <v>0.90996309963099609</v>
      </c>
      <c r="H318">
        <v>1.52734375</v>
      </c>
      <c r="I318">
        <v>0.91420118343195211</v>
      </c>
    </row>
    <row r="319" spans="1:9" x14ac:dyDescent="0.25">
      <c r="A319" s="1" t="s">
        <v>331</v>
      </c>
      <c r="B319" t="str">
        <f>HYPERLINK("https://www.suredividend.com/sure-analysis-CODI/","Compass Diversified Holdings")</f>
        <v>Compass Diversified Holdings</v>
      </c>
      <c r="C319">
        <v>2.4470588235294001E-2</v>
      </c>
      <c r="D319">
        <v>0.20772008854025001</v>
      </c>
      <c r="E319">
        <v>9.599777396466001E-3</v>
      </c>
      <c r="F319">
        <v>-3.0289532293986E-2</v>
      </c>
      <c r="G319">
        <v>8.6506261011044E-2</v>
      </c>
      <c r="H319">
        <v>-0.148098581077379</v>
      </c>
      <c r="I319">
        <v>1.0513352053219751</v>
      </c>
    </row>
    <row r="320" spans="1:9" x14ac:dyDescent="0.25">
      <c r="A320" s="1" t="s">
        <v>332</v>
      </c>
      <c r="B320" t="str">
        <f>HYPERLINK("https://www.suredividend.com/sure-analysis-research-database/","Cogent Biosciences Inc")</f>
        <v>Cogent Biosciences Inc</v>
      </c>
      <c r="C320">
        <v>0.14221218961625201</v>
      </c>
      <c r="D320">
        <v>-0.46848739495798303</v>
      </c>
      <c r="E320">
        <v>-0.58995137763371108</v>
      </c>
      <c r="F320">
        <v>-0.13945578231292499</v>
      </c>
      <c r="G320">
        <v>-0.61166538756715205</v>
      </c>
      <c r="H320">
        <v>-0.36749999999999999</v>
      </c>
      <c r="I320">
        <v>0.129464285714285</v>
      </c>
    </row>
    <row r="321" spans="1:9" x14ac:dyDescent="0.25">
      <c r="A321" s="1" t="s">
        <v>333</v>
      </c>
      <c r="B321" t="str">
        <f>HYPERLINK("https://www.suredividend.com/sure-analysis-research-database/","Cohu, Inc.")</f>
        <v>Cohu, Inc.</v>
      </c>
      <c r="C321">
        <v>-3.368482718219E-2</v>
      </c>
      <c r="D321">
        <v>-4.9005477082732E-2</v>
      </c>
      <c r="E321">
        <v>-0.17110552763819001</v>
      </c>
      <c r="F321">
        <v>-6.7815767165866001E-2</v>
      </c>
      <c r="G321">
        <v>-8.3101723179544007E-2</v>
      </c>
      <c r="H321">
        <v>-6.2784090909089998E-2</v>
      </c>
      <c r="I321">
        <v>0.92047968331586905</v>
      </c>
    </row>
    <row r="322" spans="1:9" x14ac:dyDescent="0.25">
      <c r="A322" s="1" t="s">
        <v>334</v>
      </c>
      <c r="B322" t="str">
        <f>HYPERLINK("https://www.suredividend.com/sure-analysis-research-database/","Coca-Cola Consolidated Inc")</f>
        <v>Coca-Cola Consolidated Inc</v>
      </c>
      <c r="C322">
        <v>6.3427863371753004E-2</v>
      </c>
      <c r="D322">
        <v>0.46599268260610599</v>
      </c>
      <c r="E322">
        <v>0.45785774781394212</v>
      </c>
      <c r="F322">
        <v>-2.0120637656182001E-2</v>
      </c>
      <c r="G322">
        <v>0.84907550290008005</v>
      </c>
      <c r="H322">
        <v>0.47348752592354498</v>
      </c>
      <c r="I322">
        <v>3.4388104620320981</v>
      </c>
    </row>
    <row r="323" spans="1:9" x14ac:dyDescent="0.25">
      <c r="A323" s="1" t="s">
        <v>335</v>
      </c>
      <c r="B323" t="str">
        <f>HYPERLINK("https://www.suredividend.com/sure-analysis-research-database/","Collegium Pharmaceutical Inc")</f>
        <v>Collegium Pharmaceutical Inc</v>
      </c>
      <c r="C323">
        <v>0.141502808988764</v>
      </c>
      <c r="D323">
        <v>0.48447488584474802</v>
      </c>
      <c r="E323">
        <v>0.53132359868111101</v>
      </c>
      <c r="F323">
        <v>5.6205328135152013E-2</v>
      </c>
      <c r="G323">
        <v>0.13156978767838401</v>
      </c>
      <c r="H323">
        <v>0.79217199558985607</v>
      </c>
      <c r="I323">
        <v>1.038244514106583</v>
      </c>
    </row>
    <row r="324" spans="1:9" x14ac:dyDescent="0.25">
      <c r="A324" s="1" t="s">
        <v>336</v>
      </c>
      <c r="B324" t="str">
        <f>HYPERLINK("https://www.suredividend.com/sure-analysis-research-database/","CommScope Holding Company Inc")</f>
        <v>CommScope Holding Company Inc</v>
      </c>
      <c r="C324">
        <v>8.8105726872246007E-2</v>
      </c>
      <c r="D324">
        <v>4.6610169491525001E-2</v>
      </c>
      <c r="E324">
        <v>-0.62174578866768704</v>
      </c>
      <c r="F324">
        <v>-0.12411347517730401</v>
      </c>
      <c r="G324">
        <v>-0.7294633077765601</v>
      </c>
      <c r="H324">
        <v>-0.76937441643323901</v>
      </c>
      <c r="I324">
        <v>-0.86854709952102105</v>
      </c>
    </row>
    <row r="325" spans="1:9" x14ac:dyDescent="0.25">
      <c r="A325" s="1" t="s">
        <v>337</v>
      </c>
      <c r="B325" t="str">
        <f>HYPERLINK("https://www.suredividend.com/sure-analysis-research-database/","Compass Inc")</f>
        <v>Compass Inc</v>
      </c>
      <c r="C325">
        <v>0.19718309859154901</v>
      </c>
      <c r="D325">
        <v>0.55251141552511407</v>
      </c>
      <c r="E325">
        <v>-0.17874396135265599</v>
      </c>
      <c r="F325">
        <v>-9.574468085106301E-2</v>
      </c>
      <c r="G325">
        <v>-5.5555555555554997E-2</v>
      </c>
      <c r="H325">
        <v>-0.61053837342497108</v>
      </c>
      <c r="I325">
        <v>-0.83126550868486304</v>
      </c>
    </row>
    <row r="326" spans="1:9" x14ac:dyDescent="0.25">
      <c r="A326" s="1" t="s">
        <v>338</v>
      </c>
      <c r="B326" t="str">
        <f>HYPERLINK("https://www.suredividend.com/sure-analysis-research-database/","Conns Inc")</f>
        <v>Conns Inc</v>
      </c>
      <c r="C326">
        <v>0.76923076923076905</v>
      </c>
      <c r="D326">
        <v>0.47706422018348599</v>
      </c>
      <c r="E326">
        <v>8.5393258426966004E-2</v>
      </c>
      <c r="F326">
        <v>8.783783783783701E-2</v>
      </c>
      <c r="G326">
        <v>-0.52272727272727204</v>
      </c>
      <c r="H326">
        <v>-0.80357869052460307</v>
      </c>
      <c r="I326">
        <v>-0.7510309278350511</v>
      </c>
    </row>
    <row r="327" spans="1:9" x14ac:dyDescent="0.25">
      <c r="A327" s="1" t="s">
        <v>339</v>
      </c>
      <c r="B327" t="str">
        <f>HYPERLINK("https://www.suredividend.com/sure-analysis-research-database/","Traeger Inc")</f>
        <v>Traeger Inc</v>
      </c>
      <c r="C327">
        <v>-5.9760956175298002E-2</v>
      </c>
      <c r="D327">
        <v>-5.6000000000000001E-2</v>
      </c>
      <c r="E327">
        <v>-0.43405275779376401</v>
      </c>
      <c r="F327">
        <v>-0.13553113553113499</v>
      </c>
      <c r="G327">
        <v>-0.19178082191780799</v>
      </c>
      <c r="H327">
        <v>-0.78046511627906912</v>
      </c>
      <c r="I327">
        <v>-0.89272727272727204</v>
      </c>
    </row>
    <row r="328" spans="1:9" x14ac:dyDescent="0.25">
      <c r="A328" s="1" t="s">
        <v>340</v>
      </c>
      <c r="B328" t="str">
        <f>HYPERLINK("https://www.suredividend.com/sure-analysis-research-database/","Mr. Cooper Group Inc")</f>
        <v>Mr. Cooper Group Inc</v>
      </c>
      <c r="C328">
        <v>-6.8526015894436007E-2</v>
      </c>
      <c r="D328">
        <v>0.15058344137803201</v>
      </c>
      <c r="E328">
        <v>0.186401833460656</v>
      </c>
      <c r="F328">
        <v>-4.6068796068796013E-2</v>
      </c>
      <c r="G328">
        <v>0.39407540394973001</v>
      </c>
      <c r="H328">
        <v>0.41600182356963711</v>
      </c>
      <c r="I328">
        <v>3.517818181818182</v>
      </c>
    </row>
    <row r="329" spans="1:9" x14ac:dyDescent="0.25">
      <c r="A329" s="1" t="s">
        <v>341</v>
      </c>
      <c r="B329" t="str">
        <f>HYPERLINK("https://www.suredividend.com/sure-analysis-research-database/","Corcept Therapeutics Inc")</f>
        <v>Corcept Therapeutics Inc</v>
      </c>
      <c r="C329">
        <v>-0.228466910542068</v>
      </c>
      <c r="D329">
        <v>-0.15820029027576199</v>
      </c>
      <c r="E329">
        <v>2.5641025641024998E-2</v>
      </c>
      <c r="F329">
        <v>-0.28571428571428498</v>
      </c>
      <c r="G329">
        <v>3.3868092691621013E-2</v>
      </c>
      <c r="H329">
        <v>0.250673854447439</v>
      </c>
      <c r="I329">
        <v>0.66189111747850904</v>
      </c>
    </row>
    <row r="330" spans="1:9" x14ac:dyDescent="0.25">
      <c r="A330" s="1" t="s">
        <v>342</v>
      </c>
      <c r="B330" t="str">
        <f>HYPERLINK("https://www.suredividend.com/sure-analysis-research-database/","Coursera Inc")</f>
        <v>Coursera Inc</v>
      </c>
      <c r="C330">
        <v>-6.4439140811455006E-2</v>
      </c>
      <c r="D330">
        <v>7.7515118196811006E-2</v>
      </c>
      <c r="E330">
        <v>0.44223693892568011</v>
      </c>
      <c r="F330">
        <v>1.187403200826E-2</v>
      </c>
      <c r="G330">
        <v>0.47368421052631499</v>
      </c>
      <c r="H330">
        <v>-0.13159060700044301</v>
      </c>
      <c r="I330">
        <v>-0.56444444444444408</v>
      </c>
    </row>
    <row r="331" spans="1:9" x14ac:dyDescent="0.25">
      <c r="A331" s="1" t="s">
        <v>343</v>
      </c>
      <c r="B331" t="str">
        <f>HYPERLINK("https://www.suredividend.com/sure-analysis-research-database/","Callon Petroleum Co.")</f>
        <v>Callon Petroleum Co.</v>
      </c>
      <c r="C331">
        <v>0.108333333333333</v>
      </c>
      <c r="D331">
        <v>-0.13388903360250001</v>
      </c>
      <c r="E331">
        <v>-6.2323745064861012E-2</v>
      </c>
      <c r="F331">
        <v>2.6234567901234001E-2</v>
      </c>
      <c r="G331">
        <v>-0.17185554171855499</v>
      </c>
      <c r="H331">
        <v>-0.37628962671168598</v>
      </c>
      <c r="I331">
        <v>-0.60836277974087105</v>
      </c>
    </row>
    <row r="332" spans="1:9" x14ac:dyDescent="0.25">
      <c r="A332" s="1" t="s">
        <v>344</v>
      </c>
      <c r="B332" t="str">
        <f>HYPERLINK("https://www.suredividend.com/sure-analysis-research-database/","Central Pacific Financial Corp.")</f>
        <v>Central Pacific Financial Corp.</v>
      </c>
      <c r="C332">
        <v>-7.7922077922070003E-3</v>
      </c>
      <c r="D332">
        <v>0.223496252642367</v>
      </c>
      <c r="E332">
        <v>0.20685951144305001</v>
      </c>
      <c r="F332">
        <v>-2.9471544715446999E-2</v>
      </c>
      <c r="G332">
        <v>-3.5295068387983013E-2</v>
      </c>
      <c r="H332">
        <v>-0.29706792679201599</v>
      </c>
      <c r="I332">
        <v>-6.4766167059203003E-2</v>
      </c>
    </row>
    <row r="333" spans="1:9" x14ac:dyDescent="0.25">
      <c r="A333" s="1" t="s">
        <v>345</v>
      </c>
      <c r="B333" t="str">
        <f>HYPERLINK("https://www.suredividend.com/sure-analysis-CPK/","Chesapeake Utilities Corp")</f>
        <v>Chesapeake Utilities Corp</v>
      </c>
      <c r="C333">
        <v>-2.8224668360146001E-2</v>
      </c>
      <c r="D333">
        <v>0.131409568292052</v>
      </c>
      <c r="E333">
        <v>-0.14296169008054199</v>
      </c>
      <c r="F333">
        <v>-2.2152797500709E-2</v>
      </c>
      <c r="G333">
        <v>-0.15098689861571901</v>
      </c>
      <c r="H333">
        <v>-0.20928797641566799</v>
      </c>
      <c r="I333">
        <v>0.35256704890533602</v>
      </c>
    </row>
    <row r="334" spans="1:9" x14ac:dyDescent="0.25">
      <c r="A334" s="1" t="s">
        <v>346</v>
      </c>
      <c r="B334" t="str">
        <f>HYPERLINK("https://www.suredividend.com/sure-analysis-research-database/","Catalyst Pharmaceuticals Inc")</f>
        <v>Catalyst Pharmaceuticals Inc</v>
      </c>
      <c r="C334">
        <v>3.2786885245901003E-2</v>
      </c>
      <c r="D334">
        <v>0.13380281690140799</v>
      </c>
      <c r="E334">
        <v>0.14817749603803401</v>
      </c>
      <c r="F334">
        <v>-0.13801308744794699</v>
      </c>
      <c r="G334">
        <v>-0.311638954869358</v>
      </c>
      <c r="H334">
        <v>1.3599348534201949</v>
      </c>
      <c r="I334">
        <v>4.4886363636363633</v>
      </c>
    </row>
    <row r="335" spans="1:9" x14ac:dyDescent="0.25">
      <c r="A335" s="1" t="s">
        <v>347</v>
      </c>
      <c r="B335" t="str">
        <f>HYPERLINK("https://www.suredividend.com/sure-analysis-research-database/","Computer Programs &amp; Systems Inc")</f>
        <v>Computer Programs &amp; Systems Inc</v>
      </c>
      <c r="C335">
        <v>-0.181659388646288</v>
      </c>
      <c r="D335">
        <v>-0.34703832752613201</v>
      </c>
      <c r="E335">
        <v>-0.6227858293075681</v>
      </c>
      <c r="F335">
        <v>-0.16339285714285701</v>
      </c>
      <c r="G335">
        <v>-0.67566632052613307</v>
      </c>
      <c r="H335">
        <v>-0.67745266781411306</v>
      </c>
      <c r="I335">
        <v>-0.64334788616060301</v>
      </c>
    </row>
    <row r="336" spans="1:9" x14ac:dyDescent="0.25">
      <c r="A336" s="1" t="s">
        <v>348</v>
      </c>
      <c r="B336" t="str">
        <f>HYPERLINK("https://www.suredividend.com/sure-analysis-research-database/","Consumer Portfolio Service, Inc.")</f>
        <v>Consumer Portfolio Service, Inc.</v>
      </c>
      <c r="C336">
        <v>-7.0098576122672007E-2</v>
      </c>
      <c r="D336">
        <v>-5.1396648044692003E-2</v>
      </c>
      <c r="E336">
        <v>-0.369242199108469</v>
      </c>
      <c r="F336">
        <v>-9.3916755602988011E-2</v>
      </c>
      <c r="G336">
        <v>-8.9055793991416013E-2</v>
      </c>
      <c r="H336">
        <v>-0.20505617977528001</v>
      </c>
      <c r="I336">
        <v>1.345303867403314</v>
      </c>
    </row>
    <row r="337" spans="1:9" x14ac:dyDescent="0.25">
      <c r="A337" s="1" t="s">
        <v>349</v>
      </c>
      <c r="B337" t="str">
        <f>HYPERLINK("https://www.suredividend.com/sure-analysis-research-database/","Cepton Inc")</f>
        <v>Cepton Inc</v>
      </c>
      <c r="C337">
        <v>-0.23425692695214101</v>
      </c>
      <c r="D337">
        <v>-0.16939890710382499</v>
      </c>
      <c r="E337">
        <v>-0.57458718164007805</v>
      </c>
      <c r="F337">
        <v>-3.1847133757960999E-2</v>
      </c>
      <c r="G337">
        <v>-0.75284552845528407</v>
      </c>
      <c r="H337">
        <v>-0.96305254074551205</v>
      </c>
      <c r="I337">
        <v>-0.96305254074551205</v>
      </c>
    </row>
    <row r="338" spans="1:9" x14ac:dyDescent="0.25">
      <c r="A338" s="1" t="s">
        <v>350</v>
      </c>
      <c r="B338" t="str">
        <f>HYPERLINK("https://www.suredividend.com/sure-analysis-research-database/","CRA International Inc.")</f>
        <v>CRA International Inc.</v>
      </c>
      <c r="C338">
        <v>2.9992107340173001E-2</v>
      </c>
      <c r="D338">
        <v>5.3046724409401003E-2</v>
      </c>
      <c r="E338">
        <v>5.0296527683462003E-2</v>
      </c>
      <c r="F338">
        <v>5.6145675265554001E-2</v>
      </c>
      <c r="G338">
        <v>-0.128572310969471</v>
      </c>
      <c r="H338">
        <v>0.247107701606786</v>
      </c>
      <c r="I338">
        <v>1.675338453377615</v>
      </c>
    </row>
    <row r="339" spans="1:9" x14ac:dyDescent="0.25">
      <c r="A339" s="1" t="s">
        <v>351</v>
      </c>
      <c r="B339" t="str">
        <f>HYPERLINK("https://www.suredividend.com/sure-analysis-research-database/","Caribou Biosciences Inc")</f>
        <v>Caribou Biosciences Inc</v>
      </c>
      <c r="C339">
        <v>-4.1446208112874E-2</v>
      </c>
      <c r="D339">
        <v>0.29713603818615703</v>
      </c>
      <c r="E339">
        <v>-0.33230958230958202</v>
      </c>
      <c r="F339">
        <v>-5.1483420593368003E-2</v>
      </c>
      <c r="G339">
        <v>-0.24722991689750601</v>
      </c>
      <c r="H339">
        <v>-0.532674118658641</v>
      </c>
      <c r="I339">
        <v>-0.66697303921568607</v>
      </c>
    </row>
    <row r="340" spans="1:9" x14ac:dyDescent="0.25">
      <c r="A340" s="1" t="s">
        <v>352</v>
      </c>
      <c r="B340" t="str">
        <f>HYPERLINK("https://www.suredividend.com/sure-analysis-research-database/","California Resources Corporation")</f>
        <v>California Resources Corporation</v>
      </c>
      <c r="C340">
        <v>3.1948881789136997E-2</v>
      </c>
      <c r="D340">
        <v>-4.8267987698200003E-2</v>
      </c>
      <c r="E340">
        <v>0.10969869790771899</v>
      </c>
      <c r="F340">
        <v>-5.4864667154352002E-2</v>
      </c>
      <c r="G340">
        <v>0.161001318706993</v>
      </c>
      <c r="H340">
        <v>0.21629763518602199</v>
      </c>
      <c r="I340">
        <v>2.6107035562076431</v>
      </c>
    </row>
    <row r="341" spans="1:9" x14ac:dyDescent="0.25">
      <c r="A341" s="1" t="s">
        <v>353</v>
      </c>
      <c r="B341" t="str">
        <f>HYPERLINK("https://www.suredividend.com/sure-analysis-research-database/","Credo Technology Group Holding Ltd")</f>
        <v>Credo Technology Group Holding Ltd</v>
      </c>
      <c r="C341">
        <v>1.7770597738287E-2</v>
      </c>
      <c r="D341">
        <v>0.2146529562982</v>
      </c>
      <c r="E341">
        <v>0.10204081632653</v>
      </c>
      <c r="F341">
        <v>-2.9275808936825E-2</v>
      </c>
      <c r="G341">
        <v>0.28222523744911698</v>
      </c>
      <c r="H341">
        <v>0.62231759656652308</v>
      </c>
      <c r="I341">
        <v>0.62231759656652308</v>
      </c>
    </row>
    <row r="342" spans="1:9" x14ac:dyDescent="0.25">
      <c r="A342" s="1" t="s">
        <v>354</v>
      </c>
      <c r="B342" t="str">
        <f>HYPERLINK("https://www.suredividend.com/sure-analysis-research-database/","Charge Enterprises Inc")</f>
        <v>Charge Enterprises Inc</v>
      </c>
      <c r="C342">
        <v>1.1826923076923079</v>
      </c>
      <c r="D342">
        <v>-0.42297915607524111</v>
      </c>
      <c r="E342">
        <v>-0.7625523012552301</v>
      </c>
      <c r="F342">
        <v>0.9894829097283081</v>
      </c>
      <c r="G342">
        <v>-0.84966887417218506</v>
      </c>
      <c r="H342">
        <v>2269</v>
      </c>
      <c r="I342">
        <v>2269</v>
      </c>
    </row>
    <row r="343" spans="1:9" x14ac:dyDescent="0.25">
      <c r="A343" s="1" t="s">
        <v>355</v>
      </c>
      <c r="B343" t="str">
        <f>HYPERLINK("https://www.suredividend.com/sure-analysis-research-database/","Crescent Energy Co.")</f>
        <v>Crescent Energy Co.</v>
      </c>
      <c r="C343">
        <v>6.3620071684586998E-2</v>
      </c>
      <c r="D343">
        <v>-1.598115905458E-3</v>
      </c>
      <c r="E343">
        <v>0.107813491619068</v>
      </c>
      <c r="F343">
        <v>-0.10143830431491301</v>
      </c>
      <c r="G343">
        <v>-3.0173294224342999E-2</v>
      </c>
      <c r="H343">
        <v>-9.459119304963301E-2</v>
      </c>
      <c r="I343">
        <v>-0.229165719629324</v>
      </c>
    </row>
    <row r="344" spans="1:9" x14ac:dyDescent="0.25">
      <c r="A344" s="1" t="s">
        <v>356</v>
      </c>
      <c r="B344" t="str">
        <f>HYPERLINK("https://www.suredividend.com/sure-analysis-research-database/","Comstock Resources, Inc.")</f>
        <v>Comstock Resources, Inc.</v>
      </c>
      <c r="C344">
        <v>2.5316455696202E-2</v>
      </c>
      <c r="D344">
        <v>-0.28735393155078498</v>
      </c>
      <c r="E344">
        <v>-0.22800329246631701</v>
      </c>
      <c r="F344">
        <v>6.7796610169490014E-3</v>
      </c>
      <c r="G344">
        <v>-0.281353088729906</v>
      </c>
      <c r="H344">
        <v>5.3702148795515013E-2</v>
      </c>
      <c r="I344">
        <v>0.44600603719692311</v>
      </c>
    </row>
    <row r="345" spans="1:9" x14ac:dyDescent="0.25">
      <c r="A345" s="1" t="s">
        <v>357</v>
      </c>
      <c r="B345" t="str">
        <f>HYPERLINK("https://www.suredividend.com/sure-analysis-research-database/","Americas Car Mart, Inc.")</f>
        <v>Americas Car Mart, Inc.</v>
      </c>
      <c r="C345">
        <v>-3.7777777777777001E-2</v>
      </c>
      <c r="D345">
        <v>-0.25473321858864001</v>
      </c>
      <c r="E345">
        <v>-0.41571084337349401</v>
      </c>
      <c r="F345">
        <v>-0.19994720865778001</v>
      </c>
      <c r="G345">
        <v>-0.22678571428571401</v>
      </c>
      <c r="H345">
        <v>-0.38977249849003398</v>
      </c>
      <c r="I345">
        <v>-0.13449457452884001</v>
      </c>
    </row>
    <row r="346" spans="1:9" x14ac:dyDescent="0.25">
      <c r="A346" s="1" t="s">
        <v>358</v>
      </c>
      <c r="B346" t="str">
        <f>HYPERLINK("https://www.suredividend.com/sure-analysis-research-database/","Cerence Inc")</f>
        <v>Cerence Inc</v>
      </c>
      <c r="C346">
        <v>0.137807070101857</v>
      </c>
      <c r="D346">
        <v>8.7006296508299011E-2</v>
      </c>
      <c r="E346">
        <v>-0.33298208640674398</v>
      </c>
      <c r="F346">
        <v>-3.4079348931841003E-2</v>
      </c>
      <c r="G346">
        <v>-0.120426123205187</v>
      </c>
      <c r="H346">
        <v>-0.74831013916500999</v>
      </c>
      <c r="I346">
        <v>0.23713355048859899</v>
      </c>
    </row>
    <row r="347" spans="1:9" x14ac:dyDescent="0.25">
      <c r="A347" s="1" t="s">
        <v>359</v>
      </c>
      <c r="B347" t="str">
        <f>HYPERLINK("https://www.suredividend.com/sure-analysis-research-database/","Crinetics Pharmaceuticals Inc")</f>
        <v>Crinetics Pharmaceuticals Inc</v>
      </c>
      <c r="C347">
        <v>8.0162648852744003E-2</v>
      </c>
      <c r="D347">
        <v>0.277567846100996</v>
      </c>
      <c r="E347">
        <v>0.81591796874999911</v>
      </c>
      <c r="F347">
        <v>4.5250140528386003E-2</v>
      </c>
      <c r="G347">
        <v>1.061529933481153</v>
      </c>
      <c r="H347">
        <v>0.54636174636174606</v>
      </c>
      <c r="I347">
        <v>0.59135643988018805</v>
      </c>
    </row>
    <row r="348" spans="1:9" x14ac:dyDescent="0.25">
      <c r="A348" s="1" t="s">
        <v>360</v>
      </c>
      <c r="B348" t="str">
        <f>HYPERLINK("https://www.suredividend.com/sure-analysis-research-database/","Crocs Inc")</f>
        <v>Crocs Inc</v>
      </c>
      <c r="C348">
        <v>-3.1928838951309997E-2</v>
      </c>
      <c r="D348">
        <v>0.24972803094403401</v>
      </c>
      <c r="E348">
        <v>-0.179379315818715</v>
      </c>
      <c r="F348">
        <v>0.106840809335188</v>
      </c>
      <c r="G348">
        <v>-0.17827054522333399</v>
      </c>
      <c r="H348">
        <v>-0.17859696512274501</v>
      </c>
      <c r="I348">
        <v>2.3394702842377262</v>
      </c>
    </row>
    <row r="349" spans="1:9" x14ac:dyDescent="0.25">
      <c r="A349" s="1" t="s">
        <v>361</v>
      </c>
      <c r="B349" t="str">
        <f>HYPERLINK("https://www.suredividend.com/sure-analysis-research-database/","Carpenter Technology Corp.")</f>
        <v>Carpenter Technology Corp.</v>
      </c>
      <c r="C349">
        <v>-2.2150029533369998E-3</v>
      </c>
      <c r="D349">
        <v>5.5954492533931012E-2</v>
      </c>
      <c r="E349">
        <v>0.166840791939007</v>
      </c>
      <c r="F349">
        <v>-4.5621468926553013E-2</v>
      </c>
      <c r="G349">
        <v>0.53732745734638609</v>
      </c>
      <c r="H349">
        <v>1.119656939939393</v>
      </c>
      <c r="I349">
        <v>0.82515072282127111</v>
      </c>
    </row>
    <row r="350" spans="1:9" x14ac:dyDescent="0.25">
      <c r="A350" s="1" t="s">
        <v>362</v>
      </c>
      <c r="B350" t="str">
        <f>HYPERLINK("https://www.suredividend.com/sure-analysis-research-database/","Corsair Gaming Inc")</f>
        <v>Corsair Gaming Inc</v>
      </c>
      <c r="C350">
        <v>-5.4393305439330013E-2</v>
      </c>
      <c r="D350">
        <v>2.217294900221E-3</v>
      </c>
      <c r="E350">
        <v>-0.25412541254125398</v>
      </c>
      <c r="F350">
        <v>-3.8297872340424997E-2</v>
      </c>
      <c r="G350">
        <v>-8.9321692411014009E-2</v>
      </c>
      <c r="H350">
        <v>-0.34174757281553397</v>
      </c>
      <c r="I350">
        <v>-4.8421052631577997E-2</v>
      </c>
    </row>
    <row r="351" spans="1:9" x14ac:dyDescent="0.25">
      <c r="A351" s="1" t="s">
        <v>363</v>
      </c>
      <c r="B351" t="str">
        <f>HYPERLINK("https://www.suredividend.com/sure-analysis-research-database/","Corvel Corp.")</f>
        <v>Corvel Corp.</v>
      </c>
      <c r="C351">
        <v>-1.3701535590056E-2</v>
      </c>
      <c r="D351">
        <v>0.146329438445989</v>
      </c>
      <c r="E351">
        <v>0.19370571927302499</v>
      </c>
      <c r="F351">
        <v>-5.9463613931475007E-2</v>
      </c>
      <c r="G351">
        <v>0.48635172281531602</v>
      </c>
      <c r="H351">
        <v>0.12688411767556801</v>
      </c>
      <c r="I351">
        <v>2.7501612903225801</v>
      </c>
    </row>
    <row r="352" spans="1:9" x14ac:dyDescent="0.25">
      <c r="A352" s="1" t="s">
        <v>364</v>
      </c>
      <c r="B352" t="str">
        <f>HYPERLINK("https://www.suredividend.com/sure-analysis-research-database/","CSG Systems International Inc.")</f>
        <v>CSG Systems International Inc.</v>
      </c>
      <c r="C352">
        <v>-3.9810426540279999E-3</v>
      </c>
      <c r="D352">
        <v>4.1728627115080998E-2</v>
      </c>
      <c r="E352">
        <v>2.8071397543116001E-2</v>
      </c>
      <c r="F352">
        <v>-1.2591618116894999E-2</v>
      </c>
      <c r="G352">
        <v>-6.5257614574437003E-2</v>
      </c>
      <c r="H352">
        <v>-3.7790617817539E-2</v>
      </c>
      <c r="I352">
        <v>0.75743749958188011</v>
      </c>
    </row>
    <row r="353" spans="1:9" x14ac:dyDescent="0.25">
      <c r="A353" s="1" t="s">
        <v>365</v>
      </c>
      <c r="B353" t="str">
        <f>HYPERLINK("https://www.suredividend.com/sure-analysis-research-database/","Centerspace")</f>
        <v>Centerspace</v>
      </c>
      <c r="C353">
        <v>3.749267090902E-3</v>
      </c>
      <c r="D353">
        <v>3.749267090902E-3</v>
      </c>
      <c r="E353">
        <v>-0.113183904240336</v>
      </c>
      <c r="F353">
        <v>-3.8144329896906998E-2</v>
      </c>
      <c r="G353">
        <v>-5.5232926094507001E-2</v>
      </c>
      <c r="H353">
        <v>-0.39970339042120401</v>
      </c>
      <c r="I353">
        <v>6.923272333460001E-2</v>
      </c>
    </row>
    <row r="354" spans="1:9" x14ac:dyDescent="0.25">
      <c r="A354" s="1" t="s">
        <v>366</v>
      </c>
      <c r="B354" t="str">
        <f>HYPERLINK("https://www.suredividend.com/sure-analysis-research-database/","Caesarstone Ltd")</f>
        <v>Caesarstone Ltd</v>
      </c>
      <c r="C354">
        <v>8.6842105263157013E-2</v>
      </c>
      <c r="D354">
        <v>2.9925187032419E-2</v>
      </c>
      <c r="E354">
        <v>-0.234476367006487</v>
      </c>
      <c r="F354">
        <v>0.10427807486630999</v>
      </c>
      <c r="G354">
        <v>-0.36363636363636298</v>
      </c>
      <c r="H354">
        <v>-0.66506362169219901</v>
      </c>
      <c r="I354">
        <v>-0.68721125736530408</v>
      </c>
    </row>
    <row r="355" spans="1:9" x14ac:dyDescent="0.25">
      <c r="A355" s="1" t="s">
        <v>367</v>
      </c>
      <c r="B355" t="str">
        <f>HYPERLINK("https://www.suredividend.com/sure-analysis-research-database/","Castle Biosciences Inc")</f>
        <v>Castle Biosciences Inc</v>
      </c>
      <c r="C355">
        <v>-2.5304136253040999E-2</v>
      </c>
      <c r="D355">
        <v>0.617932148626817</v>
      </c>
      <c r="E355">
        <v>0.23641975308641899</v>
      </c>
      <c r="F355">
        <v>-7.1825764596848002E-2</v>
      </c>
      <c r="G355">
        <v>-0.26387357589121602</v>
      </c>
      <c r="H355">
        <v>-0.45806277056277012</v>
      </c>
      <c r="I355">
        <v>-6.401869158878401E-2</v>
      </c>
    </row>
    <row r="356" spans="1:9" x14ac:dyDescent="0.25">
      <c r="A356" s="1" t="s">
        <v>368</v>
      </c>
      <c r="B356" t="str">
        <f>HYPERLINK("https://www.suredividend.com/sure-analysis-research-database/","Constellium SE")</f>
        <v>Constellium SE</v>
      </c>
      <c r="C356">
        <v>-1.6420361247939999E-3</v>
      </c>
      <c r="D356">
        <v>9.6153846153846007E-2</v>
      </c>
      <c r="E356">
        <v>-1.0309278350515001E-2</v>
      </c>
      <c r="F356">
        <v>-8.6172344689378011E-2</v>
      </c>
      <c r="G356">
        <v>0.34612546125461202</v>
      </c>
      <c r="H356">
        <v>-6.7007672634271001E-2</v>
      </c>
      <c r="I356">
        <v>1.3688311688311681</v>
      </c>
    </row>
    <row r="357" spans="1:9" x14ac:dyDescent="0.25">
      <c r="A357" s="1" t="s">
        <v>369</v>
      </c>
      <c r="B357" t="str">
        <f>HYPERLINK("https://www.suredividend.com/sure-analysis-research-database/","CapStar Financial Holdings Inc")</f>
        <v>CapStar Financial Holdings Inc</v>
      </c>
      <c r="C357">
        <v>-1.4145810663764E-2</v>
      </c>
      <c r="D357">
        <v>0.239465907847214</v>
      </c>
      <c r="E357">
        <v>0.44910150908087598</v>
      </c>
      <c r="F357">
        <v>-3.3084311632869998E-2</v>
      </c>
      <c r="G357">
        <v>4.5996120809088013E-2</v>
      </c>
      <c r="H357">
        <v>-0.11688590185346701</v>
      </c>
      <c r="I357">
        <v>0.356175763971529</v>
      </c>
    </row>
    <row r="358" spans="1:9" x14ac:dyDescent="0.25">
      <c r="A358" s="1" t="s">
        <v>370</v>
      </c>
      <c r="B358" t="str">
        <f>HYPERLINK("https://www.suredividend.com/sure-analysis-research-database/","Carriage Services, Inc.")</f>
        <v>Carriage Services, Inc.</v>
      </c>
      <c r="C358">
        <v>-4.5908183632734002E-2</v>
      </c>
      <c r="D358">
        <v>-1.4449246198000001E-2</v>
      </c>
      <c r="E358">
        <v>-0.290215667523951</v>
      </c>
      <c r="F358">
        <v>-4.4382247101158998E-2</v>
      </c>
      <c r="G358">
        <v>-0.19756381717884899</v>
      </c>
      <c r="H358">
        <v>-0.57706974809991007</v>
      </c>
      <c r="I358">
        <v>0.50864789799267707</v>
      </c>
    </row>
    <row r="359" spans="1:9" x14ac:dyDescent="0.25">
      <c r="A359" s="1" t="s">
        <v>371</v>
      </c>
      <c r="B359" t="str">
        <f>HYPERLINK("https://www.suredividend.com/sure-analysis-research-database/","CSW Industrials Inc")</f>
        <v>CSW Industrials Inc</v>
      </c>
      <c r="C359">
        <v>9.2148254033081009E-2</v>
      </c>
      <c r="D359">
        <v>0.216239033921999</v>
      </c>
      <c r="E359">
        <v>0.334189822538347</v>
      </c>
      <c r="F359">
        <v>3.1435321344196999E-2</v>
      </c>
      <c r="G359">
        <v>0.64416093455789103</v>
      </c>
      <c r="H359">
        <v>0.76330369903909701</v>
      </c>
      <c r="I359">
        <v>3.388406712766852</v>
      </c>
    </row>
    <row r="360" spans="1:9" x14ac:dyDescent="0.25">
      <c r="A360" s="1" t="s">
        <v>372</v>
      </c>
      <c r="B360" t="str">
        <f>HYPERLINK("https://www.suredividend.com/sure-analysis-CTBI/","Community Trust Bancorp, Inc.")</f>
        <v>Community Trust Bancorp, Inc.</v>
      </c>
      <c r="C360">
        <v>-4.9667779500575007E-2</v>
      </c>
      <c r="D360">
        <v>0.21179736088227799</v>
      </c>
      <c r="E360">
        <v>0.16543661046951499</v>
      </c>
      <c r="F360">
        <v>-6.9311445508435002E-2</v>
      </c>
      <c r="G360">
        <v>-5.7392380626896007E-2</v>
      </c>
      <c r="H360">
        <v>7.3614877954280003E-3</v>
      </c>
      <c r="I360">
        <v>0.24154837689296499</v>
      </c>
    </row>
    <row r="361" spans="1:9" x14ac:dyDescent="0.25">
      <c r="A361" s="1" t="s">
        <v>373</v>
      </c>
      <c r="B361" t="str">
        <f>HYPERLINK("https://www.suredividend.com/sure-analysis-research-database/","CTI BioPharma Corp")</f>
        <v>CTI BioPharma Corp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 s="1" t="s">
        <v>374</v>
      </c>
      <c r="B362" t="str">
        <f>HYPERLINK("https://www.suredividend.com/sure-analysis-research-database/","Cytek BioSciences Inc")</f>
        <v>Cytek BioSciences Inc</v>
      </c>
      <c r="C362">
        <v>2.3690773067331E-2</v>
      </c>
      <c r="D362">
        <v>0.63545816733067706</v>
      </c>
      <c r="E362">
        <v>-0.101750547045951</v>
      </c>
      <c r="F362">
        <v>-9.9780701754385012E-2</v>
      </c>
      <c r="G362">
        <v>-0.25295723384895302</v>
      </c>
      <c r="H362">
        <v>-0.40247452692867502</v>
      </c>
      <c r="I362">
        <v>-0.562366737739872</v>
      </c>
    </row>
    <row r="363" spans="1:9" x14ac:dyDescent="0.25">
      <c r="A363" s="1" t="s">
        <v>375</v>
      </c>
      <c r="B363" t="str">
        <f>HYPERLINK("https://www.suredividend.com/sure-analysis-research-database/","Cantaloupe Inc")</f>
        <v>Cantaloupe Inc</v>
      </c>
      <c r="C363">
        <v>-6.8825910931174003E-2</v>
      </c>
      <c r="D363">
        <v>-2.8901734104040001E-3</v>
      </c>
      <c r="E363">
        <v>-0.15750915750915701</v>
      </c>
      <c r="F363">
        <v>-6.8825910931174003E-2</v>
      </c>
      <c r="G363">
        <v>0.43153526970954298</v>
      </c>
      <c r="H363">
        <v>-0.18536009445100299</v>
      </c>
      <c r="I363">
        <v>0.36094674556213002</v>
      </c>
    </row>
    <row r="364" spans="1:9" x14ac:dyDescent="0.25">
      <c r="A364" s="1" t="s">
        <v>376</v>
      </c>
      <c r="B364" t="str">
        <f>HYPERLINK("https://www.suredividend.com/sure-analysis-CTO/","CTO Realty Growth Inc")</f>
        <v>CTO Realty Growth Inc</v>
      </c>
      <c r="C364">
        <v>-6.4177362893810003E-3</v>
      </c>
      <c r="D364">
        <v>7.8455585741335002E-2</v>
      </c>
      <c r="E364">
        <v>2.5471186848919001E-2</v>
      </c>
      <c r="F364">
        <v>-1.7311021350259002E-2</v>
      </c>
      <c r="G364">
        <v>-6.3423713583870009E-3</v>
      </c>
      <c r="H364">
        <v>-6.7559502625397005E-2</v>
      </c>
      <c r="I364">
        <v>0.38052351267438911</v>
      </c>
    </row>
    <row r="365" spans="1:9" x14ac:dyDescent="0.25">
      <c r="A365" s="1" t="s">
        <v>377</v>
      </c>
      <c r="B365" t="str">
        <f>HYPERLINK("https://www.suredividend.com/sure-analysis-research-database/","Custom Truck One Source Inc")</f>
        <v>Custom Truck One Source Inc</v>
      </c>
      <c r="C365">
        <v>0</v>
      </c>
      <c r="D365">
        <v>5.9422750424448008E-2</v>
      </c>
      <c r="E365">
        <v>-0.102158273381294</v>
      </c>
      <c r="F365">
        <v>9.7087378640770012E-3</v>
      </c>
      <c r="G365">
        <v>-0.12849162011173099</v>
      </c>
      <c r="H365">
        <v>-0.19170984455958501</v>
      </c>
      <c r="I365">
        <v>-0.28685714285714198</v>
      </c>
    </row>
    <row r="366" spans="1:9" x14ac:dyDescent="0.25">
      <c r="A366" s="1" t="s">
        <v>378</v>
      </c>
      <c r="B366" t="str">
        <f>HYPERLINK("https://www.suredividend.com/sure-analysis-CTRE/","CareTrust REIT Inc")</f>
        <v>CareTrust REIT Inc</v>
      </c>
      <c r="C366">
        <v>-1.7345343556910999E-2</v>
      </c>
      <c r="D366">
        <v>5.4734318817418998E-2</v>
      </c>
      <c r="E366">
        <v>0.145611043608776</v>
      </c>
      <c r="F366">
        <v>2.6809651474529999E-3</v>
      </c>
      <c r="G366">
        <v>0.22950146016996001</v>
      </c>
      <c r="H366">
        <v>0.12438932732055601</v>
      </c>
      <c r="I366">
        <v>0.48027943242761811</v>
      </c>
    </row>
    <row r="367" spans="1:9" x14ac:dyDescent="0.25">
      <c r="A367" s="1" t="s">
        <v>379</v>
      </c>
      <c r="B367" t="str">
        <f>HYPERLINK("https://www.suredividend.com/sure-analysis-research-database/","Citi Trends Inc")</f>
        <v>Citi Trends Inc</v>
      </c>
      <c r="C367">
        <v>0.149490835030549</v>
      </c>
      <c r="D367">
        <v>0.22482638888888801</v>
      </c>
      <c r="E367">
        <v>0.54884742041712409</v>
      </c>
      <c r="F367">
        <v>-2.1216407355020002E-3</v>
      </c>
      <c r="G367">
        <v>-8.3468658655407008E-2</v>
      </c>
      <c r="H367">
        <v>-0.54454486765655208</v>
      </c>
      <c r="I367">
        <v>0.34380952380952301</v>
      </c>
    </row>
    <row r="368" spans="1:9" x14ac:dyDescent="0.25">
      <c r="A368" s="1" t="s">
        <v>380</v>
      </c>
      <c r="B368" t="str">
        <f>HYPERLINK("https://www.suredividend.com/sure-analysis-research-database/","CTS Corp.")</f>
        <v>CTS Corp.</v>
      </c>
      <c r="C368">
        <v>1.7165424623505E-2</v>
      </c>
      <c r="D368">
        <v>6.3026062265489999E-2</v>
      </c>
      <c r="E368">
        <v>-3.6477363077757001E-2</v>
      </c>
      <c r="F368">
        <v>-4.1380887059899001E-2</v>
      </c>
      <c r="G368">
        <v>-9.1161310739165002E-2</v>
      </c>
      <c r="H368">
        <v>0.19118302969008699</v>
      </c>
      <c r="I368">
        <v>0.55887514127654503</v>
      </c>
    </row>
    <row r="369" spans="1:9" x14ac:dyDescent="0.25">
      <c r="A369" s="1" t="s">
        <v>381</v>
      </c>
      <c r="B369" t="str">
        <f>HYPERLINK("https://www.suredividend.com/sure-analysis-research-database/","Innovid Corp")</f>
        <v>Innovid Corp</v>
      </c>
      <c r="C369">
        <v>3.3783783783783002E-2</v>
      </c>
      <c r="D369">
        <v>0.53</v>
      </c>
      <c r="E369">
        <v>0.24390243902438999</v>
      </c>
      <c r="F369">
        <v>0.02</v>
      </c>
      <c r="G369">
        <v>-0.21538461538461501</v>
      </c>
      <c r="H369">
        <v>-0.77598828696925304</v>
      </c>
      <c r="I369">
        <v>-0.84226804123711307</v>
      </c>
    </row>
    <row r="370" spans="1:9" x14ac:dyDescent="0.25">
      <c r="A370" s="1" t="s">
        <v>382</v>
      </c>
      <c r="B370" t="str">
        <f>HYPERLINK("https://www.suredividend.com/sure-analysis-research-database/","Customers Bancorp Inc")</f>
        <v>Customers Bancorp Inc</v>
      </c>
      <c r="C370">
        <v>-2.3215322112590002E-3</v>
      </c>
      <c r="D370">
        <v>0.61864406779661008</v>
      </c>
      <c r="E370">
        <v>0.42458563535911598</v>
      </c>
      <c r="F370">
        <v>-0.10499826449149501</v>
      </c>
      <c r="G370">
        <v>0.74105334233625908</v>
      </c>
      <c r="H370">
        <v>-0.28195488721804501</v>
      </c>
      <c r="I370">
        <v>2.071233317253578</v>
      </c>
    </row>
    <row r="371" spans="1:9" x14ac:dyDescent="0.25">
      <c r="A371" s="1" t="s">
        <v>383</v>
      </c>
      <c r="B371" t="str">
        <f>HYPERLINK("https://www.suredividend.com/sure-analysis-research-database/","CURO Group Holdings Corp")</f>
        <v>CURO Group Holdings Corp</v>
      </c>
      <c r="C371">
        <v>3.4153005464480003E-2</v>
      </c>
      <c r="D371">
        <v>-0.19468085106382901</v>
      </c>
      <c r="E371">
        <v>-0.5467065868263471</v>
      </c>
      <c r="F371">
        <v>-5.3750000000000013E-2</v>
      </c>
      <c r="G371">
        <v>-0.83289183222958008</v>
      </c>
      <c r="H371">
        <v>-0.95352463746761407</v>
      </c>
      <c r="I371">
        <v>-0.92868985266965609</v>
      </c>
    </row>
    <row r="372" spans="1:9" x14ac:dyDescent="0.25">
      <c r="A372" s="1" t="s">
        <v>384</v>
      </c>
      <c r="B372" t="str">
        <f>HYPERLINK("https://www.suredividend.com/sure-analysis-research-database/","Torrid Holdings Inc")</f>
        <v>Torrid Holdings Inc</v>
      </c>
      <c r="C372">
        <v>0.23382045929018799</v>
      </c>
      <c r="D372">
        <v>1.984848484848484</v>
      </c>
      <c r="E372">
        <v>1.1569343065693429</v>
      </c>
      <c r="F372">
        <v>2.4263431542461002E-2</v>
      </c>
      <c r="G372">
        <v>0.66011235955056102</v>
      </c>
      <c r="H372">
        <v>-0.39446721311475402</v>
      </c>
      <c r="I372">
        <v>-0.75527950310559011</v>
      </c>
    </row>
    <row r="373" spans="1:9" x14ac:dyDescent="0.25">
      <c r="A373" s="1" t="s">
        <v>385</v>
      </c>
      <c r="B373" t="str">
        <f>HYPERLINK("https://www.suredividend.com/sure-analysis-research-database/","Cutera Inc")</f>
        <v>Cutera Inc</v>
      </c>
      <c r="C373">
        <v>0.51417004048582904</v>
      </c>
      <c r="D373">
        <v>9.0379008746355002E-2</v>
      </c>
      <c r="E373">
        <v>-0.7733333333333331</v>
      </c>
      <c r="F373">
        <v>6.0992907801418007E-2</v>
      </c>
      <c r="G373">
        <v>-0.88471023427866802</v>
      </c>
      <c r="H373">
        <v>-0.89910979228486609</v>
      </c>
      <c r="I373">
        <v>-0.73699015471167306</v>
      </c>
    </row>
    <row r="374" spans="1:9" x14ac:dyDescent="0.25">
      <c r="A374" s="1" t="s">
        <v>386</v>
      </c>
      <c r="B374" t="str">
        <f>HYPERLINK("https://www.suredividend.com/sure-analysis-research-database/","CVB Financial Corp.")</f>
        <v>CVB Financial Corp.</v>
      </c>
      <c r="C374">
        <v>-4.0371780492589E-2</v>
      </c>
      <c r="D374">
        <v>0.23921049042339601</v>
      </c>
      <c r="E374">
        <v>0.32738745382319501</v>
      </c>
      <c r="F374">
        <v>-3.5145385587863003E-2</v>
      </c>
      <c r="G374">
        <v>-0.19682434110550301</v>
      </c>
      <c r="H374">
        <v>-8.6434412885679004E-2</v>
      </c>
      <c r="I374">
        <v>8.2958724969349001E-2</v>
      </c>
    </row>
    <row r="375" spans="1:9" x14ac:dyDescent="0.25">
      <c r="A375" s="1" t="s">
        <v>387</v>
      </c>
      <c r="B375" t="str">
        <f>HYPERLINK("https://www.suredividend.com/sure-analysis-research-database/","Cavco Industries Inc")</f>
        <v>Cavco Industries Inc</v>
      </c>
      <c r="C375">
        <v>-1.4161389937302E-2</v>
      </c>
      <c r="D375">
        <v>0.206574024585783</v>
      </c>
      <c r="E375">
        <v>7.4634478068684007E-2</v>
      </c>
      <c r="F375">
        <v>-8.8194564652934002E-2</v>
      </c>
      <c r="G375">
        <v>0.206574024585783</v>
      </c>
      <c r="H375">
        <v>0.107742455574638</v>
      </c>
      <c r="I375">
        <v>1.2059747330215671</v>
      </c>
    </row>
    <row r="376" spans="1:9" x14ac:dyDescent="0.25">
      <c r="A376" s="1" t="s">
        <v>388</v>
      </c>
      <c r="B376" t="str">
        <f>HYPERLINK("https://www.suredividend.com/sure-analysis-research-database/","Calavo Growers, Inc")</f>
        <v>Calavo Growers, Inc</v>
      </c>
      <c r="C376">
        <v>2.5316455696202E-2</v>
      </c>
      <c r="D376">
        <v>0.15197074360016199</v>
      </c>
      <c r="E376">
        <v>-6.8580102111218011E-2</v>
      </c>
      <c r="F376">
        <v>-3.6042162529751003E-2</v>
      </c>
      <c r="G376">
        <v>-9.6653315616904004E-2</v>
      </c>
      <c r="H376">
        <v>-0.32952728717516899</v>
      </c>
      <c r="I376">
        <v>-0.60618326994296201</v>
      </c>
    </row>
    <row r="377" spans="1:9" x14ac:dyDescent="0.25">
      <c r="A377" s="1" t="s">
        <v>389</v>
      </c>
      <c r="B377" t="str">
        <f>HYPERLINK("https://www.suredividend.com/sure-analysis-research-database/","CVR Energy Inc")</f>
        <v>CVR Energy Inc</v>
      </c>
      <c r="C377">
        <v>1.0484927916120001E-2</v>
      </c>
      <c r="D377">
        <v>3.2429120928784E-2</v>
      </c>
      <c r="E377">
        <v>6.311467780799801E-2</v>
      </c>
      <c r="F377">
        <v>1.7821782178217001E-2</v>
      </c>
      <c r="G377">
        <v>8.0592433750643011E-2</v>
      </c>
      <c r="H377">
        <v>0.724378938422227</v>
      </c>
      <c r="I377">
        <v>0.23412820687254099</v>
      </c>
    </row>
    <row r="378" spans="1:9" x14ac:dyDescent="0.25">
      <c r="A378" s="1" t="s">
        <v>390</v>
      </c>
      <c r="B378" t="str">
        <f>HYPERLINK("https://www.suredividend.com/sure-analysis-research-database/","Covenant Logistics Group Inc")</f>
        <v>Covenant Logistics Group Inc</v>
      </c>
      <c r="C378">
        <v>7.9272557705758001E-2</v>
      </c>
      <c r="D378">
        <v>7.0625676513308006E-2</v>
      </c>
      <c r="E378">
        <v>5.6863792654692998E-2</v>
      </c>
      <c r="F378">
        <v>5.4300608166810002E-3</v>
      </c>
      <c r="G378">
        <v>0.29397820727132401</v>
      </c>
      <c r="H378">
        <v>1.041401330064033</v>
      </c>
      <c r="I378">
        <v>1.1980056980056979</v>
      </c>
    </row>
    <row r="379" spans="1:9" x14ac:dyDescent="0.25">
      <c r="A379" s="1" t="s">
        <v>391</v>
      </c>
      <c r="B379" t="str">
        <f>HYPERLINK("https://www.suredividend.com/sure-analysis-research-database/","Commvault Systems Inc")</f>
        <v>Commvault Systems Inc</v>
      </c>
      <c r="C379">
        <v>2.1665361524405999E-2</v>
      </c>
      <c r="D379">
        <v>0.169754931261207</v>
      </c>
      <c r="E379">
        <v>3.7920975868469001E-2</v>
      </c>
      <c r="F379">
        <v>-1.9661865998746999E-2</v>
      </c>
      <c r="G379">
        <v>0.41811594202898511</v>
      </c>
      <c r="H379">
        <v>0.136634238420211</v>
      </c>
      <c r="I379">
        <v>0.281597904387688</v>
      </c>
    </row>
    <row r="380" spans="1:9" x14ac:dyDescent="0.25">
      <c r="A380" s="1" t="s">
        <v>392</v>
      </c>
      <c r="B380" t="str">
        <f>HYPERLINK("https://www.suredividend.com/sure-analysis-research-database/","Cvent Holding Corp")</f>
        <v>Cvent Holding Corp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 s="1" t="s">
        <v>393</v>
      </c>
      <c r="B381" t="str">
        <f>HYPERLINK("https://www.suredividend.com/sure-analysis-CWEN/","Clearway Energy Inc")</f>
        <v>Clearway Energy Inc</v>
      </c>
      <c r="C381">
        <v>-9.9616858237540004E-3</v>
      </c>
      <c r="D381">
        <v>0.216503775681223</v>
      </c>
      <c r="E381">
        <v>-3.8060634939543002E-2</v>
      </c>
      <c r="F381">
        <v>-5.7965730951512001E-2</v>
      </c>
      <c r="G381">
        <v>-0.20332482395451801</v>
      </c>
      <c r="H381">
        <v>-0.13719126372764001</v>
      </c>
      <c r="I381">
        <v>1.005245921994071</v>
      </c>
    </row>
    <row r="382" spans="1:9" x14ac:dyDescent="0.25">
      <c r="A382" s="1" t="s">
        <v>394</v>
      </c>
      <c r="B382" t="str">
        <f>HYPERLINK("https://www.suredividend.com/sure-analysis-CWH/","Camping World Holdings Inc")</f>
        <v>Camping World Holdings Inc</v>
      </c>
      <c r="C382">
        <v>-9.788566953797E-3</v>
      </c>
      <c r="D382">
        <v>0.48326705845092699</v>
      </c>
      <c r="E382">
        <v>-0.20916109785576001</v>
      </c>
      <c r="F382">
        <v>-3.6938309215536001E-2</v>
      </c>
      <c r="G382">
        <v>4.6147991263484997E-2</v>
      </c>
      <c r="H382">
        <v>-0.22146047734416099</v>
      </c>
      <c r="I382">
        <v>1.361653250658349</v>
      </c>
    </row>
    <row r="383" spans="1:9" x14ac:dyDescent="0.25">
      <c r="A383" s="1" t="s">
        <v>395</v>
      </c>
      <c r="B383" t="str">
        <f>HYPERLINK("https://www.suredividend.com/sure-analysis-research-database/","Cushman &amp; Wakefield plc")</f>
        <v>Cushman &amp; Wakefield plc</v>
      </c>
      <c r="C383">
        <v>2.5826446280991001E-2</v>
      </c>
      <c r="D383">
        <v>0.35102040816326502</v>
      </c>
      <c r="E383">
        <v>3.4375000000000003E-2</v>
      </c>
      <c r="F383">
        <v>-8.0555555555555006E-2</v>
      </c>
      <c r="G383">
        <v>-0.28868194842406802</v>
      </c>
      <c r="H383">
        <v>-0.55270270270270205</v>
      </c>
      <c r="I383">
        <v>-0.36305323925593302</v>
      </c>
    </row>
    <row r="384" spans="1:9" x14ac:dyDescent="0.25">
      <c r="A384" s="1" t="s">
        <v>396</v>
      </c>
      <c r="B384" t="str">
        <f>HYPERLINK("https://www.suredividend.com/sure-analysis-research-database/","Casella Waste Systems, Inc.")</f>
        <v>Casella Waste Systems, Inc.</v>
      </c>
      <c r="C384">
        <v>-3.4832600608724E-2</v>
      </c>
      <c r="D384">
        <v>0.108493008803728</v>
      </c>
      <c r="E384">
        <v>-8.1093605189980003E-3</v>
      </c>
      <c r="F384">
        <v>1.872220922068E-3</v>
      </c>
      <c r="G384">
        <v>0.1009386652951</v>
      </c>
      <c r="H384">
        <v>9.2788768347160003E-2</v>
      </c>
      <c r="I384">
        <v>1.8304132231404959</v>
      </c>
    </row>
    <row r="385" spans="1:9" x14ac:dyDescent="0.25">
      <c r="A385" s="1" t="s">
        <v>397</v>
      </c>
      <c r="B385" t="str">
        <f>HYPERLINK("https://www.suredividend.com/sure-analysis-CWT/","California Water Service Group")</f>
        <v>California Water Service Group</v>
      </c>
      <c r="C385">
        <v>-9.6457058059729012E-2</v>
      </c>
      <c r="D385">
        <v>2.1081956972431998E-2</v>
      </c>
      <c r="E385">
        <v>-4.2760371733623001E-2</v>
      </c>
      <c r="F385">
        <v>-6.0921534605745002E-2</v>
      </c>
      <c r="G385">
        <v>-0.20436967817071899</v>
      </c>
      <c r="H385">
        <v>-0.208639171305006</v>
      </c>
      <c r="I385">
        <v>0.155555133810485</v>
      </c>
    </row>
    <row r="386" spans="1:9" x14ac:dyDescent="0.25">
      <c r="A386" s="1" t="s">
        <v>398</v>
      </c>
      <c r="B386" t="str">
        <f>HYPERLINK("https://www.suredividend.com/sure-analysis-research-database/","CoreCivic Inc")</f>
        <v>CoreCivic Inc</v>
      </c>
      <c r="C386">
        <v>-5.0349650349650013E-2</v>
      </c>
      <c r="D386">
        <v>0.232304900181488</v>
      </c>
      <c r="E386">
        <v>0.42198952879581098</v>
      </c>
      <c r="F386">
        <v>-6.5381968341362007E-2</v>
      </c>
      <c r="G386">
        <v>0.180869565217391</v>
      </c>
      <c r="H386">
        <v>0.25740740740740697</v>
      </c>
      <c r="I386">
        <v>-0.20466192275030001</v>
      </c>
    </row>
    <row r="387" spans="1:9" x14ac:dyDescent="0.25">
      <c r="A387" s="1" t="s">
        <v>399</v>
      </c>
      <c r="B387" t="str">
        <f>HYPERLINK("https://www.suredividend.com/sure-analysis-research-database/","Community Health Systems, Inc.")</f>
        <v>Community Health Systems, Inc.</v>
      </c>
      <c r="C387">
        <v>0.38022813688212898</v>
      </c>
      <c r="D387">
        <v>0.38549618320610601</v>
      </c>
      <c r="E387">
        <v>-0.17687074829931901</v>
      </c>
      <c r="F387">
        <v>0.15974440894568601</v>
      </c>
      <c r="G387">
        <v>-0.210869565217391</v>
      </c>
      <c r="H387">
        <v>-0.72076923076923005</v>
      </c>
      <c r="I387">
        <v>-3.4574468085106003E-2</v>
      </c>
    </row>
    <row r="388" spans="1:9" x14ac:dyDescent="0.25">
      <c r="A388" s="1" t="s">
        <v>400</v>
      </c>
      <c r="B388" t="str">
        <f>HYPERLINK("https://www.suredividend.com/sure-analysis-research-database/","CryoPort Inc")</f>
        <v>CryoPort Inc</v>
      </c>
      <c r="C388">
        <v>-8.7445346658338002E-2</v>
      </c>
      <c r="D388">
        <v>0.23395270270270199</v>
      </c>
      <c r="E388">
        <v>6.84931506849E-4</v>
      </c>
      <c r="F388">
        <v>-5.6810845706906997E-2</v>
      </c>
      <c r="G388">
        <v>-0.298607777244359</v>
      </c>
      <c r="H388">
        <v>-0.68086500655307902</v>
      </c>
      <c r="I388">
        <v>0.6037321624588361</v>
      </c>
    </row>
    <row r="389" spans="1:9" x14ac:dyDescent="0.25">
      <c r="A389" s="1" t="s">
        <v>401</v>
      </c>
      <c r="B389" t="str">
        <f>HYPERLINK("https://www.suredividend.com/sure-analysis-research-database/","Cytokinetics Inc")</f>
        <v>Cytokinetics Inc</v>
      </c>
      <c r="C389">
        <v>1.289994649545211</v>
      </c>
      <c r="D389">
        <v>1.5021923414206371</v>
      </c>
      <c r="E389">
        <v>1.411267605633802</v>
      </c>
      <c r="F389">
        <v>2.5272487723079998E-2</v>
      </c>
      <c r="G389">
        <v>1.0160150730098909</v>
      </c>
      <c r="H389">
        <v>1.603406326034063</v>
      </c>
      <c r="I389">
        <v>10.758241758241761</v>
      </c>
    </row>
    <row r="390" spans="1:9" x14ac:dyDescent="0.25">
      <c r="A390" s="1" t="s">
        <v>402</v>
      </c>
      <c r="B390" t="str">
        <f>HYPERLINK("https://www.suredividend.com/sure-analysis-research-database/","Citizens &amp; Northern Corp")</f>
        <v>Citizens &amp; Northern Corp</v>
      </c>
      <c r="C390">
        <v>-5.5555555555554997E-2</v>
      </c>
      <c r="D390">
        <v>0.152853686430693</v>
      </c>
      <c r="E390">
        <v>7.3094535028030011E-2</v>
      </c>
      <c r="F390">
        <v>-0.105662059741417</v>
      </c>
      <c r="G390">
        <v>-3.8078843009288002E-2</v>
      </c>
      <c r="H390">
        <v>-0.13167315242469199</v>
      </c>
      <c r="I390">
        <v>0.115560004448893</v>
      </c>
    </row>
    <row r="391" spans="1:9" x14ac:dyDescent="0.25">
      <c r="A391" s="1" t="s">
        <v>403</v>
      </c>
      <c r="B391" t="str">
        <f>HYPERLINK("https://www.suredividend.com/sure-analysis-research-database/","Dana Inc")</f>
        <v>Dana Inc</v>
      </c>
      <c r="C391">
        <v>-5.0687907313541003E-2</v>
      </c>
      <c r="D391">
        <v>6.8737759686640009E-3</v>
      </c>
      <c r="E391">
        <v>-0.26706546653994501</v>
      </c>
      <c r="F391">
        <v>-0.102669404517453</v>
      </c>
      <c r="G391">
        <v>-0.22986095201170101</v>
      </c>
      <c r="H391">
        <v>-0.44048005189750211</v>
      </c>
      <c r="I391">
        <v>-8.6799339653527013E-2</v>
      </c>
    </row>
    <row r="392" spans="1:9" x14ac:dyDescent="0.25">
      <c r="A392" s="1" t="s">
        <v>404</v>
      </c>
      <c r="B392" t="str">
        <f>HYPERLINK("https://www.suredividend.com/sure-analysis-research-database/","Day One Biopharmaceuticals Inc")</f>
        <v>Day One Biopharmaceuticals Inc</v>
      </c>
      <c r="C392">
        <v>-1.6231474947071001E-2</v>
      </c>
      <c r="D392">
        <v>0.25925925925925902</v>
      </c>
      <c r="E392">
        <v>0.16848281642917001</v>
      </c>
      <c r="F392">
        <v>-4.5205479452054012E-2</v>
      </c>
      <c r="G392">
        <v>-0.38939991239596999</v>
      </c>
      <c r="H392">
        <v>-1.7618040873854001E-2</v>
      </c>
      <c r="I392">
        <v>-0.46156817303978298</v>
      </c>
    </row>
    <row r="393" spans="1:9" x14ac:dyDescent="0.25">
      <c r="A393" s="1" t="s">
        <v>405</v>
      </c>
      <c r="B393" t="str">
        <f>HYPERLINK("https://www.suredividend.com/sure-analysis-research-database/","Designer Brands Inc")</f>
        <v>Designer Brands Inc</v>
      </c>
      <c r="C393">
        <v>-2.4719101123594999E-2</v>
      </c>
      <c r="D393">
        <v>-0.25728171954683898</v>
      </c>
      <c r="E393">
        <v>-0.10398150155358001</v>
      </c>
      <c r="F393">
        <v>-1.9209039548022E-2</v>
      </c>
      <c r="G393">
        <v>-8.0888192378148011E-2</v>
      </c>
      <c r="H393">
        <v>-0.36284692911305011</v>
      </c>
      <c r="I393">
        <v>-0.65747748743163303</v>
      </c>
    </row>
    <row r="394" spans="1:9" x14ac:dyDescent="0.25">
      <c r="A394" s="1" t="s">
        <v>406</v>
      </c>
      <c r="B394" t="str">
        <f>HYPERLINK("https://www.suredividend.com/sure-analysis-research-database/","DigitalBridge Group Inc")</f>
        <v>DigitalBridge Group Inc</v>
      </c>
      <c r="C394">
        <v>4.6658986175115012E-2</v>
      </c>
      <c r="D394">
        <v>8.9955849889624004E-2</v>
      </c>
      <c r="E394">
        <v>0.151362688751877</v>
      </c>
      <c r="F394">
        <v>3.5917901938426013E-2</v>
      </c>
      <c r="G394">
        <v>0.51333433278363505</v>
      </c>
      <c r="H394">
        <v>-0.42315445936207202</v>
      </c>
      <c r="I394">
        <v>2.2738738738738742</v>
      </c>
    </row>
    <row r="395" spans="1:9" x14ac:dyDescent="0.25">
      <c r="A395" s="1" t="s">
        <v>407</v>
      </c>
      <c r="B395" t="str">
        <f>HYPERLINK("https://www.suredividend.com/sure-analysis-research-database/","Dakota Gold Corp")</f>
        <v>Dakota Gold Corp</v>
      </c>
      <c r="C395">
        <v>-0.21189591078066899</v>
      </c>
      <c r="D395">
        <v>-0.256140350877193</v>
      </c>
      <c r="E395">
        <v>-0.26896551724137902</v>
      </c>
      <c r="F395">
        <v>-0.19083969465648801</v>
      </c>
      <c r="G395">
        <v>-0.41758241758241699</v>
      </c>
      <c r="H395">
        <v>-0.69275362318840505</v>
      </c>
      <c r="I395">
        <v>-0.69275362318840505</v>
      </c>
    </row>
    <row r="396" spans="1:9" x14ac:dyDescent="0.25">
      <c r="A396" s="1" t="s">
        <v>408</v>
      </c>
      <c r="B396" t="str">
        <f>HYPERLINK("https://www.suredividend.com/sure-analysis-research-database/","DocGo Inc")</f>
        <v>DocGo Inc</v>
      </c>
      <c r="C396">
        <v>-0.40445269016697499</v>
      </c>
      <c r="D396">
        <v>-0.45221843003412898</v>
      </c>
      <c r="E396">
        <v>-0.64956331877729201</v>
      </c>
      <c r="F396">
        <v>-0.42576028622540202</v>
      </c>
      <c r="G396">
        <v>-0.61325301204819205</v>
      </c>
      <c r="H396">
        <v>-0.58527131782945707</v>
      </c>
      <c r="I396">
        <v>-0.68217821782178201</v>
      </c>
    </row>
    <row r="397" spans="1:9" x14ac:dyDescent="0.25">
      <c r="A397" s="1" t="s">
        <v>409</v>
      </c>
      <c r="B397" t="str">
        <f>HYPERLINK("https://www.suredividend.com/sure-analysis-research-database/","Ducommun Inc.")</f>
        <v>Ducommun Inc.</v>
      </c>
      <c r="C397">
        <v>-5.4425612052730013E-2</v>
      </c>
      <c r="D397">
        <v>8.5386943363597007E-2</v>
      </c>
      <c r="E397">
        <v>7.6312968917470012E-2</v>
      </c>
      <c r="F397">
        <v>-3.5535920092201002E-2</v>
      </c>
      <c r="G397">
        <v>-0.12526132404181101</v>
      </c>
      <c r="H397">
        <v>9.6527626119240012E-2</v>
      </c>
      <c r="I397">
        <v>0.35336927223719611</v>
      </c>
    </row>
    <row r="398" spans="1:9" x14ac:dyDescent="0.25">
      <c r="A398" s="1" t="s">
        <v>410</v>
      </c>
      <c r="B398" t="str">
        <f>HYPERLINK("https://www.suredividend.com/sure-analysis-research-database/","Dime Community Bancshares Inc")</f>
        <v>Dime Community Bancshares Inc</v>
      </c>
      <c r="C398">
        <v>9.8931539374750004E-3</v>
      </c>
      <c r="D398">
        <v>0.33096207905455799</v>
      </c>
      <c r="E398">
        <v>0.39086454875928511</v>
      </c>
      <c r="F398">
        <v>-5.2357965094689013E-2</v>
      </c>
      <c r="G398">
        <v>-0.18226095872853099</v>
      </c>
      <c r="H398">
        <v>-0.25551435731226602</v>
      </c>
      <c r="I398">
        <v>-7.7567604346890006E-3</v>
      </c>
    </row>
    <row r="399" spans="1:9" x14ac:dyDescent="0.25">
      <c r="A399" s="1" t="s">
        <v>411</v>
      </c>
      <c r="B399" t="str">
        <f>HYPERLINK("https://www.suredividend.com/sure-analysis-research-database/","Deciphera Pharmaceuticals Inc")</f>
        <v>Deciphera Pharmaceuticals Inc</v>
      </c>
      <c r="C399">
        <v>-7.4235807860262001E-2</v>
      </c>
      <c r="D399">
        <v>0.35525114155251097</v>
      </c>
      <c r="E399">
        <v>8.4002921840759012E-2</v>
      </c>
      <c r="F399">
        <v>-7.997520148791E-2</v>
      </c>
      <c r="G399">
        <v>-0.30976744186046501</v>
      </c>
      <c r="H399">
        <v>0.76456599286563609</v>
      </c>
      <c r="I399">
        <v>-0.40449438202247201</v>
      </c>
    </row>
    <row r="400" spans="1:9" x14ac:dyDescent="0.25">
      <c r="A400" s="1" t="s">
        <v>412</v>
      </c>
      <c r="B400" t="str">
        <f>HYPERLINK("https://www.suredividend.com/sure-analysis-research-database/","3D Systems Corp.")</f>
        <v>3D Systems Corp.</v>
      </c>
      <c r="C400">
        <v>-0.166934189406099</v>
      </c>
      <c r="D400">
        <v>0.34108527131782901</v>
      </c>
      <c r="E400">
        <v>-0.50334928229664999</v>
      </c>
      <c r="F400">
        <v>-0.18267716535433001</v>
      </c>
      <c r="G400">
        <v>-0.43216630196936501</v>
      </c>
      <c r="H400">
        <v>-0.73493360572012201</v>
      </c>
      <c r="I400">
        <v>-0.53536257833482503</v>
      </c>
    </row>
    <row r="401" spans="1:9" x14ac:dyDescent="0.25">
      <c r="A401" s="1" t="s">
        <v>413</v>
      </c>
      <c r="B401" t="str">
        <f>HYPERLINK("https://www.suredividend.com/sure-analysis-DDS/","Dillard`s Inc.")</f>
        <v>Dillard`s Inc.</v>
      </c>
      <c r="C401">
        <v>5.0776632542232997E-2</v>
      </c>
      <c r="D401">
        <v>0.34146714964681302</v>
      </c>
      <c r="E401">
        <v>0.275231090970388</v>
      </c>
      <c r="F401">
        <v>-4.5113340765514001E-2</v>
      </c>
      <c r="G401">
        <v>9.0636832988029006E-2</v>
      </c>
      <c r="H401">
        <v>0.72517046263249607</v>
      </c>
      <c r="I401">
        <v>6.0398714178736466</v>
      </c>
    </row>
    <row r="402" spans="1:9" x14ac:dyDescent="0.25">
      <c r="A402" s="1" t="s">
        <v>414</v>
      </c>
      <c r="B402" t="str">
        <f>HYPERLINK("https://www.suredividend.com/sure-analysis-DEA/","Easterly Government Properties Inc")</f>
        <v>Easterly Government Properties Inc</v>
      </c>
      <c r="C402">
        <v>1.1244377811094001E-2</v>
      </c>
      <c r="D402">
        <v>0.245878626116349</v>
      </c>
      <c r="E402">
        <v>-5.3738399702582998E-2</v>
      </c>
      <c r="F402">
        <v>3.7202380952380001E-3</v>
      </c>
      <c r="G402">
        <v>-7.7550071457388001E-2</v>
      </c>
      <c r="H402">
        <v>-0.30655152029197802</v>
      </c>
      <c r="I402">
        <v>6.8777283927142011E-2</v>
      </c>
    </row>
    <row r="403" spans="1:9" x14ac:dyDescent="0.25">
      <c r="A403" s="1" t="s">
        <v>415</v>
      </c>
      <c r="B403" t="str">
        <f>HYPERLINK("https://www.suredividend.com/sure-analysis-research-database/","Denbury Inc.")</f>
        <v>Denbury Inc.</v>
      </c>
      <c r="C403">
        <v>-9.5398428731762006E-2</v>
      </c>
      <c r="D403">
        <v>1.4648661020827999E-2</v>
      </c>
      <c r="E403">
        <v>-4.8916541514696002E-2</v>
      </c>
      <c r="F403">
        <v>1.8846242243162E-2</v>
      </c>
      <c r="G403">
        <v>-3.4730538922155003E-2</v>
      </c>
      <c r="H403">
        <v>1.9197608920565001E-2</v>
      </c>
      <c r="I403">
        <v>3.8983425414364632</v>
      </c>
    </row>
    <row r="404" spans="1:9" x14ac:dyDescent="0.25">
      <c r="A404" s="1" t="s">
        <v>416</v>
      </c>
      <c r="B404" t="str">
        <f>HYPERLINK("https://www.suredividend.com/sure-analysis-research-database/","Denny`s Corp.")</f>
        <v>Denny`s Corp.</v>
      </c>
      <c r="C404">
        <v>-3.3364226135310003E-2</v>
      </c>
      <c r="D404">
        <v>0.27195121951219497</v>
      </c>
      <c r="E404">
        <v>-0.118343195266272</v>
      </c>
      <c r="F404">
        <v>-4.1360294117647002E-2</v>
      </c>
      <c r="G404">
        <v>-0.14014839241549801</v>
      </c>
      <c r="H404">
        <v>-0.35457920792079201</v>
      </c>
      <c r="I404">
        <v>-0.42911877394636011</v>
      </c>
    </row>
    <row r="405" spans="1:9" x14ac:dyDescent="0.25">
      <c r="A405" s="1" t="s">
        <v>417</v>
      </c>
      <c r="B405" t="str">
        <f>HYPERLINK("https://www.suredividend.com/sure-analysis-research-database/","Dream Finders Homes Inc")</f>
        <v>Dream Finders Homes Inc</v>
      </c>
      <c r="C405">
        <v>0.17919075144508601</v>
      </c>
      <c r="D405">
        <v>0.56022944550669207</v>
      </c>
      <c r="E405">
        <v>0.27152317880794602</v>
      </c>
      <c r="F405">
        <v>-8.1339712918660004E-2</v>
      </c>
      <c r="G405">
        <v>2.21259842519685</v>
      </c>
      <c r="H405">
        <v>0.66956521739130404</v>
      </c>
      <c r="I405">
        <v>0.55799522673030999</v>
      </c>
    </row>
    <row r="406" spans="1:9" x14ac:dyDescent="0.25">
      <c r="A406" s="1" t="s">
        <v>418</v>
      </c>
      <c r="B406" t="str">
        <f>HYPERLINK("https://www.suredividend.com/sure-analysis-research-database/","Donnelley Financial Solutions Inc")</f>
        <v>Donnelley Financial Solutions Inc</v>
      </c>
      <c r="C406">
        <v>-1.1206328279497999E-2</v>
      </c>
      <c r="D406">
        <v>0.10436223081170599</v>
      </c>
      <c r="E406">
        <v>0.24714196632716701</v>
      </c>
      <c r="F406">
        <v>-3.7999037999037012E-2</v>
      </c>
      <c r="G406">
        <v>0.42045454545454503</v>
      </c>
      <c r="H406">
        <v>0.47492625368731511</v>
      </c>
      <c r="I406">
        <v>2.8486209108402818</v>
      </c>
    </row>
    <row r="407" spans="1:9" x14ac:dyDescent="0.25">
      <c r="A407" s="1" t="s">
        <v>419</v>
      </c>
      <c r="B407" t="str">
        <f>HYPERLINK("https://www.suredividend.com/sure-analysis-DGICA/","Donegal Group Inc.")</f>
        <v>Donegal Group Inc.</v>
      </c>
      <c r="C407">
        <v>-5.4200542005420002E-2</v>
      </c>
      <c r="D407">
        <v>1.2467272503100001E-2</v>
      </c>
      <c r="E407">
        <v>2.2156486593347999E-2</v>
      </c>
      <c r="F407">
        <v>-2.1443888491770001E-3</v>
      </c>
      <c r="G407">
        <v>-4.8616358477920002E-3</v>
      </c>
      <c r="H407">
        <v>8.8983017793483013E-2</v>
      </c>
      <c r="I407">
        <v>0.32008207960208401</v>
      </c>
    </row>
    <row r="408" spans="1:9" x14ac:dyDescent="0.25">
      <c r="A408" s="1" t="s">
        <v>420</v>
      </c>
      <c r="B408" t="str">
        <f>HYPERLINK("https://www.suredividend.com/sure-analysis-research-database/","Digi International, Inc.")</f>
        <v>Digi International, Inc.</v>
      </c>
      <c r="C408">
        <v>-3.1224655312246E-2</v>
      </c>
      <c r="D408">
        <v>-1.1584609019445E-2</v>
      </c>
      <c r="E408">
        <v>-0.42599711677078311</v>
      </c>
      <c r="F408">
        <v>-8.1153846153846007E-2</v>
      </c>
      <c r="G408">
        <v>-0.35292524377031398</v>
      </c>
      <c r="H408">
        <v>-1.4845360824742001E-2</v>
      </c>
      <c r="I408">
        <v>1.03839590443686</v>
      </c>
    </row>
    <row r="409" spans="1:9" x14ac:dyDescent="0.25">
      <c r="A409" s="1" t="s">
        <v>421</v>
      </c>
      <c r="B409" t="str">
        <f>HYPERLINK("https://www.suredividend.com/sure-analysis-research-database/","Diversified Healthcare Trust")</f>
        <v>Diversified Healthcare Trust</v>
      </c>
      <c r="C409">
        <v>0.14828897338402999</v>
      </c>
      <c r="D409">
        <v>0.62365591397849407</v>
      </c>
      <c r="E409">
        <v>0.22564935064934999</v>
      </c>
      <c r="F409">
        <v>-0.19251336898395699</v>
      </c>
      <c r="G409">
        <v>3.2565186751233259</v>
      </c>
      <c r="H409">
        <v>-1.1683084072388999E-2</v>
      </c>
      <c r="I409">
        <v>-0.73456383212480703</v>
      </c>
    </row>
    <row r="410" spans="1:9" x14ac:dyDescent="0.25">
      <c r="A410" s="1" t="s">
        <v>422</v>
      </c>
      <c r="B410" t="str">
        <f>HYPERLINK("https://www.suredividend.com/sure-analysis-research-database/","Diamond Hill Investment Group, Inc.")</f>
        <v>Diamond Hill Investment Group, Inc.</v>
      </c>
      <c r="C410">
        <v>-6.5875923018780008E-2</v>
      </c>
      <c r="D410">
        <v>1.9770834020966001E-2</v>
      </c>
      <c r="E410">
        <v>-5.6275713637890003E-2</v>
      </c>
      <c r="F410">
        <v>-2.9772329246935E-2</v>
      </c>
      <c r="G410">
        <v>-8.2301546138537005E-2</v>
      </c>
      <c r="H410">
        <v>-3.5750918125253002E-2</v>
      </c>
      <c r="I410">
        <v>0.34770912098596002</v>
      </c>
    </row>
    <row r="411" spans="1:9" x14ac:dyDescent="0.25">
      <c r="A411" s="1" t="s">
        <v>423</v>
      </c>
      <c r="B411" t="str">
        <f>HYPERLINK("https://www.suredividend.com/sure-analysis-research-database/","DHT Holdings Inc")</f>
        <v>DHT Holdings Inc</v>
      </c>
      <c r="C411">
        <v>0.14405010438413299</v>
      </c>
      <c r="D411">
        <v>4.3431900835888E-2</v>
      </c>
      <c r="E411">
        <v>0.30101374611239001</v>
      </c>
      <c r="F411">
        <v>0.11722731906218101</v>
      </c>
      <c r="G411">
        <v>0.41158893911878702</v>
      </c>
      <c r="H411">
        <v>1.245717564134087</v>
      </c>
      <c r="I411">
        <v>2.8956422833582138</v>
      </c>
    </row>
    <row r="412" spans="1:9" x14ac:dyDescent="0.25">
      <c r="A412" s="1" t="s">
        <v>424</v>
      </c>
      <c r="B412" t="str">
        <f>HYPERLINK("https://www.suredividend.com/sure-analysis-research-database/","DHI Group Inc")</f>
        <v>DHI Group Inc</v>
      </c>
      <c r="C412">
        <v>-7.2580645161290008E-2</v>
      </c>
      <c r="D412">
        <v>-0.18149466192170799</v>
      </c>
      <c r="E412">
        <v>-0.38005390835579511</v>
      </c>
      <c r="F412">
        <v>-0.111969111969111</v>
      </c>
      <c r="G412">
        <v>-0.58029197080291905</v>
      </c>
      <c r="H412">
        <v>-0.60750853242320801</v>
      </c>
      <c r="I412">
        <v>0.17346938775510101</v>
      </c>
    </row>
    <row r="413" spans="1:9" x14ac:dyDescent="0.25">
      <c r="A413" s="1" t="s">
        <v>425</v>
      </c>
      <c r="B413" t="str">
        <f>HYPERLINK("https://www.suredividend.com/sure-analysis-research-database/","1stdibs.com Inc")</f>
        <v>1stdibs.com Inc</v>
      </c>
      <c r="C413">
        <v>5.6433408577878007E-2</v>
      </c>
      <c r="D413">
        <v>0.30362116991643401</v>
      </c>
      <c r="E413">
        <v>0.14705882352941099</v>
      </c>
      <c r="F413">
        <v>0</v>
      </c>
      <c r="G413">
        <v>-0.21079258010117999</v>
      </c>
      <c r="H413">
        <v>-0.55807365439093404</v>
      </c>
      <c r="I413">
        <v>-0.83578947368421008</v>
      </c>
    </row>
    <row r="414" spans="1:9" x14ac:dyDescent="0.25">
      <c r="A414" s="1" t="s">
        <v>426</v>
      </c>
      <c r="B414" t="str">
        <f>HYPERLINK("https://www.suredividend.com/sure-analysis-research-database/","DICE Therapeutics Inc")</f>
        <v>DICE Therapeutics Inc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 s="1" t="s">
        <v>427</v>
      </c>
      <c r="B415" t="str">
        <f>HYPERLINK("https://www.suredividend.com/sure-analysis-research-database/","Dine Brands Global Inc")</f>
        <v>Dine Brands Global Inc</v>
      </c>
      <c r="C415">
        <v>-0.11070242288013001</v>
      </c>
      <c r="D415">
        <v>-3.2229230209098E-2</v>
      </c>
      <c r="E415">
        <v>-0.24373684972698501</v>
      </c>
      <c r="F415">
        <v>-0.105941591137965</v>
      </c>
      <c r="G415">
        <v>-0.39485565964686498</v>
      </c>
      <c r="H415">
        <v>-0.36186240149047311</v>
      </c>
      <c r="I415">
        <v>-0.37151441099474503</v>
      </c>
    </row>
    <row r="416" spans="1:9" x14ac:dyDescent="0.25">
      <c r="A416" s="1" t="s">
        <v>428</v>
      </c>
      <c r="B416" t="str">
        <f>HYPERLINK("https://www.suredividend.com/sure-analysis-research-database/","Diodes, Inc.")</f>
        <v>Diodes, Inc.</v>
      </c>
      <c r="C416">
        <v>-3.6913646055436997E-2</v>
      </c>
      <c r="D416">
        <v>-6.7964921330926006E-2</v>
      </c>
      <c r="E416">
        <v>-0.234995236583042</v>
      </c>
      <c r="F416">
        <v>-0.102459016393442</v>
      </c>
      <c r="G416">
        <v>-0.17263880938752099</v>
      </c>
      <c r="H416">
        <v>-0.25425652667423299</v>
      </c>
      <c r="I416">
        <v>1.2073915699450211</v>
      </c>
    </row>
    <row r="417" spans="1:9" x14ac:dyDescent="0.25">
      <c r="A417" s="1" t="s">
        <v>429</v>
      </c>
      <c r="B417" t="str">
        <f>HYPERLINK("https://www.suredividend.com/sure-analysis-research-database/","Daily Journal Corporation")</f>
        <v>Daily Journal Corporation</v>
      </c>
      <c r="C417">
        <v>-6.9327337455500002E-3</v>
      </c>
      <c r="D417">
        <v>4.7775947281713013E-2</v>
      </c>
      <c r="E417">
        <v>0.125663716814159</v>
      </c>
      <c r="F417">
        <v>-6.6956164544334007E-2</v>
      </c>
      <c r="G417">
        <v>8.0163043478260004E-2</v>
      </c>
      <c r="H417">
        <v>-0.14552650883090201</v>
      </c>
      <c r="I417">
        <v>0.45537757437070903</v>
      </c>
    </row>
    <row r="418" spans="1:9" x14ac:dyDescent="0.25">
      <c r="A418" s="1" t="s">
        <v>430</v>
      </c>
      <c r="B418" t="str">
        <f>HYPERLINK("https://www.suredividend.com/sure-analysis-research-database/","Delek US Holdings Inc")</f>
        <v>Delek US Holdings Inc</v>
      </c>
      <c r="C418">
        <v>-3.7571157495255997E-2</v>
      </c>
      <c r="D418">
        <v>-1.0943581663455E-2</v>
      </c>
      <c r="E418">
        <v>9.8006615749640008E-2</v>
      </c>
      <c r="F418">
        <v>-1.7054263565891001E-2</v>
      </c>
      <c r="G418">
        <v>5.0743102426735007E-2</v>
      </c>
      <c r="H418">
        <v>0.53555512497577995</v>
      </c>
      <c r="I418">
        <v>-8.7694305643992013E-2</v>
      </c>
    </row>
    <row r="419" spans="1:9" x14ac:dyDescent="0.25">
      <c r="A419" s="1" t="s">
        <v>431</v>
      </c>
      <c r="B419" t="str">
        <f>HYPERLINK("https://www.suredividend.com/sure-analysis-research-database/","Duluth Holdings Inc")</f>
        <v>Duluth Holdings Inc</v>
      </c>
      <c r="C419">
        <v>6.3008130081301003E-2</v>
      </c>
      <c r="D419">
        <v>-2.4253731343283E-2</v>
      </c>
      <c r="E419">
        <v>-0.17896389324960699</v>
      </c>
      <c r="F419">
        <v>-2.7881040892192999E-2</v>
      </c>
      <c r="G419">
        <v>-0.18153364632237801</v>
      </c>
      <c r="H419">
        <v>-0.6357938718662951</v>
      </c>
      <c r="I419">
        <v>-0.78280730897009909</v>
      </c>
    </row>
    <row r="420" spans="1:9" x14ac:dyDescent="0.25">
      <c r="A420" s="1" t="s">
        <v>432</v>
      </c>
      <c r="B420" t="str">
        <f>HYPERLINK("https://www.suredividend.com/sure-analysis-research-database/","Deluxe Corp.")</f>
        <v>Deluxe Corp.</v>
      </c>
      <c r="C420">
        <v>2.7678113787800999E-2</v>
      </c>
      <c r="D420">
        <v>0.13386378931057599</v>
      </c>
      <c r="E420">
        <v>0.110040747630436</v>
      </c>
      <c r="F420">
        <v>-6.5268065268065001E-2</v>
      </c>
      <c r="G420">
        <v>0.103789217548321</v>
      </c>
      <c r="H420">
        <v>-0.30682560700296202</v>
      </c>
      <c r="I420">
        <v>-0.41921766736959098</v>
      </c>
    </row>
    <row r="421" spans="1:9" x14ac:dyDescent="0.25">
      <c r="A421" s="1" t="s">
        <v>433</v>
      </c>
      <c r="B421" t="str">
        <f>HYPERLINK("https://www.suredividend.com/sure-analysis-research-database/","Desktop Metal Inc")</f>
        <v>Desktop Metal Inc</v>
      </c>
      <c r="C421">
        <v>-0.11009042629539199</v>
      </c>
      <c r="D421">
        <v>-0.48333333333333311</v>
      </c>
      <c r="E421">
        <v>-0.68205128205128207</v>
      </c>
      <c r="F421">
        <v>-0.174434087882822</v>
      </c>
      <c r="G421">
        <v>-0.659340659340659</v>
      </c>
      <c r="H421">
        <v>-0.85747126436781607</v>
      </c>
      <c r="I421">
        <v>-0.93608247422680402</v>
      </c>
    </row>
    <row r="422" spans="1:9" x14ac:dyDescent="0.25">
      <c r="A422" s="1" t="s">
        <v>434</v>
      </c>
      <c r="B422" t="str">
        <f>HYPERLINK("https://www.suredividend.com/sure-analysis-research-database/","Digimarc Corporation")</f>
        <v>Digimarc Corporation</v>
      </c>
      <c r="C422">
        <v>2.9520295202952001E-2</v>
      </c>
      <c r="D422">
        <v>0.28389380530973402</v>
      </c>
      <c r="E422">
        <v>0.21589004358028799</v>
      </c>
      <c r="F422">
        <v>4.1528239202650004E-3</v>
      </c>
      <c r="G422">
        <v>0.74291206150889011</v>
      </c>
      <c r="H422">
        <v>6.3817980022190003E-3</v>
      </c>
      <c r="I422">
        <v>0.93336886993603407</v>
      </c>
    </row>
    <row r="423" spans="1:9" x14ac:dyDescent="0.25">
      <c r="A423" s="1" t="s">
        <v>435</v>
      </c>
      <c r="B423" t="str">
        <f>HYPERLINK("https://www.suredividend.com/sure-analysis-research-database/","Denali Therapeutics Inc")</f>
        <v>Denali Therapeutics Inc</v>
      </c>
      <c r="C423">
        <v>-0.13967517401392099</v>
      </c>
      <c r="D423">
        <v>-0.106936416184971</v>
      </c>
      <c r="E423">
        <v>-0.36788271394476602</v>
      </c>
      <c r="F423">
        <v>-0.13606710158434299</v>
      </c>
      <c r="G423">
        <v>-0.36266758336198002</v>
      </c>
      <c r="H423">
        <v>-0.45245126993502599</v>
      </c>
      <c r="I423">
        <v>-0.11249401627573</v>
      </c>
    </row>
    <row r="424" spans="1:9" x14ac:dyDescent="0.25">
      <c r="A424" s="1" t="s">
        <v>436</v>
      </c>
      <c r="B424" t="str">
        <f>HYPERLINK("https://www.suredividend.com/sure-analysis-research-database/","Danimer Scientific Inc")</f>
        <v>Danimer Scientific Inc</v>
      </c>
      <c r="C424">
        <v>-0.241363636363636</v>
      </c>
      <c r="D424">
        <v>-0.49728915662650602</v>
      </c>
      <c r="E424">
        <v>-0.71421232876712304</v>
      </c>
      <c r="F424">
        <v>-0.18186274509803901</v>
      </c>
      <c r="G424">
        <v>-0.61186046511627901</v>
      </c>
      <c r="H424">
        <v>-0.87507485029940102</v>
      </c>
      <c r="I424">
        <v>-0.91352331606217607</v>
      </c>
    </row>
    <row r="425" spans="1:9" x14ac:dyDescent="0.25">
      <c r="A425" s="1" t="s">
        <v>437</v>
      </c>
      <c r="B425" t="str">
        <f>HYPERLINK("https://www.suredividend.com/sure-analysis-research-database/","NOW Inc")</f>
        <v>NOW Inc</v>
      </c>
      <c r="C425">
        <v>-7.0829450139794012E-2</v>
      </c>
      <c r="D425">
        <v>-0.155084745762711</v>
      </c>
      <c r="E425">
        <v>-0.10341726618704999</v>
      </c>
      <c r="F425">
        <v>-0.119257950530035</v>
      </c>
      <c r="G425">
        <v>-0.246978851963746</v>
      </c>
      <c r="H425">
        <v>5.6144067796610013E-2</v>
      </c>
      <c r="I425">
        <v>-0.25318352059924998</v>
      </c>
    </row>
    <row r="426" spans="1:9" x14ac:dyDescent="0.25">
      <c r="A426" s="1" t="s">
        <v>438</v>
      </c>
      <c r="B426" t="str">
        <f>HYPERLINK("https://www.suredividend.com/sure-analysis-research-database/","Krispy Kreme Inc")</f>
        <v>Krispy Kreme Inc</v>
      </c>
      <c r="C426">
        <v>-1.3669064748200999E-2</v>
      </c>
      <c r="D426">
        <v>0.17816906855036199</v>
      </c>
      <c r="E426">
        <v>-0.10437230936064799</v>
      </c>
      <c r="F426">
        <v>-9.1451292246520002E-2</v>
      </c>
      <c r="G426">
        <v>0.19068297088862601</v>
      </c>
      <c r="H426">
        <v>-0.16046147063145999</v>
      </c>
      <c r="I426">
        <v>-0.32895760832856102</v>
      </c>
    </row>
    <row r="427" spans="1:9" x14ac:dyDescent="0.25">
      <c r="A427" s="1" t="s">
        <v>439</v>
      </c>
      <c r="B427" t="str">
        <f>HYPERLINK("https://www.suredividend.com/sure-analysis-research-database/","Diamond Offshore Drilling, Inc.")</f>
        <v>Diamond Offshore Drilling, Inc.</v>
      </c>
      <c r="C427">
        <v>-7.3649754500810004E-3</v>
      </c>
      <c r="D427">
        <v>-0.13910574875798401</v>
      </c>
      <c r="E427">
        <v>-0.22689611217335801</v>
      </c>
      <c r="F427">
        <v>-6.6923076923076003E-2</v>
      </c>
      <c r="G427">
        <v>6.9664902998236009E-2</v>
      </c>
      <c r="H427">
        <v>11.926257459505541</v>
      </c>
      <c r="I427">
        <v>6.2171628721541007E-2</v>
      </c>
    </row>
    <row r="428" spans="1:9" x14ac:dyDescent="0.25">
      <c r="A428" s="1" t="s">
        <v>440</v>
      </c>
      <c r="B428" t="str">
        <f>HYPERLINK("https://www.suredividend.com/sure-analysis-DOC/","Physicians Realty Trust")</f>
        <v>Physicians Realty Trust</v>
      </c>
      <c r="C428">
        <v>8.7953445713020009E-2</v>
      </c>
      <c r="D428">
        <v>0.206023103756551</v>
      </c>
      <c r="E428">
        <v>-6.1824695210020014E-3</v>
      </c>
      <c r="F428">
        <v>5.1987767584096997E-2</v>
      </c>
      <c r="G428">
        <v>-2.8557308764869001E-2</v>
      </c>
      <c r="H428">
        <v>-0.166212203841725</v>
      </c>
      <c r="I428">
        <v>0.11515426570819499</v>
      </c>
    </row>
    <row r="429" spans="1:9" x14ac:dyDescent="0.25">
      <c r="A429" s="1" t="s">
        <v>441</v>
      </c>
      <c r="B429" t="str">
        <f>HYPERLINK("https://www.suredividend.com/sure-analysis-research-database/","DigitalOcean Holdings Inc")</f>
        <v>DigitalOcean Holdings Inc</v>
      </c>
      <c r="C429">
        <v>7.3750752558699006E-2</v>
      </c>
      <c r="D429">
        <v>0.55492589363557099</v>
      </c>
      <c r="E429">
        <v>-0.27233782129742901</v>
      </c>
      <c r="F429">
        <v>-2.7800490596892002E-2</v>
      </c>
      <c r="G429">
        <v>0.28819068255687902</v>
      </c>
      <c r="H429">
        <v>-0.45475389789055298</v>
      </c>
      <c r="I429">
        <v>-0.160705882352941</v>
      </c>
    </row>
    <row r="430" spans="1:9" x14ac:dyDescent="0.25">
      <c r="A430" s="1" t="s">
        <v>442</v>
      </c>
      <c r="B430" t="str">
        <f>HYPERLINK("https://www.suredividend.com/sure-analysis-research-database/","Doma Holdings Inc")</f>
        <v>Doma Holdings Inc</v>
      </c>
      <c r="C430">
        <v>-0.186440677966101</v>
      </c>
      <c r="D430">
        <v>9.3457943925230012E-3</v>
      </c>
      <c r="E430">
        <v>-0.46993865030674797</v>
      </c>
      <c r="F430">
        <v>-6.6954643628509003E-2</v>
      </c>
      <c r="G430">
        <v>-0.683168316831683</v>
      </c>
      <c r="H430">
        <v>-0.95875894988066812</v>
      </c>
      <c r="I430">
        <v>-0.97473684210526312</v>
      </c>
    </row>
    <row r="431" spans="1:9" x14ac:dyDescent="0.25">
      <c r="A431" s="1" t="s">
        <v>443</v>
      </c>
      <c r="B431" t="str">
        <f>HYPERLINK("https://www.suredividend.com/sure-analysis-research-database/","Domo Inc.")</f>
        <v>Domo Inc.</v>
      </c>
      <c r="C431">
        <v>-3.6960985626282999E-2</v>
      </c>
      <c r="D431">
        <v>6.1085972850678003E-2</v>
      </c>
      <c r="E431">
        <v>-0.40406607369758502</v>
      </c>
      <c r="F431">
        <v>-8.8435374149659005E-2</v>
      </c>
      <c r="G431">
        <v>-0.33990147783251201</v>
      </c>
      <c r="H431">
        <v>-0.78821404380221205</v>
      </c>
      <c r="I431">
        <v>-0.58714788732394307</v>
      </c>
    </row>
    <row r="432" spans="1:9" x14ac:dyDescent="0.25">
      <c r="A432" s="1" t="s">
        <v>444</v>
      </c>
      <c r="B432" t="str">
        <f>HYPERLINK("https://www.suredividend.com/sure-analysis-research-database/","Masonite International Corp")</f>
        <v>Masonite International Corp</v>
      </c>
      <c r="C432">
        <v>-9.0746957616449006E-2</v>
      </c>
      <c r="D432">
        <v>3.2523230879199012E-2</v>
      </c>
      <c r="E432">
        <v>-0.14946025515210901</v>
      </c>
      <c r="F432">
        <v>2.3742026931254E-2</v>
      </c>
      <c r="G432">
        <v>1.3328656611714999E-2</v>
      </c>
      <c r="H432">
        <v>-0.23001066098080999</v>
      </c>
      <c r="I432">
        <v>0.68585878233806608</v>
      </c>
    </row>
    <row r="433" spans="1:9" x14ac:dyDescent="0.25">
      <c r="A433" s="1" t="s">
        <v>445</v>
      </c>
      <c r="B433" t="str">
        <f>HYPERLINK("https://www.suredividend.com/sure-analysis-research-database/","Dorman Products Inc")</f>
        <v>Dorman Products Inc</v>
      </c>
      <c r="C433">
        <v>3.3128677411102002E-2</v>
      </c>
      <c r="D433">
        <v>5.5127367733507002E-2</v>
      </c>
      <c r="E433">
        <v>-3.5697230181470002E-2</v>
      </c>
      <c r="F433">
        <v>-3.1650881189305001E-2</v>
      </c>
      <c r="G433">
        <v>-0.102754943345923</v>
      </c>
      <c r="H433">
        <v>-0.239453860640301</v>
      </c>
      <c r="I433">
        <v>-0.14583333333333301</v>
      </c>
    </row>
    <row r="434" spans="1:9" x14ac:dyDescent="0.25">
      <c r="A434" s="1" t="s">
        <v>446</v>
      </c>
      <c r="B434" t="str">
        <f>HYPERLINK("https://www.suredividend.com/sure-analysis-research-database/","Douglas Elliman Inc")</f>
        <v>Douglas Elliman Inc</v>
      </c>
      <c r="C434">
        <v>-1.6326530612244001E-2</v>
      </c>
      <c r="D434">
        <v>0.15311004784689</v>
      </c>
      <c r="E434">
        <v>-5.859375E-2</v>
      </c>
      <c r="F434">
        <v>-0.18305084745762701</v>
      </c>
      <c r="G434">
        <v>-0.41396751288785111</v>
      </c>
      <c r="H434">
        <v>-0.74232039945684103</v>
      </c>
      <c r="I434">
        <v>-0.76719249606352402</v>
      </c>
    </row>
    <row r="435" spans="1:9" x14ac:dyDescent="0.25">
      <c r="A435" s="1" t="s">
        <v>447</v>
      </c>
      <c r="B435" t="str">
        <f>HYPERLINK("https://www.suredividend.com/sure-analysis-research-database/","Diamondrock Hospitality Co.")</f>
        <v>Diamondrock Hospitality Co.</v>
      </c>
      <c r="C435">
        <v>4.9037169726824002E-2</v>
      </c>
      <c r="D435">
        <v>0.18529575469311299</v>
      </c>
      <c r="E435">
        <v>0.15480841518874999</v>
      </c>
      <c r="F435">
        <v>-2.1299254526090002E-3</v>
      </c>
      <c r="G435">
        <v>9.7973962666541001E-2</v>
      </c>
      <c r="H435">
        <v>-2.8250228158964E-2</v>
      </c>
      <c r="I435">
        <v>3.4741701084435E-2</v>
      </c>
    </row>
    <row r="436" spans="1:9" x14ac:dyDescent="0.25">
      <c r="A436" s="1" t="s">
        <v>448</v>
      </c>
      <c r="B436" t="str">
        <f>HYPERLINK("https://www.suredividend.com/sure-analysis-research-database/","Dril-Quip, Inc.")</f>
        <v>Dril-Quip, Inc.</v>
      </c>
      <c r="C436">
        <v>-4.0583675330597001E-2</v>
      </c>
      <c r="D436">
        <v>-0.189834424335772</v>
      </c>
      <c r="E436">
        <v>-0.180366186209583</v>
      </c>
      <c r="F436">
        <v>-9.5831542758917004E-2</v>
      </c>
      <c r="G436">
        <v>-0.26561954624781797</v>
      </c>
      <c r="H436">
        <v>-0.153319919517102</v>
      </c>
      <c r="I436">
        <v>-0.44485488126648998</v>
      </c>
    </row>
    <row r="437" spans="1:9" x14ac:dyDescent="0.25">
      <c r="A437" s="1" t="s">
        <v>449</v>
      </c>
      <c r="B437" t="str">
        <f>HYPERLINK("https://www.suredividend.com/sure-analysis-research-database/","Diversey Holdings Ltd")</f>
        <v>Diversey Holdings Ltd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 s="1" t="s">
        <v>450</v>
      </c>
      <c r="B438" t="str">
        <f>HYPERLINK("https://www.suredividend.com/sure-analysis-research-database/","Design Therapeutics Inc")</f>
        <v>Design Therapeutics Inc</v>
      </c>
      <c r="C438">
        <v>-4.6875E-2</v>
      </c>
      <c r="D438">
        <v>0.14018691588785001</v>
      </c>
      <c r="E438">
        <v>-0.64637681159420202</v>
      </c>
      <c r="F438">
        <v>-7.9245283018867005E-2</v>
      </c>
      <c r="G438">
        <v>-0.72888888888888803</v>
      </c>
      <c r="H438">
        <v>-0.8385175380542681</v>
      </c>
      <c r="I438">
        <v>-0.94119064834899913</v>
      </c>
    </row>
    <row r="439" spans="1:9" x14ac:dyDescent="0.25">
      <c r="A439" s="1" t="s">
        <v>451</v>
      </c>
      <c r="B439" t="str">
        <f>HYPERLINK("https://www.suredividend.com/sure-analysis-research-database/","Distribution Solutions Group Inc")</f>
        <v>Distribution Solutions Group Inc</v>
      </c>
      <c r="C439">
        <v>0.107193732193732</v>
      </c>
      <c r="D439">
        <v>-1.8313861698767999E-2</v>
      </c>
      <c r="E439">
        <v>0.19141598007281099</v>
      </c>
      <c r="F439">
        <v>-1.4892268694549999E-2</v>
      </c>
      <c r="G439">
        <v>0.58973650973835001</v>
      </c>
      <c r="H439">
        <v>-0.34450769555133798</v>
      </c>
      <c r="I439">
        <v>7.951388888888801E-2</v>
      </c>
    </row>
    <row r="440" spans="1:9" x14ac:dyDescent="0.25">
      <c r="A440" s="1" t="s">
        <v>452</v>
      </c>
      <c r="B440" t="str">
        <f>HYPERLINK("https://www.suredividend.com/sure-analysis-research-database/","Daseke Inc")</f>
        <v>Daseke Inc</v>
      </c>
      <c r="C440">
        <v>0.78414096916299503</v>
      </c>
      <c r="D440">
        <v>0.74946004319654402</v>
      </c>
      <c r="E440">
        <v>0.114167812929848</v>
      </c>
      <c r="F440">
        <v>0</v>
      </c>
      <c r="G440">
        <v>0.34105960264900598</v>
      </c>
      <c r="H440">
        <v>-0.150052465897166</v>
      </c>
      <c r="I440">
        <v>1.0099255583126541</v>
      </c>
    </row>
    <row r="441" spans="1:9" x14ac:dyDescent="0.25">
      <c r="A441" s="1" t="s">
        <v>453</v>
      </c>
      <c r="B441" t="str">
        <f>HYPERLINK("https://www.suredividend.com/sure-analysis-research-database/","Viant Technology Inc")</f>
        <v>Viant Technology Inc</v>
      </c>
      <c r="C441">
        <v>-5.7553956834530007E-3</v>
      </c>
      <c r="D441">
        <v>0.27490774907748999</v>
      </c>
      <c r="E441">
        <v>0.44560669456066898</v>
      </c>
      <c r="F441">
        <v>2.9027576197379998E-3</v>
      </c>
      <c r="G441">
        <v>0.55280898876404405</v>
      </c>
      <c r="H441">
        <v>-0.17443249701314201</v>
      </c>
      <c r="I441">
        <v>-0.85519698239731712</v>
      </c>
    </row>
    <row r="442" spans="1:9" x14ac:dyDescent="0.25">
      <c r="A442" s="1" t="s">
        <v>454</v>
      </c>
      <c r="B442" t="str">
        <f>HYPERLINK("https://www.suredividend.com/sure-analysis-research-database/","Solo Brands Inc")</f>
        <v>Solo Brands Inc</v>
      </c>
      <c r="C442">
        <v>-0.43122676579925601</v>
      </c>
      <c r="D442">
        <v>-0.27659574468085102</v>
      </c>
      <c r="E442">
        <v>-0.44464609800362898</v>
      </c>
      <c r="F442">
        <v>-0.50324675324675305</v>
      </c>
      <c r="G442">
        <v>-0.25907990314769902</v>
      </c>
      <c r="H442">
        <v>-0.81632653061224403</v>
      </c>
      <c r="I442">
        <v>-0.82623509369676307</v>
      </c>
    </row>
    <row r="443" spans="1:9" x14ac:dyDescent="0.25">
      <c r="A443" s="1" t="s">
        <v>455</v>
      </c>
      <c r="B443" t="str">
        <f>HYPERLINK("https://www.suredividend.com/sure-analysis-research-database/","Duolingo Inc")</f>
        <v>Duolingo Inc</v>
      </c>
      <c r="C443">
        <v>-9.0359119577809011E-2</v>
      </c>
      <c r="D443">
        <v>0.32423485321673901</v>
      </c>
      <c r="E443">
        <v>0.377672363376437</v>
      </c>
      <c r="F443">
        <v>-6.5417676878994011E-2</v>
      </c>
      <c r="G443">
        <v>1.6714969758064511</v>
      </c>
      <c r="H443">
        <v>1.3087226396602409</v>
      </c>
      <c r="I443">
        <v>0.52514207610963204</v>
      </c>
    </row>
    <row r="444" spans="1:9" x14ac:dyDescent="0.25">
      <c r="A444" s="1" t="s">
        <v>456</v>
      </c>
      <c r="B444" t="str">
        <f>HYPERLINK("https://www.suredividend.com/sure-analysis-research-database/","Dynavax Technologies Corp.")</f>
        <v>Dynavax Technologies Corp.</v>
      </c>
      <c r="C444">
        <v>3.5687732342007013E-2</v>
      </c>
      <c r="D444">
        <v>-2.1769662921348E-2</v>
      </c>
      <c r="E444">
        <v>-6.4194008559200003E-3</v>
      </c>
      <c r="F444">
        <v>-3.5765379113009998E-3</v>
      </c>
      <c r="G444">
        <v>0.22731277533039601</v>
      </c>
      <c r="H444">
        <v>6.6615620214395002E-2</v>
      </c>
      <c r="I444">
        <v>0.259493670886075</v>
      </c>
    </row>
    <row r="445" spans="1:9" x14ac:dyDescent="0.25">
      <c r="A445" s="1" t="s">
        <v>457</v>
      </c>
      <c r="B445" t="str">
        <f>HYPERLINK("https://www.suredividend.com/sure-analysis-DX/","Dynex Capital, Inc.")</f>
        <v>Dynex Capital, Inc.</v>
      </c>
      <c r="C445">
        <v>4.6346364334373003E-2</v>
      </c>
      <c r="D445">
        <v>0.154251628657157</v>
      </c>
      <c r="E445">
        <v>8.2181596999290007E-2</v>
      </c>
      <c r="F445">
        <v>2.3162939297123999E-2</v>
      </c>
      <c r="G445">
        <v>1.5651015651015E-2</v>
      </c>
      <c r="H445">
        <v>-4.7158583754833998E-2</v>
      </c>
      <c r="I445">
        <v>0.18150542791525601</v>
      </c>
    </row>
    <row r="446" spans="1:9" x14ac:dyDescent="0.25">
      <c r="A446" s="1" t="s">
        <v>458</v>
      </c>
      <c r="B446" t="str">
        <f>HYPERLINK("https://www.suredividend.com/sure-analysis-research-database/","Destination XL Group Inc")</f>
        <v>Destination XL Group Inc</v>
      </c>
      <c r="C446">
        <v>-7.6036866359447008E-2</v>
      </c>
      <c r="D446">
        <v>-2.4330900243309E-2</v>
      </c>
      <c r="E446">
        <v>-0.157563025210084</v>
      </c>
      <c r="F446">
        <v>-8.8636363636363014E-2</v>
      </c>
      <c r="G446">
        <v>-0.42632331902718101</v>
      </c>
      <c r="H446">
        <v>-0.331666666666666</v>
      </c>
      <c r="I446">
        <v>0.72844827586206906</v>
      </c>
    </row>
    <row r="447" spans="1:9" x14ac:dyDescent="0.25">
      <c r="A447" s="1" t="s">
        <v>459</v>
      </c>
      <c r="B447" t="str">
        <f>HYPERLINK("https://www.suredividend.com/sure-analysis-research-database/","DXP Enterprises, Inc.")</f>
        <v>DXP Enterprises, Inc.</v>
      </c>
      <c r="C447">
        <v>-4.2598187311178003E-2</v>
      </c>
      <c r="D447">
        <v>-3.0590394616089998E-2</v>
      </c>
      <c r="E447">
        <v>-0.150402144772117</v>
      </c>
      <c r="F447">
        <v>-5.9643916913946007E-2</v>
      </c>
      <c r="G447">
        <v>4.8296394310286997E-2</v>
      </c>
      <c r="H447">
        <v>0.23644166991806401</v>
      </c>
      <c r="I447">
        <v>-1.0923845193507999E-2</v>
      </c>
    </row>
    <row r="448" spans="1:9" x14ac:dyDescent="0.25">
      <c r="A448" s="1" t="s">
        <v>460</v>
      </c>
      <c r="B448" t="str">
        <f>HYPERLINK("https://www.suredividend.com/sure-analysis-research-database/","Dycom Industries, Inc.")</f>
        <v>Dycom Industries, Inc.</v>
      </c>
      <c r="C448">
        <v>1.2589285714285E-2</v>
      </c>
      <c r="D448">
        <v>0.35950611364181201</v>
      </c>
      <c r="E448">
        <v>-2.725993668659E-3</v>
      </c>
      <c r="F448">
        <v>-1.4597271700407999E-2</v>
      </c>
      <c r="G448">
        <v>0.13466733366683301</v>
      </c>
      <c r="H448">
        <v>0.19706565336710999</v>
      </c>
      <c r="I448">
        <v>0.91992551210428308</v>
      </c>
    </row>
    <row r="449" spans="1:9" x14ac:dyDescent="0.25">
      <c r="A449" s="1" t="s">
        <v>461</v>
      </c>
      <c r="B449" t="str">
        <f>HYPERLINK("https://www.suredividend.com/sure-analysis-research-database/","Dyne Therapeutics Inc")</f>
        <v>Dyne Therapeutics Inc</v>
      </c>
      <c r="C449">
        <v>0.47438162544169599</v>
      </c>
      <c r="D449">
        <v>1.045343137254902</v>
      </c>
      <c r="E449">
        <v>0.45636998254799299</v>
      </c>
      <c r="F449">
        <v>0.254887218045112</v>
      </c>
      <c r="G449">
        <v>0.28780864197530798</v>
      </c>
      <c r="H449">
        <v>0.82205240174672511</v>
      </c>
      <c r="I449">
        <v>-0.30167364016736398</v>
      </c>
    </row>
    <row r="450" spans="1:9" x14ac:dyDescent="0.25">
      <c r="A450" s="1" t="s">
        <v>462</v>
      </c>
      <c r="B450" t="str">
        <f>HYPERLINK("https://www.suredividend.com/sure-analysis-research-database/","DZS Inc")</f>
        <v>DZS Inc</v>
      </c>
      <c r="C450">
        <v>0.185714285714285</v>
      </c>
      <c r="D450">
        <v>1.2195121951218999E-2</v>
      </c>
      <c r="E450">
        <v>-0.57760814249363801</v>
      </c>
      <c r="F450">
        <v>-0.15736040609137</v>
      </c>
      <c r="G450">
        <v>-0.8726016884113581</v>
      </c>
      <c r="H450">
        <v>-0.89192708333333304</v>
      </c>
      <c r="I450">
        <v>-0.8706157443491811</v>
      </c>
    </row>
    <row r="451" spans="1:9" x14ac:dyDescent="0.25">
      <c r="A451" s="1" t="s">
        <v>463</v>
      </c>
      <c r="B451" t="str">
        <f>HYPERLINK("https://www.suredividend.com/sure-analysis-research-database/","GrafTech International Ltd.")</f>
        <v>GrafTech International Ltd.</v>
      </c>
      <c r="C451">
        <v>-0.32</v>
      </c>
      <c r="D451">
        <v>-0.502923976608187</v>
      </c>
      <c r="E451">
        <v>-0.63983050847457601</v>
      </c>
      <c r="F451">
        <v>-0.22374429223744199</v>
      </c>
      <c r="G451">
        <v>-0.70069368639740803</v>
      </c>
      <c r="H451">
        <v>-0.85409979573971406</v>
      </c>
      <c r="I451">
        <v>-0.86994507091818707</v>
      </c>
    </row>
    <row r="452" spans="1:9" x14ac:dyDescent="0.25">
      <c r="A452" s="1" t="s">
        <v>464</v>
      </c>
      <c r="B452" t="str">
        <f>HYPERLINK("https://www.suredividend.com/sure-analysis-research-database/","Brinker International, Inc.")</f>
        <v>Brinker International, Inc.</v>
      </c>
      <c r="C452">
        <v>-8.173076923076901E-2</v>
      </c>
      <c r="D452">
        <v>0.25782021731972299</v>
      </c>
      <c r="E452">
        <v>2.6246719160099999E-3</v>
      </c>
      <c r="F452">
        <v>-0.115331171838814</v>
      </c>
      <c r="G452">
        <v>1.7039403620873E-2</v>
      </c>
      <c r="H452">
        <v>4.9986845566950006E-3</v>
      </c>
      <c r="I452">
        <v>-0.18351294623582301</v>
      </c>
    </row>
    <row r="453" spans="1:9" x14ac:dyDescent="0.25">
      <c r="A453" s="1" t="s">
        <v>465</v>
      </c>
      <c r="B453" t="str">
        <f>HYPERLINK("https://www.suredividend.com/sure-analysis-research-database/","Eventbrite Inc")</f>
        <v>Eventbrite Inc</v>
      </c>
      <c r="C453">
        <v>-2.6548672566371001E-2</v>
      </c>
      <c r="D453">
        <v>-8.333333333333301E-2</v>
      </c>
      <c r="E453">
        <v>-0.25890279114533199</v>
      </c>
      <c r="F453">
        <v>-7.8947368421052003E-2</v>
      </c>
      <c r="G453">
        <v>1.7173051519153999E-2</v>
      </c>
      <c r="H453">
        <v>-0.53725961538461509</v>
      </c>
      <c r="I453">
        <v>-0.74754098360655707</v>
      </c>
    </row>
    <row r="454" spans="1:9" x14ac:dyDescent="0.25">
      <c r="A454" s="1" t="s">
        <v>466</v>
      </c>
      <c r="B454" t="str">
        <f>HYPERLINK("https://www.suredividend.com/sure-analysis-research-database/","Eastern Bankshares Inc.")</f>
        <v>Eastern Bankshares Inc.</v>
      </c>
      <c r="C454">
        <v>6.5312046444120008E-3</v>
      </c>
      <c r="D454">
        <v>0.201011378002528</v>
      </c>
      <c r="E454">
        <v>0.10008645235999</v>
      </c>
      <c r="F454">
        <v>-2.3239436619718001E-2</v>
      </c>
      <c r="G454">
        <v>-0.17946958358229201</v>
      </c>
      <c r="H454">
        <v>-0.31428966935611402</v>
      </c>
      <c r="I454">
        <v>0.25316226960607102</v>
      </c>
    </row>
    <row r="455" spans="1:9" x14ac:dyDescent="0.25">
      <c r="A455" s="1" t="s">
        <v>467</v>
      </c>
      <c r="B455" t="str">
        <f>HYPERLINK("https://www.suredividend.com/sure-analysis-EBF/","Ennis Inc.")</f>
        <v>Ennis Inc.</v>
      </c>
      <c r="C455">
        <v>-6.0398494497064997E-2</v>
      </c>
      <c r="D455">
        <v>-5.1278177027750003E-3</v>
      </c>
      <c r="E455">
        <v>6.1658848248792003E-2</v>
      </c>
      <c r="F455">
        <v>-2.7373863269167999E-2</v>
      </c>
      <c r="G455">
        <v>2.5174430485680001E-2</v>
      </c>
      <c r="H455">
        <v>0.18515268613984401</v>
      </c>
      <c r="I455">
        <v>0.31551837167920499</v>
      </c>
    </row>
    <row r="456" spans="1:9" x14ac:dyDescent="0.25">
      <c r="A456" s="1" t="s">
        <v>468</v>
      </c>
      <c r="B456" t="str">
        <f>HYPERLINK("https://www.suredividend.com/sure-analysis-research-database/","Ebix Inc.")</f>
        <v>Ebix Inc.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s="1" t="s">
        <v>469</v>
      </c>
      <c r="B457" t="str">
        <f>HYPERLINK("https://www.suredividend.com/sure-analysis-research-database/","Emergent Biosolutions Inc")</f>
        <v>Emergent Biosolutions Inc</v>
      </c>
      <c r="C457">
        <v>-0.104803493449781</v>
      </c>
      <c r="D457">
        <v>-0.18650793650793601</v>
      </c>
      <c r="E457">
        <v>-0.71840659340659307</v>
      </c>
      <c r="F457">
        <v>-0.14583333333333301</v>
      </c>
      <c r="G457">
        <v>-0.84735666418466105</v>
      </c>
      <c r="H457">
        <v>-0.95856911883589302</v>
      </c>
      <c r="I457">
        <v>-0.9680137306912151</v>
      </c>
    </row>
    <row r="458" spans="1:9" x14ac:dyDescent="0.25">
      <c r="A458" s="1" t="s">
        <v>470</v>
      </c>
      <c r="B458" t="str">
        <f>HYPERLINK("https://www.suredividend.com/sure-analysis-EBTC/","Enterprise Bancorp, Inc.")</f>
        <v>Enterprise Bancorp, Inc.</v>
      </c>
      <c r="C458">
        <v>2.190812720848E-2</v>
      </c>
      <c r="D458">
        <v>9.5583193481052001E-2</v>
      </c>
      <c r="E458">
        <v>5.8724039844924997E-2</v>
      </c>
      <c r="F458">
        <v>-0.103533787972721</v>
      </c>
      <c r="G458">
        <v>-0.15617969987774499</v>
      </c>
      <c r="H458">
        <v>-0.27950910952607499</v>
      </c>
      <c r="I458">
        <v>5.7905994052890007E-3</v>
      </c>
    </row>
    <row r="459" spans="1:9" x14ac:dyDescent="0.25">
      <c r="A459" s="1" t="s">
        <v>471</v>
      </c>
      <c r="B459" t="str">
        <f>HYPERLINK("https://www.suredividend.com/sure-analysis-research-database/","Encore Capital Group, Inc.")</f>
        <v>Encore Capital Group, Inc.</v>
      </c>
      <c r="C459">
        <v>4.9009162582569002E-2</v>
      </c>
      <c r="D459">
        <v>4.4557606619987013E-2</v>
      </c>
      <c r="E459">
        <v>-4.4263249854397002E-2</v>
      </c>
      <c r="F459">
        <v>-2.9950738916255999E-2</v>
      </c>
      <c r="G459">
        <v>-6.2821245002855006E-2</v>
      </c>
      <c r="H459">
        <v>-0.230420509613881</v>
      </c>
      <c r="I459">
        <v>0.77086330935251701</v>
      </c>
    </row>
    <row r="460" spans="1:9" x14ac:dyDescent="0.25">
      <c r="A460" s="1" t="s">
        <v>472</v>
      </c>
      <c r="B460" t="str">
        <f>HYPERLINK("https://www.suredividend.com/sure-analysis-research-database/","Ecovyst Inc")</f>
        <v>Ecovyst Inc</v>
      </c>
      <c r="C460">
        <v>-7.9218106995884011E-2</v>
      </c>
      <c r="D460">
        <v>-4.1755888650962997E-2</v>
      </c>
      <c r="E460">
        <v>-0.25354462051709697</v>
      </c>
      <c r="F460">
        <v>-8.3930399181166002E-2</v>
      </c>
      <c r="G460">
        <v>-0.10050251256281401</v>
      </c>
      <c r="H460">
        <v>-0.135265700483091</v>
      </c>
      <c r="I460">
        <v>-0.28266863298281603</v>
      </c>
    </row>
    <row r="461" spans="1:9" x14ac:dyDescent="0.25">
      <c r="A461" s="1" t="s">
        <v>473</v>
      </c>
      <c r="B461" t="str">
        <f>HYPERLINK("https://www.suredividend.com/sure-analysis-research-database/","Editas Medicine Inc")</f>
        <v>Editas Medicine Inc</v>
      </c>
      <c r="C461">
        <v>-0.12788461538461501</v>
      </c>
      <c r="D461">
        <v>0.28652482269503499</v>
      </c>
      <c r="E461">
        <v>1.340782122905E-2</v>
      </c>
      <c r="F461">
        <v>-0.10463968410661401</v>
      </c>
      <c r="G461">
        <v>7.5919335705812011E-2</v>
      </c>
      <c r="H461">
        <v>-0.58527663465935009</v>
      </c>
      <c r="I461">
        <v>-0.65381679389312908</v>
      </c>
    </row>
    <row r="462" spans="1:9" x14ac:dyDescent="0.25">
      <c r="A462" s="1" t="s">
        <v>474</v>
      </c>
      <c r="B462" t="str">
        <f>HYPERLINK("https://www.suredividend.com/sure-analysis-research-database/","Excelerate Energy Inc")</f>
        <v>Excelerate Energy Inc</v>
      </c>
      <c r="C462">
        <v>-0.11332127787823899</v>
      </c>
      <c r="D462">
        <v>-3.1478591792258002E-2</v>
      </c>
      <c r="E462">
        <v>-0.30225167322040902</v>
      </c>
      <c r="F462">
        <v>-4.8512289780077003E-2</v>
      </c>
      <c r="G462">
        <v>-0.41049644935318902</v>
      </c>
      <c r="H462">
        <v>-0.44830534855025411</v>
      </c>
      <c r="I462">
        <v>-0.44830534855025411</v>
      </c>
    </row>
    <row r="463" spans="1:9" x14ac:dyDescent="0.25">
      <c r="A463" s="1" t="s">
        <v>475</v>
      </c>
      <c r="B463" t="str">
        <f>HYPERLINK("https://www.suredividend.com/sure-analysis-EFC/","Ellington Financial Inc")</f>
        <v>Ellington Financial Inc</v>
      </c>
      <c r="C463">
        <v>-8.4559249391859999E-3</v>
      </c>
      <c r="D463">
        <v>5.8715853527815998E-2</v>
      </c>
      <c r="E463">
        <v>-7.712638526097001E-3</v>
      </c>
      <c r="F463">
        <v>1.0228166797797001E-2</v>
      </c>
      <c r="G463">
        <v>8.2502908594263E-2</v>
      </c>
      <c r="H463">
        <v>-5.3823026587278007E-2</v>
      </c>
      <c r="I463">
        <v>0.40897618786349099</v>
      </c>
    </row>
    <row r="464" spans="1:9" x14ac:dyDescent="0.25">
      <c r="A464" s="1" t="s">
        <v>476</v>
      </c>
      <c r="B464" t="str">
        <f>HYPERLINK("https://www.suredividend.com/sure-analysis-research-database/","Enterprise Financial Services Corp.")</f>
        <v>Enterprise Financial Services Corp.</v>
      </c>
      <c r="C464">
        <v>-1.1214304630922999E-2</v>
      </c>
      <c r="D464">
        <v>0.19485091262221599</v>
      </c>
      <c r="E464">
        <v>5.7605430880808002E-2</v>
      </c>
      <c r="F464">
        <v>-3.0011198208285999E-2</v>
      </c>
      <c r="G464">
        <v>-0.117295185376163</v>
      </c>
      <c r="H464">
        <v>-7.3830526597166005E-2</v>
      </c>
      <c r="I464">
        <v>0.25245806824754202</v>
      </c>
    </row>
    <row r="465" spans="1:9" x14ac:dyDescent="0.25">
      <c r="A465" s="1" t="s">
        <v>477</v>
      </c>
      <c r="B465" t="str">
        <f>HYPERLINK("https://www.suredividend.com/sure-analysis-research-database/","eGain Corp")</f>
        <v>eGain Corp</v>
      </c>
      <c r="C465">
        <v>-3.3919597989949E-2</v>
      </c>
      <c r="D465">
        <v>0.26480263157894701</v>
      </c>
      <c r="E465">
        <v>7.4022346368715006E-2</v>
      </c>
      <c r="F465">
        <v>-7.6830732292917009E-2</v>
      </c>
      <c r="G465">
        <v>-0.220871327254305</v>
      </c>
      <c r="H465">
        <v>-0.25843780135004801</v>
      </c>
      <c r="I465">
        <v>0.15987933634992399</v>
      </c>
    </row>
    <row r="466" spans="1:9" x14ac:dyDescent="0.25">
      <c r="A466" s="1" t="s">
        <v>478</v>
      </c>
      <c r="B466" t="str">
        <f>HYPERLINK("https://www.suredividend.com/sure-analysis-research-database/","Eagle Bancorp Inc (MD)")</f>
        <v>Eagle Bancorp Inc (MD)</v>
      </c>
      <c r="C466">
        <v>-3.6125834019877998E-2</v>
      </c>
      <c r="D466">
        <v>0.53166719108194305</v>
      </c>
      <c r="E466">
        <v>0.28234679813151797</v>
      </c>
      <c r="F466">
        <v>-6.6828242994365003E-2</v>
      </c>
      <c r="G466">
        <v>-0.316463059918557</v>
      </c>
      <c r="H466">
        <v>-0.48409514148586602</v>
      </c>
      <c r="I466">
        <v>-0.33347677682474702</v>
      </c>
    </row>
    <row r="467" spans="1:9" x14ac:dyDescent="0.25">
      <c r="A467" s="1" t="s">
        <v>479</v>
      </c>
      <c r="B467" t="str">
        <f>HYPERLINK("https://www.suredividend.com/sure-analysis-research-database/","8X8 Inc.")</f>
        <v>8X8 Inc.</v>
      </c>
      <c r="C467">
        <v>-6.4000000000000001E-2</v>
      </c>
      <c r="D467">
        <v>0.47478991596638598</v>
      </c>
      <c r="E467">
        <v>-0.238611713665943</v>
      </c>
      <c r="F467">
        <v>-7.1428571428571008E-2</v>
      </c>
      <c r="G467">
        <v>-0.24025974025974001</v>
      </c>
      <c r="H467">
        <v>-0.78994614003590602</v>
      </c>
      <c r="I467">
        <v>-0.82623762376237608</v>
      </c>
    </row>
    <row r="468" spans="1:9" x14ac:dyDescent="0.25">
      <c r="A468" s="1" t="s">
        <v>480</v>
      </c>
      <c r="B468" t="str">
        <f>HYPERLINK("https://www.suredividend.com/sure-analysis-research-database/","Edgio Inc")</f>
        <v>Edgio Inc</v>
      </c>
      <c r="C468">
        <v>-0.35307811691670898</v>
      </c>
      <c r="D468">
        <v>-0.70520980669495503</v>
      </c>
      <c r="E468">
        <v>-0.68702290076335804</v>
      </c>
      <c r="F468">
        <v>-0.26978102189781</v>
      </c>
      <c r="G468">
        <v>-0.82986394557823107</v>
      </c>
      <c r="H468">
        <v>-0.92792507204610908</v>
      </c>
      <c r="I468">
        <v>-0.90971119133573997</v>
      </c>
    </row>
    <row r="469" spans="1:9" x14ac:dyDescent="0.25">
      <c r="A469" s="1" t="s">
        <v>481</v>
      </c>
      <c r="B469" t="str">
        <f>HYPERLINK("https://www.suredividend.com/sure-analysis-research-database/","Eagle Bulk Shipping Inc")</f>
        <v>Eagle Bulk Shipping Inc</v>
      </c>
      <c r="C469">
        <v>3.0326443886420001E-2</v>
      </c>
      <c r="D469">
        <v>0.25043662133618999</v>
      </c>
      <c r="E469">
        <v>0.17617744535317301</v>
      </c>
      <c r="F469">
        <v>-3.7184115523464997E-2</v>
      </c>
      <c r="G469">
        <v>7.2596310461735009E-2</v>
      </c>
      <c r="H469">
        <v>0.45700682613434301</v>
      </c>
      <c r="I469">
        <v>0.86345168266123506</v>
      </c>
    </row>
    <row r="470" spans="1:9" x14ac:dyDescent="0.25">
      <c r="A470" s="1" t="s">
        <v>482</v>
      </c>
      <c r="B470" t="str">
        <f>HYPERLINK("https://www.suredividend.com/sure-analysis-research-database/","Eagle Pharmaceuticals Inc")</f>
        <v>Eagle Pharmaceuticals Inc</v>
      </c>
      <c r="C470">
        <v>-0.154850746268656</v>
      </c>
      <c r="D470">
        <v>-0.66269545793000706</v>
      </c>
      <c r="E470">
        <v>-0.7389048991354461</v>
      </c>
      <c r="F470">
        <v>-0.133843212237093</v>
      </c>
      <c r="G470">
        <v>-0.86040061633281906</v>
      </c>
      <c r="H470">
        <v>-0.9051110180142441</v>
      </c>
      <c r="I470">
        <v>-0.89280643634642609</v>
      </c>
    </row>
    <row r="471" spans="1:9" x14ac:dyDescent="0.25">
      <c r="A471" s="1" t="s">
        <v>483</v>
      </c>
      <c r="B471" t="str">
        <f>HYPERLINK("https://www.suredividend.com/sure-analysis-research-database/","VAALCO Energy, Inc.")</f>
        <v>VAALCO Energy, Inc.</v>
      </c>
      <c r="C471">
        <v>2.5287356321839E-2</v>
      </c>
      <c r="D471">
        <v>8.4076711796018E-2</v>
      </c>
      <c r="E471">
        <v>0.10700191119164</v>
      </c>
      <c r="F471">
        <v>-6.6815144766140004E-3</v>
      </c>
      <c r="G471">
        <v>1.8590417028273999E-2</v>
      </c>
      <c r="H471">
        <v>0.23737653978470699</v>
      </c>
      <c r="I471">
        <v>1.7028664929398221</v>
      </c>
    </row>
    <row r="472" spans="1:9" x14ac:dyDescent="0.25">
      <c r="A472" s="1" t="s">
        <v>484</v>
      </c>
      <c r="B472" t="str">
        <f>HYPERLINK("https://www.suredividend.com/sure-analysis-research-database/","eHealth Inc")</f>
        <v>eHealth Inc</v>
      </c>
      <c r="C472">
        <v>-0.112727272727272</v>
      </c>
      <c r="D472">
        <v>-0.106227106227106</v>
      </c>
      <c r="E472">
        <v>-0.11487303506650499</v>
      </c>
      <c r="F472">
        <v>-0.16055045871559601</v>
      </c>
      <c r="G472">
        <v>0.12442396313364</v>
      </c>
      <c r="H472">
        <v>-0.71813631112822407</v>
      </c>
      <c r="I472">
        <v>-0.82032400589101606</v>
      </c>
    </row>
    <row r="473" spans="1:9" x14ac:dyDescent="0.25">
      <c r="A473" s="1" t="s">
        <v>485</v>
      </c>
      <c r="B473" t="str">
        <f>HYPERLINK("https://www.suredividend.com/sure-analysis-research-database/","Employers Holdings Inc")</f>
        <v>Employers Holdings Inc</v>
      </c>
      <c r="C473">
        <v>-1.269680040629E-3</v>
      </c>
      <c r="D473">
        <v>-7.1416129594140008E-3</v>
      </c>
      <c r="E473">
        <v>0.10361586423251901</v>
      </c>
      <c r="F473">
        <v>-1.7766497461920001E-3</v>
      </c>
      <c r="G473">
        <v>-6.1791065426535008E-2</v>
      </c>
      <c r="H473">
        <v>5.2873920155053003E-2</v>
      </c>
      <c r="I473">
        <v>0.111365428142722</v>
      </c>
    </row>
    <row r="474" spans="1:9" x14ac:dyDescent="0.25">
      <c r="A474" s="1" t="s">
        <v>486</v>
      </c>
      <c r="B474" t="str">
        <f>HYPERLINK("https://www.suredividend.com/sure-analysis-research-database/","Eiger BioPharmaceuticals Inc")</f>
        <v>Eiger BioPharmaceuticals Inc</v>
      </c>
      <c r="C474">
        <v>-4.3290043290040003E-3</v>
      </c>
      <c r="D474">
        <v>-2.0625415834996001E-2</v>
      </c>
      <c r="E474">
        <v>-0.70512820512820507</v>
      </c>
      <c r="F474">
        <v>9.2798812175204012E-2</v>
      </c>
      <c r="G474">
        <v>-0.8364444444444441</v>
      </c>
      <c r="H474">
        <v>-0.94474474474474412</v>
      </c>
      <c r="I474">
        <v>-0.98106995884773607</v>
      </c>
    </row>
    <row r="475" spans="1:9" x14ac:dyDescent="0.25">
      <c r="A475" s="1" t="s">
        <v>487</v>
      </c>
      <c r="B475" t="str">
        <f>HYPERLINK("https://www.suredividend.com/sure-analysis-research-database/","e.l.f. Beauty Inc")</f>
        <v>e.l.f. Beauty Inc</v>
      </c>
      <c r="C475">
        <v>0.11157345369913201</v>
      </c>
      <c r="D475">
        <v>0.55449255350626303</v>
      </c>
      <c r="E475">
        <v>0.36329037280512011</v>
      </c>
      <c r="F475">
        <v>9.1935707357627003E-2</v>
      </c>
      <c r="G475">
        <v>1.9878672985781991</v>
      </c>
      <c r="H475">
        <v>4.2257957559681696</v>
      </c>
      <c r="I475">
        <v>18.197320341047501</v>
      </c>
    </row>
    <row r="476" spans="1:9" x14ac:dyDescent="0.25">
      <c r="A476" s="1" t="s">
        <v>488</v>
      </c>
      <c r="B476" t="str">
        <f>HYPERLINK("https://www.suredividend.com/sure-analysis-research-database/","Elme Communities")</f>
        <v>Elme Communities</v>
      </c>
      <c r="C476">
        <v>2.8365337752217001E-2</v>
      </c>
      <c r="D476">
        <v>7.1858807820142007E-2</v>
      </c>
      <c r="E476">
        <v>-9.4725874168735014E-2</v>
      </c>
      <c r="F476">
        <v>1.1643835616438E-2</v>
      </c>
      <c r="G476">
        <v>-0.160175129356911</v>
      </c>
      <c r="H476">
        <v>-0.42460224705094002</v>
      </c>
      <c r="I476">
        <v>-0.28444776032633401</v>
      </c>
    </row>
    <row r="477" spans="1:9" x14ac:dyDescent="0.25">
      <c r="A477" s="1" t="s">
        <v>489</v>
      </c>
      <c r="B477" t="str">
        <f>HYPERLINK("https://www.suredividend.com/sure-analysis-research-database/","Embecta Corp")</f>
        <v>Embecta Corp</v>
      </c>
      <c r="C477">
        <v>-3.6850921273031002E-2</v>
      </c>
      <c r="D477">
        <v>0.13674554692287899</v>
      </c>
      <c r="E477">
        <v>-0.13656749289232301</v>
      </c>
      <c r="F477">
        <v>-8.8748019017432012E-2</v>
      </c>
      <c r="G477">
        <v>-0.225377095411088</v>
      </c>
      <c r="H477">
        <v>-0.40790625353969001</v>
      </c>
      <c r="I477">
        <v>-0.40790625353969001</v>
      </c>
    </row>
    <row r="478" spans="1:9" x14ac:dyDescent="0.25">
      <c r="A478" s="1" t="s">
        <v>490</v>
      </c>
      <c r="B478" t="str">
        <f>HYPERLINK("https://www.suredividend.com/sure-analysis-research-database/","Emcor Group, Inc.")</f>
        <v>Emcor Group, Inc.</v>
      </c>
      <c r="C478">
        <v>7.8560116277619999E-3</v>
      </c>
      <c r="D478">
        <v>8.4834901781273009E-2</v>
      </c>
      <c r="E478">
        <v>0.17009373360249699</v>
      </c>
      <c r="F478">
        <v>1.7306474608916E-2</v>
      </c>
      <c r="G478">
        <v>0.43958294299979911</v>
      </c>
      <c r="H478">
        <v>0.7706055862452611</v>
      </c>
      <c r="I478">
        <v>2.4991171512347892</v>
      </c>
    </row>
    <row r="479" spans="1:9" x14ac:dyDescent="0.25">
      <c r="A479" s="1" t="s">
        <v>491</v>
      </c>
      <c r="B479" t="str">
        <f>HYPERLINK("https://www.suredividend.com/sure-analysis-research-database/","Enfusion Inc")</f>
        <v>Enfusion Inc</v>
      </c>
      <c r="C479">
        <v>-0.12896825396825401</v>
      </c>
      <c r="D479">
        <v>8.0367393800220011E-3</v>
      </c>
      <c r="E479">
        <v>-0.232517482517482</v>
      </c>
      <c r="F479">
        <v>-9.4845360824742E-2</v>
      </c>
      <c r="G479">
        <v>-0.202543142597638</v>
      </c>
      <c r="H479">
        <v>-0.48624926857811501</v>
      </c>
      <c r="I479">
        <v>-0.55678950025239704</v>
      </c>
    </row>
    <row r="480" spans="1:9" x14ac:dyDescent="0.25">
      <c r="A480" s="1" t="s">
        <v>492</v>
      </c>
      <c r="B480" t="str">
        <f>HYPERLINK("https://www.suredividend.com/sure-analysis-research-database/","Enochian Biosciences Inc")</f>
        <v>Enochian Biosciences Inc</v>
      </c>
      <c r="C480">
        <v>0.53172866520787709</v>
      </c>
      <c r="D480">
        <v>-0.44000000000000011</v>
      </c>
      <c r="E480">
        <v>-0.36363636363636298</v>
      </c>
      <c r="F480">
        <v>-0.32038834951456302</v>
      </c>
      <c r="G480">
        <v>-0.75524475524475509</v>
      </c>
      <c r="H480">
        <v>-0.87868284228769511</v>
      </c>
      <c r="I480">
        <v>-0.91666666666666607</v>
      </c>
    </row>
    <row r="481" spans="1:9" x14ac:dyDescent="0.25">
      <c r="A481" s="1" t="s">
        <v>493</v>
      </c>
      <c r="B481" t="str">
        <f>HYPERLINK("https://www.suredividend.com/sure-analysis-research-database/","Energizer Holdings Inc")</f>
        <v>Energizer Holdings Inc</v>
      </c>
      <c r="C481">
        <v>3.751172241325E-3</v>
      </c>
      <c r="D481">
        <v>4.7200670521513013E-2</v>
      </c>
      <c r="E481">
        <v>-4.1481092311550012E-2</v>
      </c>
      <c r="F481">
        <v>1.3573232323232E-2</v>
      </c>
      <c r="G481">
        <v>-0.103110204879683</v>
      </c>
      <c r="H481">
        <v>-0.14411905034797601</v>
      </c>
      <c r="I481">
        <v>-0.20543992794273</v>
      </c>
    </row>
    <row r="482" spans="1:9" x14ac:dyDescent="0.25">
      <c r="A482" s="1" t="s">
        <v>494</v>
      </c>
      <c r="B482" t="str">
        <f>HYPERLINK("https://www.suredividend.com/sure-analysis-research-database/","Enersys")</f>
        <v>Enersys</v>
      </c>
      <c r="C482">
        <v>1.3922674809792E-2</v>
      </c>
      <c r="D482">
        <v>5.3978324308968997E-2</v>
      </c>
      <c r="E482">
        <v>-0.113337949950439</v>
      </c>
      <c r="F482">
        <v>-2.9813787638667998E-2</v>
      </c>
      <c r="G482">
        <v>0.21108934983233901</v>
      </c>
      <c r="H482">
        <v>0.240174827299799</v>
      </c>
      <c r="I482">
        <v>0.27738820733986302</v>
      </c>
    </row>
    <row r="483" spans="1:9" x14ac:dyDescent="0.25">
      <c r="A483" s="1" t="s">
        <v>495</v>
      </c>
      <c r="B483" t="str">
        <f>HYPERLINK("https://www.suredividend.com/sure-analysis-ENSG/","Ensign Group Inc")</f>
        <v>Ensign Group Inc</v>
      </c>
      <c r="C483">
        <v>5.2147503245099001E-2</v>
      </c>
      <c r="D483">
        <v>0.22849582790800799</v>
      </c>
      <c r="E483">
        <v>0.309436151460383</v>
      </c>
      <c r="F483">
        <v>4.5985206309598001E-2</v>
      </c>
      <c r="G483">
        <v>0.196161521042129</v>
      </c>
      <c r="H483">
        <v>0.47199177279881599</v>
      </c>
      <c r="I483">
        <v>2.1862592062720738</v>
      </c>
    </row>
    <row r="484" spans="1:9" x14ac:dyDescent="0.25">
      <c r="A484" s="1" t="s">
        <v>496</v>
      </c>
      <c r="B484" t="str">
        <f>HYPERLINK("https://www.suredividend.com/sure-analysis-research-database/","Enanta Pharmaceuticals Inc")</f>
        <v>Enanta Pharmaceuticals Inc</v>
      </c>
      <c r="C484">
        <v>0.15567010309278301</v>
      </c>
      <c r="D484">
        <v>0.16407061266874301</v>
      </c>
      <c r="E484">
        <v>-0.41614583333333299</v>
      </c>
      <c r="F484">
        <v>0.19128586609989301</v>
      </c>
      <c r="G484">
        <v>-0.78216090167120012</v>
      </c>
      <c r="H484">
        <v>-0.81913520490480807</v>
      </c>
      <c r="I484">
        <v>-0.85065281108446511</v>
      </c>
    </row>
    <row r="485" spans="1:9" x14ac:dyDescent="0.25">
      <c r="A485" s="1" t="s">
        <v>497</v>
      </c>
      <c r="B485" t="str">
        <f>HYPERLINK("https://www.suredividend.com/sure-analysis-research-database/","Envestnet Inc.")</f>
        <v>Envestnet Inc.</v>
      </c>
      <c r="C485">
        <v>9.4709340300457009E-2</v>
      </c>
      <c r="D485">
        <v>0.2020081281377</v>
      </c>
      <c r="E485">
        <v>-0.18416355670939399</v>
      </c>
      <c r="F485">
        <v>1.5347334410339E-2</v>
      </c>
      <c r="G485">
        <v>-0.24504504504504401</v>
      </c>
      <c r="H485">
        <v>-0.34360313315926799</v>
      </c>
      <c r="I485">
        <v>-3.9724980901450997E-2</v>
      </c>
    </row>
    <row r="486" spans="1:9" x14ac:dyDescent="0.25">
      <c r="A486" s="1" t="s">
        <v>498</v>
      </c>
      <c r="B486" t="str">
        <f>HYPERLINK("https://www.suredividend.com/sure-analysis-research-database/","Enova International Inc.")</f>
        <v>Enova International Inc.</v>
      </c>
      <c r="C486">
        <v>5.6026184058529008E-2</v>
      </c>
      <c r="D486">
        <v>0.103621730382293</v>
      </c>
      <c r="E486">
        <v>-2.5459174395339999E-3</v>
      </c>
      <c r="F486">
        <v>-9.2124277456640015E-3</v>
      </c>
      <c r="G486">
        <v>0.33228078698081098</v>
      </c>
      <c r="H486">
        <v>0.25228310502283102</v>
      </c>
      <c r="I486">
        <v>1.4629546475078581</v>
      </c>
    </row>
    <row r="487" spans="1:9" x14ac:dyDescent="0.25">
      <c r="A487" s="1" t="s">
        <v>499</v>
      </c>
      <c r="B487" t="str">
        <f>HYPERLINK("https://www.suredividend.com/sure-analysis-research-database/","Enovix Corporation")</f>
        <v>Enovix Corporation</v>
      </c>
      <c r="C487">
        <v>-0.14039215686274401</v>
      </c>
      <c r="D487">
        <v>7.6620825147346999E-2</v>
      </c>
      <c r="E487">
        <v>-0.47231584015406802</v>
      </c>
      <c r="F487">
        <v>-0.124600638977635</v>
      </c>
      <c r="G487">
        <v>0.32848484848484799</v>
      </c>
      <c r="H487">
        <v>-0.41390374331550811</v>
      </c>
      <c r="I487">
        <v>-0.126693227091633</v>
      </c>
    </row>
    <row r="488" spans="1:9" x14ac:dyDescent="0.25">
      <c r="A488" s="1" t="s">
        <v>500</v>
      </c>
      <c r="B488" t="str">
        <f>HYPERLINK("https://www.suredividend.com/sure-analysis-research-database/","Evolus Inc")</f>
        <v>Evolus Inc</v>
      </c>
      <c r="C488">
        <v>4.8707753479125003E-2</v>
      </c>
      <c r="D488">
        <v>0.29606879606879599</v>
      </c>
      <c r="E488">
        <v>0.38815789473684198</v>
      </c>
      <c r="F488">
        <v>1.8993352326679999E-3</v>
      </c>
      <c r="G488">
        <v>0.219653179190751</v>
      </c>
      <c r="H488">
        <v>0.93933823529411709</v>
      </c>
      <c r="I488">
        <v>-0.34796044499381901</v>
      </c>
    </row>
    <row r="489" spans="1:9" x14ac:dyDescent="0.25">
      <c r="A489" s="1" t="s">
        <v>501</v>
      </c>
      <c r="B489" t="str">
        <f>HYPERLINK("https://www.suredividend.com/sure-analysis-research-database/","Empire Petroleum Corporation")</f>
        <v>Empire Petroleum Corporation</v>
      </c>
      <c r="C489">
        <v>-0.18694690265486699</v>
      </c>
      <c r="D489">
        <v>-0.21725239616613401</v>
      </c>
      <c r="E489">
        <v>-0.15517241379310301</v>
      </c>
      <c r="F489">
        <v>-0.33121019108280197</v>
      </c>
      <c r="G489">
        <v>-0.40582053354890801</v>
      </c>
      <c r="H489">
        <v>28.4</v>
      </c>
      <c r="I489">
        <v>28.4</v>
      </c>
    </row>
    <row r="490" spans="1:9" x14ac:dyDescent="0.25">
      <c r="A490" s="1" t="s">
        <v>502</v>
      </c>
      <c r="B490" t="str">
        <f>HYPERLINK("https://www.suredividend.com/sure-analysis-research-database/","Enerpac Tool Group Corp")</f>
        <v>Enerpac Tool Group Corp</v>
      </c>
      <c r="C490">
        <v>8.6058519793450004E-3</v>
      </c>
      <c r="D490">
        <v>0.13127413127413101</v>
      </c>
      <c r="E490">
        <v>9.1219223334959007E-2</v>
      </c>
      <c r="F490">
        <v>-5.7574782888388007E-2</v>
      </c>
      <c r="G490">
        <v>0.155235226394562</v>
      </c>
      <c r="H490">
        <v>0.45183188480482012</v>
      </c>
      <c r="I490">
        <v>0.32195161566850999</v>
      </c>
    </row>
    <row r="491" spans="1:9" x14ac:dyDescent="0.25">
      <c r="A491" s="1" t="s">
        <v>503</v>
      </c>
      <c r="B491" t="str">
        <f>HYPERLINK("https://www.suredividend.com/sure-analysis-research-database/","Edgewell Personal Care Co")</f>
        <v>Edgewell Personal Care Co</v>
      </c>
      <c r="C491">
        <v>4.1597796143250002E-2</v>
      </c>
      <c r="D491">
        <v>9.2676667697402002E-2</v>
      </c>
      <c r="E491">
        <v>-1.4466310439202001E-2</v>
      </c>
      <c r="F491">
        <v>3.2214032214031997E-2</v>
      </c>
      <c r="G491">
        <v>-6.5110908358121E-2</v>
      </c>
      <c r="H491">
        <v>-0.22388329306667701</v>
      </c>
      <c r="I491">
        <v>2.6597593292497002E-2</v>
      </c>
    </row>
    <row r="492" spans="1:9" x14ac:dyDescent="0.25">
      <c r="A492" s="1" t="s">
        <v>504</v>
      </c>
      <c r="B492" t="str">
        <f>HYPERLINK("https://www.suredividend.com/sure-analysis-EPRT/","Essential Properties Realty Trust Inc")</f>
        <v>Essential Properties Realty Trust Inc</v>
      </c>
      <c r="C492">
        <v>2.0565950208752001E-2</v>
      </c>
      <c r="D492">
        <v>0.221804511278195</v>
      </c>
      <c r="E492">
        <v>7.9729690049623006E-2</v>
      </c>
      <c r="F492">
        <v>7.0422535211260009E-3</v>
      </c>
      <c r="G492">
        <v>0.103986618344019</v>
      </c>
      <c r="H492">
        <v>1.3090674370459E-2</v>
      </c>
      <c r="I492">
        <v>1.2675417345725231</v>
      </c>
    </row>
    <row r="493" spans="1:9" x14ac:dyDescent="0.25">
      <c r="A493" s="1" t="s">
        <v>505</v>
      </c>
      <c r="B493" t="str">
        <f>HYPERLINK("https://www.suredividend.com/sure-analysis-research-database/","Equity Bancshares Inc")</f>
        <v>Equity Bancshares Inc</v>
      </c>
      <c r="C493">
        <v>-2.7121152240384E-2</v>
      </c>
      <c r="D493">
        <v>0.37753449095598501</v>
      </c>
      <c r="E493">
        <v>0.37634734063125302</v>
      </c>
      <c r="F493">
        <v>-3.4218289085545001E-2</v>
      </c>
      <c r="G493">
        <v>9.7365247669180012E-3</v>
      </c>
      <c r="H493">
        <v>-1.9945339651502001E-2</v>
      </c>
      <c r="I493">
        <v>-2.6259512218889999E-3</v>
      </c>
    </row>
    <row r="494" spans="1:9" x14ac:dyDescent="0.25">
      <c r="A494" s="1" t="s">
        <v>506</v>
      </c>
      <c r="B494" t="str">
        <f>HYPERLINK("https://www.suredividend.com/sure-analysis-research-database/","Equity Commonwealth")</f>
        <v>Equity Commonwealth</v>
      </c>
      <c r="C494">
        <v>2.5746652935110001E-3</v>
      </c>
      <c r="D494">
        <v>5.0161812297733997E-2</v>
      </c>
      <c r="E494">
        <v>-5.1169590643273997E-2</v>
      </c>
      <c r="F494">
        <v>1.40625E-2</v>
      </c>
      <c r="G494">
        <v>-8.9374161050283008E-2</v>
      </c>
      <c r="H494">
        <v>-8.1603773584905004E-2</v>
      </c>
      <c r="I494">
        <v>-4.3365311841589999E-3</v>
      </c>
    </row>
    <row r="495" spans="1:9" x14ac:dyDescent="0.25">
      <c r="A495" s="1" t="s">
        <v>507</v>
      </c>
      <c r="B495" t="str">
        <f>HYPERLINK("https://www.suredividend.com/sure-analysis-research-database/","EQRx Inc")</f>
        <v>EQRx Inc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s="1" t="s">
        <v>508</v>
      </c>
      <c r="B496" t="str">
        <f>HYPERLINK("https://www.suredividend.com/sure-analysis-research-database/","Erasca Inc")</f>
        <v>Erasca Inc</v>
      </c>
      <c r="C496">
        <v>-4.4554455445543997E-2</v>
      </c>
      <c r="D496">
        <v>-0.17521367521367501</v>
      </c>
      <c r="E496">
        <v>-0.287822878228782</v>
      </c>
      <c r="F496">
        <v>-9.3896713615023011E-2</v>
      </c>
      <c r="G496">
        <v>-0.53605769230769207</v>
      </c>
      <c r="H496">
        <v>-0.85433962264150909</v>
      </c>
      <c r="I496">
        <v>-0.88927137119908206</v>
      </c>
    </row>
    <row r="497" spans="1:9" x14ac:dyDescent="0.25">
      <c r="A497" s="1" t="s">
        <v>509</v>
      </c>
      <c r="B497" t="str">
        <f>HYPERLINK("https://www.suredividend.com/sure-analysis-research-database/","Energy Recovery Inc")</f>
        <v>Energy Recovery Inc</v>
      </c>
      <c r="C497">
        <v>-3.7096774193548003E-2</v>
      </c>
      <c r="D497">
        <v>-8.2009226037929012E-2</v>
      </c>
      <c r="E497">
        <v>-0.38432451014094099</v>
      </c>
      <c r="F497">
        <v>-4.9363057324839997E-2</v>
      </c>
      <c r="G497">
        <v>-0.19287967552951699</v>
      </c>
      <c r="H497">
        <v>-9.1324200913242004E-2</v>
      </c>
      <c r="I497">
        <v>1.33203125</v>
      </c>
    </row>
    <row r="498" spans="1:9" x14ac:dyDescent="0.25">
      <c r="A498" s="1" t="s">
        <v>510</v>
      </c>
      <c r="B498" t="str">
        <f>HYPERLINK("https://www.suredividend.com/sure-analysis-research-database/","Esco Technologies, Inc.")</f>
        <v>Esco Technologies, Inc.</v>
      </c>
      <c r="C498">
        <v>-6.5209286468915009E-2</v>
      </c>
      <c r="D498">
        <v>4.2205662021750001E-3</v>
      </c>
      <c r="E498">
        <v>3.4968930747408013E-2</v>
      </c>
      <c r="F498">
        <v>-0.123119795260657</v>
      </c>
      <c r="G498">
        <v>9.0853003435841004E-2</v>
      </c>
      <c r="H498">
        <v>0.190657259061708</v>
      </c>
      <c r="I498">
        <v>0.58917101215704104</v>
      </c>
    </row>
    <row r="499" spans="1:9" x14ac:dyDescent="0.25">
      <c r="A499" s="1" t="s">
        <v>511</v>
      </c>
      <c r="B499" t="str">
        <f>HYPERLINK("https://www.suredividend.com/sure-analysis-research-database/","Enstar Group Limited")</f>
        <v>Enstar Group Limited</v>
      </c>
      <c r="C499">
        <v>-8.4387044424910004E-2</v>
      </c>
      <c r="D499">
        <v>0.13789915966386501</v>
      </c>
      <c r="E499">
        <v>9.2104201951770007E-2</v>
      </c>
      <c r="F499">
        <v>-7.9938848309835012E-2</v>
      </c>
      <c r="G499">
        <v>0.12368781378366001</v>
      </c>
      <c r="H499">
        <v>4.2979280597704013E-2</v>
      </c>
      <c r="I499">
        <v>0.59983459357277802</v>
      </c>
    </row>
    <row r="500" spans="1:9" x14ac:dyDescent="0.25">
      <c r="A500" s="1" t="s">
        <v>512</v>
      </c>
      <c r="B500" t="str">
        <f>HYPERLINK("https://www.suredividend.com/sure-analysis-research-database/","Engagesmart Inc")</f>
        <v>Engagesmart Inc</v>
      </c>
      <c r="C500">
        <v>5.2493438320210008E-3</v>
      </c>
      <c r="D500">
        <v>0.11068148864185499</v>
      </c>
      <c r="E500">
        <v>0.210748155953635</v>
      </c>
      <c r="F500">
        <v>3.4934497816590001E-3</v>
      </c>
      <c r="G500">
        <v>0.23681377825618899</v>
      </c>
      <c r="H500">
        <v>9.5851216022889013E-2</v>
      </c>
      <c r="I500">
        <v>-0.32649472450175798</v>
      </c>
    </row>
    <row r="501" spans="1:9" x14ac:dyDescent="0.25">
      <c r="A501" s="1" t="s">
        <v>513</v>
      </c>
      <c r="B501" t="str">
        <f>HYPERLINK("https://www.suredividend.com/sure-analysis-research-database/","Essent Group Ltd")</f>
        <v>Essent Group Ltd</v>
      </c>
      <c r="C501">
        <v>3.5776445561785997E-2</v>
      </c>
      <c r="D501">
        <v>0.124954842178665</v>
      </c>
      <c r="E501">
        <v>0.12959795508181901</v>
      </c>
      <c r="F501">
        <v>1.554797117937E-2</v>
      </c>
      <c r="G501">
        <v>0.36707633013004498</v>
      </c>
      <c r="H501">
        <v>0.13030118854673101</v>
      </c>
      <c r="I501">
        <v>0.58483107168431203</v>
      </c>
    </row>
    <row r="502" spans="1:9" x14ac:dyDescent="0.25">
      <c r="A502" s="1" t="s">
        <v>514</v>
      </c>
      <c r="B502" t="str">
        <f>HYPERLINK("https://www.suredividend.com/sure-analysis-research-database/","Esperion Therapeutics Inc.")</f>
        <v>Esperion Therapeutics Inc.</v>
      </c>
      <c r="C502">
        <v>1</v>
      </c>
      <c r="D502">
        <v>2.6385542168674698</v>
      </c>
      <c r="E502">
        <v>1</v>
      </c>
      <c r="F502">
        <v>1.0033444816053E-2</v>
      </c>
      <c r="G502">
        <v>-0.57880055788005502</v>
      </c>
      <c r="H502">
        <v>-0.26876513317191197</v>
      </c>
      <c r="I502">
        <v>-0.93120728929384911</v>
      </c>
    </row>
    <row r="503" spans="1:9" x14ac:dyDescent="0.25">
      <c r="A503" s="1" t="s">
        <v>515</v>
      </c>
      <c r="B503" t="str">
        <f>HYPERLINK("https://www.suredividend.com/sure-analysis-research-database/","Esquire Financial Holdings Inc")</f>
        <v>Esquire Financial Holdings Inc</v>
      </c>
      <c r="C503">
        <v>-4.9979765277215003E-2</v>
      </c>
      <c r="D503">
        <v>3.4323228762777012E-2</v>
      </c>
      <c r="E503">
        <v>2.5131553090678001E-2</v>
      </c>
      <c r="F503">
        <v>-6.0248198558847013E-2</v>
      </c>
      <c r="G503">
        <v>0.11734369682503</v>
      </c>
      <c r="H503">
        <v>0.37505857544517301</v>
      </c>
      <c r="I503">
        <v>1.1739633736948121</v>
      </c>
    </row>
    <row r="504" spans="1:9" x14ac:dyDescent="0.25">
      <c r="A504" s="1" t="s">
        <v>516</v>
      </c>
      <c r="B504" t="str">
        <f>HYPERLINK("https://www.suredividend.com/sure-analysis-ESRT/","Empire State Realty Trust Inc")</f>
        <v>Empire State Realty Trust Inc</v>
      </c>
      <c r="C504">
        <v>6.4901873188368001E-2</v>
      </c>
      <c r="D504">
        <v>0.31211756573388899</v>
      </c>
      <c r="E504">
        <v>0.27826206242907098</v>
      </c>
      <c r="F504">
        <v>5.7791537667697998E-2</v>
      </c>
      <c r="G504">
        <v>0.37628229228207699</v>
      </c>
      <c r="H504">
        <v>9.2645694975961007E-2</v>
      </c>
      <c r="I504">
        <v>-0.24003143674837199</v>
      </c>
    </row>
    <row r="505" spans="1:9" x14ac:dyDescent="0.25">
      <c r="A505" s="1" t="s">
        <v>517</v>
      </c>
      <c r="B505" t="str">
        <f>HYPERLINK("https://www.suredividend.com/sure-analysis-research-database/","Earthstone Energy Inc")</f>
        <v>Earthstone Energy Inc</v>
      </c>
      <c r="C505">
        <v>4.5948616600790013E-2</v>
      </c>
      <c r="D505">
        <v>0.32478097622027502</v>
      </c>
      <c r="E505">
        <v>0.56120943952802305</v>
      </c>
      <c r="F505">
        <v>0.48770203794799699</v>
      </c>
      <c r="G505">
        <v>0.31002475247524702</v>
      </c>
      <c r="H505">
        <v>1.0857142857142861</v>
      </c>
      <c r="I505">
        <v>1.572296476306196</v>
      </c>
    </row>
    <row r="506" spans="1:9" x14ac:dyDescent="0.25">
      <c r="A506" s="1" t="s">
        <v>518</v>
      </c>
      <c r="B506" t="str">
        <f>HYPERLINK("https://www.suredividend.com/sure-analysis-ETD/","Ethan Allen Interiors, Inc.")</f>
        <v>Ethan Allen Interiors, Inc.</v>
      </c>
      <c r="C506">
        <v>-3.0612244897958999E-2</v>
      </c>
      <c r="D506">
        <v>2.8073923576929002E-2</v>
      </c>
      <c r="E506">
        <v>3.0004791533325002E-2</v>
      </c>
      <c r="F506">
        <v>-7.7380952380952009E-2</v>
      </c>
      <c r="G506">
        <v>4.5980522386469012E-2</v>
      </c>
      <c r="H506">
        <v>0.202261639893041</v>
      </c>
      <c r="I506">
        <v>0.83931448842699508</v>
      </c>
    </row>
    <row r="507" spans="1:9" x14ac:dyDescent="0.25">
      <c r="A507" s="1" t="s">
        <v>519</v>
      </c>
      <c r="B507" t="str">
        <f>HYPERLINK("https://www.suredividend.com/sure-analysis-research-database/","Equitrans Midstream Corporation")</f>
        <v>Equitrans Midstream Corporation</v>
      </c>
      <c r="C507">
        <v>9.7585513078470007E-2</v>
      </c>
      <c r="D507">
        <v>0.16694476532751401</v>
      </c>
      <c r="E507">
        <v>0.24675740226496101</v>
      </c>
      <c r="F507">
        <v>7.1709233791748012E-2</v>
      </c>
      <c r="G507">
        <v>0.64109506618531908</v>
      </c>
      <c r="H507">
        <v>0.19249308660057399</v>
      </c>
      <c r="I507">
        <v>-0.18521893040380499</v>
      </c>
    </row>
    <row r="508" spans="1:9" x14ac:dyDescent="0.25">
      <c r="A508" s="1" t="s">
        <v>520</v>
      </c>
      <c r="B508" t="str">
        <f>HYPERLINK("https://www.suredividend.com/sure-analysis-research-database/","E2open Parent Holdings Inc")</f>
        <v>E2open Parent Holdings Inc</v>
      </c>
      <c r="C508">
        <v>-5.2219321148825007E-2</v>
      </c>
      <c r="D508">
        <v>0.48163265306122399</v>
      </c>
      <c r="E508">
        <v>-0.32276119402984998</v>
      </c>
      <c r="F508">
        <v>-0.17312072892938399</v>
      </c>
      <c r="G508">
        <v>-0.39297658862876211</v>
      </c>
      <c r="H508">
        <v>-0.57494145199063207</v>
      </c>
      <c r="I508">
        <v>-0.63333333333333308</v>
      </c>
    </row>
    <row r="509" spans="1:9" x14ac:dyDescent="0.25">
      <c r="A509" s="1" t="s">
        <v>521</v>
      </c>
      <c r="B509" t="str">
        <f>HYPERLINK("https://www.suredividend.com/sure-analysis-research-database/","Everbridge Inc")</f>
        <v>Everbridge Inc</v>
      </c>
      <c r="C509">
        <v>-5.6959314775160003E-2</v>
      </c>
      <c r="D509">
        <v>6.997084548104901E-2</v>
      </c>
      <c r="E509">
        <v>-0.28039215686274499</v>
      </c>
      <c r="F509">
        <v>-9.4199917729329008E-2</v>
      </c>
      <c r="G509">
        <v>-0.231949773282176</v>
      </c>
      <c r="H509">
        <v>-0.60706638115631606</v>
      </c>
      <c r="I509">
        <v>-0.61354861354861301</v>
      </c>
    </row>
    <row r="510" spans="1:9" x14ac:dyDescent="0.25">
      <c r="A510" s="1" t="s">
        <v>522</v>
      </c>
      <c r="B510" t="str">
        <f>HYPERLINK("https://www.suredividend.com/sure-analysis-research-database/","Entravision Communications Corp.")</f>
        <v>Entravision Communications Corp.</v>
      </c>
      <c r="C510">
        <v>-1.6706443914081E-2</v>
      </c>
      <c r="D510">
        <v>0.11177073776242601</v>
      </c>
      <c r="E510">
        <v>-8.9059874414079004E-2</v>
      </c>
      <c r="F510">
        <v>-1.1990407673860001E-2</v>
      </c>
      <c r="G510">
        <v>-0.269801322155858</v>
      </c>
      <c r="H510">
        <v>-0.30836508922426098</v>
      </c>
      <c r="I510">
        <v>0.44525905917844699</v>
      </c>
    </row>
    <row r="511" spans="1:9" x14ac:dyDescent="0.25">
      <c r="A511" s="1" t="s">
        <v>523</v>
      </c>
      <c r="B511" t="str">
        <f>HYPERLINK("https://www.suredividend.com/sure-analysis-research-database/","EverCommerce Inc")</f>
        <v>EverCommerce Inc</v>
      </c>
      <c r="C511">
        <v>-2.3391812865496998E-2</v>
      </c>
      <c r="D511">
        <v>1.1099899091826E-2</v>
      </c>
      <c r="E511">
        <v>-0.17733990147783199</v>
      </c>
      <c r="F511">
        <v>-9.1568449682683004E-2</v>
      </c>
      <c r="G511">
        <v>0.14645308924485101</v>
      </c>
      <c r="H511">
        <v>-0.230414746543778</v>
      </c>
      <c r="I511">
        <v>-0.43068181818181811</v>
      </c>
    </row>
    <row r="512" spans="1:9" x14ac:dyDescent="0.25">
      <c r="A512" s="1" t="s">
        <v>524</v>
      </c>
      <c r="B512" t="str">
        <f>HYPERLINK("https://www.suredividend.com/sure-analysis-research-database/","EverQuote Inc")</f>
        <v>EverQuote Inc</v>
      </c>
      <c r="C512">
        <v>-3.6866359447003998E-2</v>
      </c>
      <c r="D512">
        <v>0.44137931034482702</v>
      </c>
      <c r="E512">
        <v>0.47912243453644698</v>
      </c>
      <c r="F512">
        <v>-0.14624183006535901</v>
      </c>
      <c r="G512">
        <v>-0.37199519230769201</v>
      </c>
      <c r="H512">
        <v>-0.34890965732087198</v>
      </c>
      <c r="I512">
        <v>0.83978873239436602</v>
      </c>
    </row>
    <row r="513" spans="1:9" x14ac:dyDescent="0.25">
      <c r="A513" s="1" t="s">
        <v>525</v>
      </c>
      <c r="B513" t="str">
        <f>HYPERLINK("https://www.suredividend.com/sure-analysis-research-database/","EVgo Inc")</f>
        <v>EVgo Inc</v>
      </c>
      <c r="C513">
        <v>-0.158385093167701</v>
      </c>
      <c r="D513">
        <v>-5.5749128919860003E-2</v>
      </c>
      <c r="E513">
        <v>-0.37557603686635899</v>
      </c>
      <c r="F513">
        <v>-0.243016759776536</v>
      </c>
      <c r="G513">
        <v>-0.53754266211604107</v>
      </c>
      <c r="H513">
        <v>-0.69239500567536805</v>
      </c>
      <c r="I513">
        <v>-0.72379069245979111</v>
      </c>
    </row>
    <row r="514" spans="1:9" x14ac:dyDescent="0.25">
      <c r="A514" s="1" t="s">
        <v>526</v>
      </c>
      <c r="B514" t="str">
        <f>HYPERLINK("https://www.suredividend.com/sure-analysis-research-database/","Evolent Health Inc")</f>
        <v>Evolent Health Inc</v>
      </c>
      <c r="C514">
        <v>6.711864406779601E-2</v>
      </c>
      <c r="D514">
        <v>0.124285714285714</v>
      </c>
      <c r="E514">
        <v>0.100314575323313</v>
      </c>
      <c r="F514">
        <v>-4.6927036027853003E-2</v>
      </c>
      <c r="G514">
        <v>-5.6854074541999996E-3</v>
      </c>
      <c r="H514">
        <v>0.202904088651127</v>
      </c>
      <c r="I514">
        <v>0.72398685651697603</v>
      </c>
    </row>
    <row r="515" spans="1:9" x14ac:dyDescent="0.25">
      <c r="A515" s="1" t="s">
        <v>527</v>
      </c>
      <c r="B515" t="str">
        <f>HYPERLINK("https://www.suredividend.com/sure-analysis-research-database/","Evolv Technologies Holdings Inc")</f>
        <v>Evolv Technologies Holdings Inc</v>
      </c>
      <c r="C515">
        <v>-4.3478260869565001E-2</v>
      </c>
      <c r="D515">
        <v>0.16710875331564901</v>
      </c>
      <c r="E515">
        <v>-0.27272727272727199</v>
      </c>
      <c r="F515">
        <v>-6.7796610169491012E-2</v>
      </c>
      <c r="G515">
        <v>0.49152542372881303</v>
      </c>
      <c r="H515">
        <v>0.22562674094707499</v>
      </c>
      <c r="I515">
        <v>-0.54779033915724507</v>
      </c>
    </row>
    <row r="516" spans="1:9" x14ac:dyDescent="0.25">
      <c r="A516" s="1" t="s">
        <v>528</v>
      </c>
      <c r="B516" t="str">
        <f>HYPERLINK("https://www.suredividend.com/sure-analysis-research-database/","Everi Holdings Inc")</f>
        <v>Everi Holdings Inc</v>
      </c>
      <c r="C516">
        <v>-3.0358785648573999E-2</v>
      </c>
      <c r="D516">
        <v>-9.9914602903501001E-2</v>
      </c>
      <c r="E516">
        <v>-0.29119031607262902</v>
      </c>
      <c r="F516">
        <v>-6.4773735581188999E-2</v>
      </c>
      <c r="G516">
        <v>-0.34371108343710999</v>
      </c>
      <c r="H516">
        <v>-0.49057515708071497</v>
      </c>
      <c r="I516">
        <v>0.65984251968503904</v>
      </c>
    </row>
    <row r="517" spans="1:9" x14ac:dyDescent="0.25">
      <c r="A517" s="1" t="s">
        <v>529</v>
      </c>
      <c r="B517" t="str">
        <f>HYPERLINK("https://www.suredividend.com/sure-analysis-research-database/","Evertec Inc")</f>
        <v>Evertec Inc</v>
      </c>
      <c r="C517">
        <v>-3.6033797216699012E-2</v>
      </c>
      <c r="D517">
        <v>6.370434558462601E-2</v>
      </c>
      <c r="E517">
        <v>1.9398216190660001E-3</v>
      </c>
      <c r="F517">
        <v>-5.2515876893014013E-2</v>
      </c>
      <c r="G517">
        <v>0.13025792841408401</v>
      </c>
      <c r="H517">
        <v>-0.17616025690037401</v>
      </c>
      <c r="I517">
        <v>0.41183407400936811</v>
      </c>
    </row>
    <row r="518" spans="1:9" x14ac:dyDescent="0.25">
      <c r="A518" s="1" t="s">
        <v>530</v>
      </c>
      <c r="B518" t="str">
        <f>HYPERLINK("https://www.suredividend.com/sure-analysis-research-database/","European Wax Center Inc")</f>
        <v>European Wax Center Inc</v>
      </c>
      <c r="C518">
        <v>0.12801755669348899</v>
      </c>
      <c r="D518">
        <v>3.5594358629952E-2</v>
      </c>
      <c r="E518">
        <v>-0.19055118110236199</v>
      </c>
      <c r="F518">
        <v>0.13465783664459099</v>
      </c>
      <c r="G518">
        <v>-7.2202166064981005E-2</v>
      </c>
      <c r="H518">
        <v>-0.316416640068092</v>
      </c>
      <c r="I518">
        <v>-0.19401627648064201</v>
      </c>
    </row>
    <row r="519" spans="1:9" x14ac:dyDescent="0.25">
      <c r="A519" s="1" t="s">
        <v>531</v>
      </c>
      <c r="B519" t="str">
        <f>HYPERLINK("https://www.suredividend.com/sure-analysis-research-database/","Edgewise Therapeutics Inc")</f>
        <v>Edgewise Therapeutics Inc</v>
      </c>
      <c r="C519">
        <v>0.41442715700141403</v>
      </c>
      <c r="D519">
        <v>0.49031296572280098</v>
      </c>
      <c r="E519">
        <v>0.33868808567603698</v>
      </c>
      <c r="F519">
        <v>-8.5923217550274003E-2</v>
      </c>
      <c r="G519">
        <v>-9.5022624434389011E-2</v>
      </c>
      <c r="H519">
        <v>-0.42062572421784411</v>
      </c>
      <c r="I519">
        <v>-0.66666666666666607</v>
      </c>
    </row>
    <row r="520" spans="1:9" x14ac:dyDescent="0.25">
      <c r="A520" s="1" t="s">
        <v>532</v>
      </c>
      <c r="B520" t="str">
        <f>HYPERLINK("https://www.suredividend.com/sure-analysis-research-database/","ExlService Holdings Inc")</f>
        <v>ExlService Holdings Inc</v>
      </c>
      <c r="C520">
        <v>8.167265599477001E-3</v>
      </c>
      <c r="D520">
        <v>5.9752747252747013E-2</v>
      </c>
      <c r="E520">
        <v>-2.019304038608E-2</v>
      </c>
      <c r="F520">
        <v>3.2414910858900002E-4</v>
      </c>
      <c r="G520">
        <v>-0.11352407215902501</v>
      </c>
      <c r="H520">
        <v>0.18683178217060201</v>
      </c>
      <c r="I520">
        <v>1.864302951550028</v>
      </c>
    </row>
    <row r="521" spans="1:9" x14ac:dyDescent="0.25">
      <c r="A521" s="1" t="s">
        <v>533</v>
      </c>
      <c r="B521" t="str">
        <f>HYPERLINK("https://www.suredividend.com/sure-analysis-research-database/","eXp World Holdings Inc")</f>
        <v>eXp World Holdings Inc</v>
      </c>
      <c r="C521">
        <v>-0.14741544352265401</v>
      </c>
      <c r="D521">
        <v>-5.7675081289629997E-2</v>
      </c>
      <c r="E521">
        <v>-0.45664551813892912</v>
      </c>
      <c r="F521">
        <v>-0.13917525773195799</v>
      </c>
      <c r="G521">
        <v>1.4003263633258E-2</v>
      </c>
      <c r="H521">
        <v>-0.53186539027569402</v>
      </c>
      <c r="I521">
        <v>1.7926421404682269</v>
      </c>
    </row>
    <row r="522" spans="1:9" x14ac:dyDescent="0.25">
      <c r="A522" s="1" t="s">
        <v>534</v>
      </c>
      <c r="B522" t="str">
        <f>HYPERLINK("https://www.suredividend.com/sure-analysis-EXPO/","Exponent Inc.")</f>
        <v>Exponent Inc.</v>
      </c>
      <c r="C522">
        <v>9.7013142174432007E-2</v>
      </c>
      <c r="D522">
        <v>5.1599617933311998E-2</v>
      </c>
      <c r="E522">
        <v>-1.5445981953774E-2</v>
      </c>
      <c r="F522">
        <v>4.2935029532030003E-2</v>
      </c>
      <c r="G522">
        <v>-7.9071288227016007E-2</v>
      </c>
      <c r="H522">
        <v>-7.7846728926909012E-2</v>
      </c>
      <c r="I522">
        <v>0.87745621245394212</v>
      </c>
    </row>
    <row r="523" spans="1:9" x14ac:dyDescent="0.25">
      <c r="A523" s="1" t="s">
        <v>535</v>
      </c>
      <c r="B523" t="str">
        <f>HYPERLINK("https://www.suredividend.com/sure-analysis-research-database/","Express Inc.")</f>
        <v>Express Inc.</v>
      </c>
      <c r="C523">
        <v>-4.7562425683708998E-2</v>
      </c>
      <c r="D523">
        <v>-4.6428571428571007E-2</v>
      </c>
      <c r="E523">
        <v>-0.46096904441453501</v>
      </c>
      <c r="F523">
        <v>-4.3010752688171998E-2</v>
      </c>
      <c r="G523">
        <v>-0.63256880733944909</v>
      </c>
      <c r="H523">
        <v>-0.87714723926380311</v>
      </c>
      <c r="I523">
        <v>-0.92514018691588706</v>
      </c>
    </row>
    <row r="524" spans="1:9" x14ac:dyDescent="0.25">
      <c r="A524" s="1" t="s">
        <v>536</v>
      </c>
      <c r="B524" t="str">
        <f>HYPERLINK("https://www.suredividend.com/sure-analysis-research-database/","Extreme Networks Inc.")</f>
        <v>Extreme Networks Inc.</v>
      </c>
      <c r="C524">
        <v>-0.105843439911797</v>
      </c>
      <c r="D524">
        <v>-0.29232111692844598</v>
      </c>
      <c r="E524">
        <v>-0.41253169141615298</v>
      </c>
      <c r="F524">
        <v>-8.0498866213152012E-2</v>
      </c>
      <c r="G524">
        <v>-0.154327424400417</v>
      </c>
      <c r="H524">
        <v>0.133473095737246</v>
      </c>
      <c r="I524">
        <v>1.558359621451104</v>
      </c>
    </row>
    <row r="525" spans="1:9" x14ac:dyDescent="0.25">
      <c r="A525" s="1" t="s">
        <v>537</v>
      </c>
      <c r="B525" t="str">
        <f>HYPERLINK("https://www.suredividend.com/sure-analysis-research-database/","National Vision Holdings Inc")</f>
        <v>National Vision Holdings Inc</v>
      </c>
      <c r="C525">
        <v>5.1802945657694013E-2</v>
      </c>
      <c r="D525">
        <v>0.48885693745506797</v>
      </c>
      <c r="E525">
        <v>-0.15122950819672101</v>
      </c>
      <c r="F525">
        <v>-1.0511227902532E-2</v>
      </c>
      <c r="G525">
        <v>-0.48914652195362601</v>
      </c>
      <c r="H525">
        <v>-0.49314733235438002</v>
      </c>
      <c r="I525">
        <v>-0.33020698576972801</v>
      </c>
    </row>
    <row r="526" spans="1:9" x14ac:dyDescent="0.25">
      <c r="A526" s="1" t="s">
        <v>538</v>
      </c>
      <c r="B526" t="str">
        <f>HYPERLINK("https://www.suredividend.com/sure-analysis-research-database/","EyePoint Pharmaceuticals Inc")</f>
        <v>EyePoint Pharmaceuticals Inc</v>
      </c>
      <c r="C526">
        <v>0.110785749145924</v>
      </c>
      <c r="D526">
        <v>1.8098765432098769</v>
      </c>
      <c r="E526">
        <v>1.0976958525345619</v>
      </c>
      <c r="F526">
        <v>-1.5144958892254E-2</v>
      </c>
      <c r="G526">
        <v>3.5158730158730158</v>
      </c>
      <c r="H526">
        <v>1.317718940936863</v>
      </c>
      <c r="I526">
        <v>2.0627802690583001E-2</v>
      </c>
    </row>
    <row r="527" spans="1:9" x14ac:dyDescent="0.25">
      <c r="A527" s="1" t="s">
        <v>539</v>
      </c>
      <c r="B527" t="str">
        <f>HYPERLINK("https://www.suredividend.com/sure-analysis-research-database/","EZCorp, Inc.")</f>
        <v>EZCorp, Inc.</v>
      </c>
      <c r="C527">
        <v>-4.0449438202247001E-2</v>
      </c>
      <c r="D527">
        <v>5.9553349875930008E-2</v>
      </c>
      <c r="E527">
        <v>-2.2883295194508001E-2</v>
      </c>
      <c r="F527">
        <v>-2.2883295194508001E-2</v>
      </c>
      <c r="G527">
        <v>-2.176403207331E-2</v>
      </c>
      <c r="H527">
        <v>0.35555555555555501</v>
      </c>
      <c r="I527">
        <v>-4.6620046620040002E-3</v>
      </c>
    </row>
    <row r="528" spans="1:9" x14ac:dyDescent="0.25">
      <c r="A528" s="1" t="s">
        <v>540</v>
      </c>
      <c r="B528" t="str">
        <f>HYPERLINK("https://www.suredividend.com/sure-analysis-research-database/","First Advantage Corp.")</f>
        <v>First Advantage Corp.</v>
      </c>
      <c r="C528">
        <v>-1.4250309789343E-2</v>
      </c>
      <c r="D528">
        <v>0.147080028839221</v>
      </c>
      <c r="E528">
        <v>0.14714619444524499</v>
      </c>
      <c r="F528">
        <v>-3.9831019915508997E-2</v>
      </c>
      <c r="G528">
        <v>0.31639913950024801</v>
      </c>
      <c r="H528">
        <v>-1.4720362652266001E-2</v>
      </c>
      <c r="I528">
        <v>-0.103242643038716</v>
      </c>
    </row>
    <row r="529" spans="1:9" x14ac:dyDescent="0.25">
      <c r="A529" s="1" t="s">
        <v>541</v>
      </c>
      <c r="B529" t="str">
        <f>HYPERLINK("https://www.suredividend.com/sure-analysis-research-database/","Faro Technologies Inc.")</f>
        <v>Faro Technologies Inc.</v>
      </c>
      <c r="C529">
        <v>0.118801652892561</v>
      </c>
      <c r="D529">
        <v>0.58333333333333304</v>
      </c>
      <c r="E529">
        <v>0.35629304946775198</v>
      </c>
      <c r="F529">
        <v>-3.8615179760319002E-2</v>
      </c>
      <c r="G529">
        <v>-0.37525237957888602</v>
      </c>
      <c r="H529">
        <v>-0.65449034933801209</v>
      </c>
      <c r="I529">
        <v>-0.49976905311778203</v>
      </c>
    </row>
    <row r="530" spans="1:9" x14ac:dyDescent="0.25">
      <c r="A530" s="1" t="s">
        <v>542</v>
      </c>
      <c r="B530" t="str">
        <f>HYPERLINK("https://www.suredividend.com/sure-analysis-research-database/","Fate Therapeutics Inc")</f>
        <v>Fate Therapeutics Inc</v>
      </c>
      <c r="C530">
        <v>0.69776119402985004</v>
      </c>
      <c r="D530">
        <v>1.6764705882352939</v>
      </c>
      <c r="E530">
        <v>-7.5203252032520013E-2</v>
      </c>
      <c r="F530">
        <v>0.21657754010695099</v>
      </c>
      <c r="G530">
        <v>-0.157407407407407</v>
      </c>
      <c r="H530">
        <v>-0.89218009478672911</v>
      </c>
      <c r="I530">
        <v>-0.73298122065727711</v>
      </c>
    </row>
    <row r="531" spans="1:9" x14ac:dyDescent="0.25">
      <c r="A531" s="1" t="s">
        <v>543</v>
      </c>
      <c r="B531" t="str">
        <f>HYPERLINK("https://www.suredividend.com/sure-analysis-research-database/","First Business Financial Services Inc")</f>
        <v>First Business Financial Services Inc</v>
      </c>
      <c r="C531">
        <v>-1.8034993270524002E-2</v>
      </c>
      <c r="D531">
        <v>0.22357392258077399</v>
      </c>
      <c r="E531">
        <v>0.25882523447690398</v>
      </c>
      <c r="F531">
        <v>-9.0274314214463011E-2</v>
      </c>
      <c r="G531">
        <v>8.0559118254280013E-2</v>
      </c>
      <c r="H531">
        <v>0.30109601646342898</v>
      </c>
      <c r="I531">
        <v>1.0897300765317799</v>
      </c>
    </row>
    <row r="532" spans="1:9" x14ac:dyDescent="0.25">
      <c r="A532" s="1" t="s">
        <v>544</v>
      </c>
      <c r="B532" t="str">
        <f>HYPERLINK("https://www.suredividend.com/sure-analysis-research-database/","FB Financial Corp")</f>
        <v>FB Financial Corp</v>
      </c>
      <c r="C532">
        <v>-8.0165502973880004E-3</v>
      </c>
      <c r="D532">
        <v>0.39214505019125601</v>
      </c>
      <c r="E532">
        <v>0.31693685157338902</v>
      </c>
      <c r="F532">
        <v>-3.7390213299874013E-2</v>
      </c>
      <c r="G532">
        <v>3.7053858673025013E-2</v>
      </c>
      <c r="H532">
        <v>-0.144240915367746</v>
      </c>
      <c r="I532">
        <v>0.11938883004023999</v>
      </c>
    </row>
    <row r="533" spans="1:9" x14ac:dyDescent="0.25">
      <c r="A533" s="1" t="s">
        <v>545</v>
      </c>
      <c r="B533" t="str">
        <f>HYPERLINK("https://www.suredividend.com/sure-analysis-research-database/","First Bancshares Inc Miss")</f>
        <v>First Bancshares Inc Miss</v>
      </c>
      <c r="C533">
        <v>-2.9619181946402999E-2</v>
      </c>
      <c r="D533">
        <v>5.8201058201057997E-2</v>
      </c>
      <c r="E533">
        <v>3.9494757199407003E-2</v>
      </c>
      <c r="F533">
        <v>-6.1711558131604997E-2</v>
      </c>
      <c r="G533">
        <v>-4.9375807443331997E-2</v>
      </c>
      <c r="H533">
        <v>-0.24242841333898499</v>
      </c>
      <c r="I533">
        <v>-9.8376961640199998E-4</v>
      </c>
    </row>
    <row r="534" spans="1:9" x14ac:dyDescent="0.25">
      <c r="A534" s="1" t="s">
        <v>546</v>
      </c>
      <c r="B534" t="str">
        <f>HYPERLINK("https://www.suredividend.com/sure-analysis-research-database/","First Bancorp")</f>
        <v>First Bancorp</v>
      </c>
      <c r="C534">
        <v>-2.3613166983858E-2</v>
      </c>
      <c r="D534">
        <v>0.28324847514655599</v>
      </c>
      <c r="E534">
        <v>0.11141422083861501</v>
      </c>
      <c r="F534">
        <v>-6.4306944069170008E-2</v>
      </c>
      <c r="G534">
        <v>-0.14356586233247801</v>
      </c>
      <c r="H534">
        <v>-0.225262310118794</v>
      </c>
      <c r="I534">
        <v>0.156183226495726</v>
      </c>
    </row>
    <row r="535" spans="1:9" x14ac:dyDescent="0.25">
      <c r="A535" s="1" t="s">
        <v>547</v>
      </c>
      <c r="B535" t="str">
        <f>HYPERLINK("https://www.suredividend.com/sure-analysis-research-database/","First Bancorp PR")</f>
        <v>First Bancorp PR</v>
      </c>
      <c r="C535">
        <v>-5.3108026554012998E-2</v>
      </c>
      <c r="D535">
        <v>0.16715887196958901</v>
      </c>
      <c r="E535">
        <v>0.21694886332787799</v>
      </c>
      <c r="F535">
        <v>-4.6200607902735003E-2</v>
      </c>
      <c r="G535">
        <v>0.23531634806160001</v>
      </c>
      <c r="H535">
        <v>5.5208452428189003E-2</v>
      </c>
      <c r="I535">
        <v>1.030831359453267</v>
      </c>
    </row>
    <row r="536" spans="1:9" x14ac:dyDescent="0.25">
      <c r="A536" s="1" t="s">
        <v>548</v>
      </c>
      <c r="B536" t="str">
        <f>HYPERLINK("https://www.suredividend.com/sure-analysis-research-database/","Franklin BSP Realty Trust Inc.")</f>
        <v>Franklin BSP Realty Trust Inc.</v>
      </c>
      <c r="C536">
        <v>3.8843395517159998E-3</v>
      </c>
      <c r="D536">
        <v>0.10825413357635701</v>
      </c>
      <c r="E536">
        <v>-1.3293729851124E-2</v>
      </c>
      <c r="F536">
        <v>8.142116950407001E-3</v>
      </c>
      <c r="G536">
        <v>6.829394554995101E-2</v>
      </c>
      <c r="H536">
        <v>0.120803159973666</v>
      </c>
      <c r="I536">
        <v>1.8828123246785001E-2</v>
      </c>
    </row>
    <row r="537" spans="1:9" x14ac:dyDescent="0.25">
      <c r="A537" s="1" t="s">
        <v>549</v>
      </c>
      <c r="B537" t="str">
        <f>HYPERLINK("https://www.suredividend.com/sure-analysis-research-database/","Franklin Covey Co.")</f>
        <v>Franklin Covey Co.</v>
      </c>
      <c r="C537">
        <v>2.1387714498879998E-2</v>
      </c>
      <c r="D537">
        <v>2.5468164794007001E-2</v>
      </c>
      <c r="E537">
        <v>-8.5096903541991009E-2</v>
      </c>
      <c r="F537">
        <v>-5.6512749827705003E-2</v>
      </c>
      <c r="G537">
        <v>-0.11065396275443901</v>
      </c>
      <c r="H537">
        <v>-0.19454795057854399</v>
      </c>
      <c r="I537">
        <v>0.71482254697286007</v>
      </c>
    </row>
    <row r="538" spans="1:9" x14ac:dyDescent="0.25">
      <c r="A538" s="1" t="s">
        <v>550</v>
      </c>
      <c r="B538" t="str">
        <f>HYPERLINK("https://www.suredividend.com/sure-analysis-research-database/","First Community Bankshares Inc.")</f>
        <v>First Community Bankshares Inc.</v>
      </c>
      <c r="C538">
        <v>-5.0402144772117012E-2</v>
      </c>
      <c r="D538">
        <v>0.187494761545553</v>
      </c>
      <c r="E538">
        <v>0.17875708019674699</v>
      </c>
      <c r="F538">
        <v>-4.5283018867923998E-2</v>
      </c>
      <c r="G538">
        <v>0.10217697066255001</v>
      </c>
      <c r="H538">
        <v>0.11686747367856699</v>
      </c>
      <c r="I538">
        <v>0.32149386262731711</v>
      </c>
    </row>
    <row r="539" spans="1:9" x14ac:dyDescent="0.25">
      <c r="A539" s="1" t="s">
        <v>551</v>
      </c>
      <c r="B539" t="str">
        <f>HYPERLINK("https://www.suredividend.com/sure-analysis-research-database/","Fuelcell Energy Inc")</f>
        <v>Fuelcell Energy Inc</v>
      </c>
      <c r="C539">
        <v>-0.13571428571428501</v>
      </c>
      <c r="D539">
        <v>-6.2015503875968013E-2</v>
      </c>
      <c r="E539">
        <v>-0.48945147679324802</v>
      </c>
      <c r="F539">
        <v>-0.24374999999999999</v>
      </c>
      <c r="G539">
        <v>-0.62654320987654299</v>
      </c>
      <c r="H539">
        <v>-0.75154004106776107</v>
      </c>
      <c r="I539">
        <v>-0.80661040787623006</v>
      </c>
    </row>
    <row r="540" spans="1:9" x14ac:dyDescent="0.25">
      <c r="A540" s="1" t="s">
        <v>552</v>
      </c>
      <c r="B540" t="str">
        <f>HYPERLINK("https://www.suredividend.com/sure-analysis-research-database/","First Commonwealth Financial Corp.")</f>
        <v>First Commonwealth Financial Corp.</v>
      </c>
      <c r="C540">
        <v>-3.7358238825883003E-2</v>
      </c>
      <c r="D540">
        <v>0.19694418407889999</v>
      </c>
      <c r="E540">
        <v>0.109215017064846</v>
      </c>
      <c r="F540">
        <v>-6.541450777202E-2</v>
      </c>
      <c r="G540">
        <v>3.6935901121011E-2</v>
      </c>
      <c r="H540">
        <v>-0.104516513385709</v>
      </c>
      <c r="I540">
        <v>0.34281274136663498</v>
      </c>
    </row>
    <row r="541" spans="1:9" x14ac:dyDescent="0.25">
      <c r="A541" s="1" t="s">
        <v>553</v>
      </c>
      <c r="B541" t="str">
        <f>HYPERLINK("https://www.suredividend.com/sure-analysis-research-database/","FirstCash Holdings Inc")</f>
        <v>FirstCash Holdings Inc</v>
      </c>
      <c r="C541">
        <v>-4.4184027777777003E-2</v>
      </c>
      <c r="D541">
        <v>0.11214807901695401</v>
      </c>
      <c r="E541">
        <v>0.17094947827825399</v>
      </c>
      <c r="F541">
        <v>1.5868622566657001E-2</v>
      </c>
      <c r="G541">
        <v>0.255491564113761</v>
      </c>
      <c r="H541">
        <v>0.550703104645349</v>
      </c>
      <c r="I541">
        <v>0.74872708676773703</v>
      </c>
    </row>
    <row r="542" spans="1:9" x14ac:dyDescent="0.25">
      <c r="A542" s="1" t="s">
        <v>554</v>
      </c>
      <c r="B542" t="str">
        <f>HYPERLINK("https://www.suredividend.com/sure-analysis-FCPT/","Four Corners Property Trust Inc")</f>
        <v>Four Corners Property Trust Inc</v>
      </c>
      <c r="C542">
        <v>2.0900484502017001E-2</v>
      </c>
      <c r="D542">
        <v>0.18433925346176999</v>
      </c>
      <c r="E542">
        <v>4.2114631258499999E-4</v>
      </c>
      <c r="F542">
        <v>-4.7430830039520014E-3</v>
      </c>
      <c r="G542">
        <v>-5.7447772200324002E-2</v>
      </c>
      <c r="H542">
        <v>-1.0410730637573E-2</v>
      </c>
      <c r="I542">
        <v>0.22261497824735799</v>
      </c>
    </row>
    <row r="543" spans="1:9" x14ac:dyDescent="0.25">
      <c r="A543" s="1" t="s">
        <v>555</v>
      </c>
      <c r="B543" t="str">
        <f>HYPERLINK("https://www.suredividend.com/sure-analysis-research-database/","Focus Universal Inc")</f>
        <v>Focus Universal Inc</v>
      </c>
      <c r="C543">
        <v>4.8951048951048001E-2</v>
      </c>
      <c r="D543">
        <v>-0.22680412371134001</v>
      </c>
      <c r="E543">
        <v>-0.16666666666666599</v>
      </c>
      <c r="F543">
        <v>2.7397260273972001E-2</v>
      </c>
      <c r="G543">
        <v>-0.64511320888636503</v>
      </c>
      <c r="H543">
        <v>-0.71698113207547109</v>
      </c>
      <c r="I543">
        <v>-0.55882352941176405</v>
      </c>
    </row>
    <row r="544" spans="1:9" x14ac:dyDescent="0.25">
      <c r="A544" s="1" t="s">
        <v>556</v>
      </c>
      <c r="B544" t="str">
        <f>HYPERLINK("https://www.suredividend.com/sure-analysis-research-database/","4D Molecular Therapeutics Inc")</f>
        <v>4D Molecular Therapeutics Inc</v>
      </c>
      <c r="C544">
        <v>0.17499999999999999</v>
      </c>
      <c r="D544">
        <v>0.79732313575525804</v>
      </c>
      <c r="E544">
        <v>-2.2360894435777001E-2</v>
      </c>
      <c r="F544">
        <v>-7.2063178677195999E-2</v>
      </c>
      <c r="G544">
        <v>-0.146618247843849</v>
      </c>
      <c r="H544">
        <v>0.16049382716049301</v>
      </c>
      <c r="I544">
        <v>-0.5358024691358021</v>
      </c>
    </row>
    <row r="545" spans="1:9" x14ac:dyDescent="0.25">
      <c r="A545" s="1" t="s">
        <v>557</v>
      </c>
      <c r="B545" t="str">
        <f>HYPERLINK("https://www.suredividend.com/sure-analysis-research-database/","Fresh Del Monte Produce Inc")</f>
        <v>Fresh Del Monte Produce Inc</v>
      </c>
      <c r="C545">
        <v>1.2638230647709E-2</v>
      </c>
      <c r="D545">
        <v>2.0107739928225999E-2</v>
      </c>
      <c r="E545">
        <v>1.3270524260794E-2</v>
      </c>
      <c r="F545">
        <v>-2.3238095238094999E-2</v>
      </c>
      <c r="G545">
        <v>-5.7768631486109001E-2</v>
      </c>
      <c r="H545">
        <v>-6.5972095734217001E-2</v>
      </c>
      <c r="I545">
        <v>-9.4351352115063014E-2</v>
      </c>
    </row>
    <row r="546" spans="1:9" x14ac:dyDescent="0.25">
      <c r="A546" s="1" t="s">
        <v>558</v>
      </c>
      <c r="B546" t="str">
        <f>HYPERLINK("https://www.suredividend.com/sure-analysis-research-database/","5E Advanced Materials Inc")</f>
        <v>5E Advanced Materials Inc</v>
      </c>
      <c r="C546">
        <v>-8.496732026143701E-2</v>
      </c>
      <c r="D546">
        <v>-0.54838709677419306</v>
      </c>
      <c r="E546">
        <v>-0.63446475195822405</v>
      </c>
      <c r="F546">
        <v>-7.0921985815600008E-3</v>
      </c>
      <c r="G546">
        <v>-0.88013698630136905</v>
      </c>
      <c r="H546">
        <v>-0.9575886095122691</v>
      </c>
      <c r="I546">
        <v>-0.9575886095122691</v>
      </c>
    </row>
    <row r="547" spans="1:9" x14ac:dyDescent="0.25">
      <c r="A547" s="1" t="s">
        <v>559</v>
      </c>
      <c r="B547" t="str">
        <f>HYPERLINK("https://www.suredividend.com/sure-analysis-FELE/","Franklin Electric Co., Inc.")</f>
        <v>Franklin Electric Co., Inc.</v>
      </c>
      <c r="C547">
        <v>-3.1976124493709999E-3</v>
      </c>
      <c r="D547">
        <v>8.6037588606360002E-2</v>
      </c>
      <c r="E547">
        <v>-0.10098706851801199</v>
      </c>
      <c r="F547">
        <v>-3.2384893947231999E-2</v>
      </c>
      <c r="G547">
        <v>0.10014081143619399</v>
      </c>
      <c r="H547">
        <v>6.0287406819533998E-2</v>
      </c>
      <c r="I547">
        <v>1.181031185574223</v>
      </c>
    </row>
    <row r="548" spans="1:9" x14ac:dyDescent="0.25">
      <c r="A548" s="1" t="s">
        <v>560</v>
      </c>
      <c r="B548" t="str">
        <f>HYPERLINK("https://www.suredividend.com/sure-analysis-research-database/","Futurefuel Corp")</f>
        <v>Futurefuel Corp</v>
      </c>
      <c r="C548">
        <v>-2.6666666666665999E-2</v>
      </c>
      <c r="D548">
        <v>-0.133762496662612</v>
      </c>
      <c r="E548">
        <v>-0.37122492705563098</v>
      </c>
      <c r="F548">
        <v>-3.9473684210526001E-2</v>
      </c>
      <c r="G548">
        <v>-0.37056756698497501</v>
      </c>
      <c r="H548">
        <v>-0.22381711855396</v>
      </c>
      <c r="I548">
        <v>-0.37500668871266302</v>
      </c>
    </row>
    <row r="549" spans="1:9" x14ac:dyDescent="0.25">
      <c r="A549" s="1" t="s">
        <v>561</v>
      </c>
      <c r="B549" t="str">
        <f>HYPERLINK("https://www.suredividend.com/sure-analysis-research-database/","First Financial Bancorp")</f>
        <v>First Financial Bancorp</v>
      </c>
      <c r="C549">
        <v>-2.7164685908319001E-2</v>
      </c>
      <c r="D549">
        <v>0.21906463914729299</v>
      </c>
      <c r="E549">
        <v>8.6441288561081006E-2</v>
      </c>
      <c r="F549">
        <v>-3.4947368421052012E-2</v>
      </c>
      <c r="G549">
        <v>4.2676995609610014E-3</v>
      </c>
      <c r="H549">
        <v>-2.7119262783916E-2</v>
      </c>
      <c r="I549">
        <v>0.20495862554806701</v>
      </c>
    </row>
    <row r="550" spans="1:9" x14ac:dyDescent="0.25">
      <c r="A550" s="1" t="s">
        <v>562</v>
      </c>
      <c r="B550" t="str">
        <f>HYPERLINK("https://www.suredividend.com/sure-analysis-research-database/","Flushing Financial Corp.")</f>
        <v>Flushing Financial Corp.</v>
      </c>
      <c r="C550">
        <v>-2.8430160692211999E-2</v>
      </c>
      <c r="D550">
        <v>0.32296505756412802</v>
      </c>
      <c r="E550">
        <v>0.30284520839721801</v>
      </c>
      <c r="F550">
        <v>-4.6116504854368003E-2</v>
      </c>
      <c r="G550">
        <v>-0.122537719156251</v>
      </c>
      <c r="H550">
        <v>-0.28754656780544402</v>
      </c>
      <c r="I550">
        <v>-5.6807545539634997E-2</v>
      </c>
    </row>
    <row r="551" spans="1:9" x14ac:dyDescent="0.25">
      <c r="A551" s="1" t="s">
        <v>563</v>
      </c>
      <c r="B551" t="str">
        <f>HYPERLINK("https://www.suredividend.com/sure-analysis-research-database/","Faraday Future Intelligent Electric Inc")</f>
        <v>Faraday Future Intelligent Electric Inc</v>
      </c>
      <c r="C551">
        <v>-0.35104364326375698</v>
      </c>
      <c r="D551">
        <v>-0.83714285714285708</v>
      </c>
      <c r="E551">
        <v>-0.99092356687898009</v>
      </c>
      <c r="F551">
        <v>-0.25941966219142398</v>
      </c>
      <c r="G551">
        <v>-0.99575640262060705</v>
      </c>
      <c r="H551">
        <v>-0.99681017758543511</v>
      </c>
      <c r="I551">
        <v>-0.99681017758543511</v>
      </c>
    </row>
    <row r="552" spans="1:9" x14ac:dyDescent="0.25">
      <c r="A552" s="1" t="s">
        <v>564</v>
      </c>
      <c r="B552" t="str">
        <f>HYPERLINK("https://www.suredividend.com/sure-analysis-FFIN/","First Financial Bankshares, Inc.")</f>
        <v>First Financial Bankshares, Inc.</v>
      </c>
      <c r="C552">
        <v>-3.8115076164951002E-2</v>
      </c>
      <c r="D552">
        <v>0.18676647416464801</v>
      </c>
      <c r="E552">
        <v>-1.9734702370751998E-2</v>
      </c>
      <c r="F552">
        <v>-7.4917491749174003E-2</v>
      </c>
      <c r="G552">
        <v>-0.167265791647108</v>
      </c>
      <c r="H552">
        <v>-0.43951433907482801</v>
      </c>
      <c r="I552">
        <v>3.0779980141948E-2</v>
      </c>
    </row>
    <row r="553" spans="1:9" x14ac:dyDescent="0.25">
      <c r="A553" s="1" t="s">
        <v>565</v>
      </c>
      <c r="B553" t="str">
        <f>HYPERLINK("https://www.suredividend.com/sure-analysis-research-database/","First Foundation Inc")</f>
        <v>First Foundation Inc</v>
      </c>
      <c r="C553">
        <v>0.17777777777777701</v>
      </c>
      <c r="D553">
        <v>0.67075306479859809</v>
      </c>
      <c r="E553">
        <v>1.1941626992341119</v>
      </c>
      <c r="F553">
        <v>-1.4462809917354999E-2</v>
      </c>
      <c r="G553">
        <v>-0.36167223140385202</v>
      </c>
      <c r="H553">
        <v>-0.64023486554060904</v>
      </c>
      <c r="I553">
        <v>-0.26504576130165403</v>
      </c>
    </row>
    <row r="554" spans="1:9" x14ac:dyDescent="0.25">
      <c r="A554" s="1" t="s">
        <v>566</v>
      </c>
      <c r="B554" t="str">
        <f>HYPERLINK("https://www.suredividend.com/sure-analysis-research-database/","First Guaranty Bancshares Inc")</f>
        <v>First Guaranty Bancshares Inc</v>
      </c>
      <c r="C554">
        <v>0.119561440759757</v>
      </c>
      <c r="D554">
        <v>0.13231490067841201</v>
      </c>
      <c r="E554">
        <v>3.6399049371906002E-2</v>
      </c>
      <c r="F554">
        <v>4.3165467625899012E-2</v>
      </c>
      <c r="G554">
        <v>-0.46330088462819702</v>
      </c>
      <c r="H554">
        <v>-0.39138282020609011</v>
      </c>
      <c r="I554">
        <v>-0.18947434616432701</v>
      </c>
    </row>
    <row r="555" spans="1:9" x14ac:dyDescent="0.25">
      <c r="A555" s="1" t="s">
        <v>567</v>
      </c>
      <c r="B555" t="str">
        <f>HYPERLINK("https://www.suredividend.com/sure-analysis-research-database/","FibroGen Inc")</f>
        <v>FibroGen Inc</v>
      </c>
      <c r="C555">
        <v>3.2231518310244997E-2</v>
      </c>
      <c r="D555">
        <v>0.26487394957983201</v>
      </c>
      <c r="E555">
        <v>-0.71812734082397001</v>
      </c>
      <c r="F555">
        <v>-0.15085185603068901</v>
      </c>
      <c r="G555">
        <v>-0.9632878048780481</v>
      </c>
      <c r="H555">
        <v>-0.94624285714285705</v>
      </c>
      <c r="I555">
        <v>-0.98421560402684505</v>
      </c>
    </row>
    <row r="556" spans="1:9" x14ac:dyDescent="0.25">
      <c r="A556" s="1" t="s">
        <v>568</v>
      </c>
      <c r="B556" t="str">
        <f>HYPERLINK("https://www.suredividend.com/sure-analysis-research-database/","Federated Hermes Inc")</f>
        <v>Federated Hermes Inc</v>
      </c>
      <c r="C556">
        <v>2.2782503037667001E-2</v>
      </c>
      <c r="D556">
        <v>2.752685546875E-2</v>
      </c>
      <c r="E556">
        <v>-3.5472939100443003E-2</v>
      </c>
      <c r="F556">
        <v>-5.6113408151209996E-3</v>
      </c>
      <c r="G556">
        <v>-0.114255048246398</v>
      </c>
      <c r="H556">
        <v>-5.6564122537385013E-2</v>
      </c>
      <c r="I556">
        <v>0.37763702721723003</v>
      </c>
    </row>
    <row r="557" spans="1:9" x14ac:dyDescent="0.25">
      <c r="A557" s="1" t="s">
        <v>569</v>
      </c>
      <c r="B557" t="str">
        <f>HYPERLINK("https://www.suredividend.com/sure-analysis-research-database/","Foghorn Therapeutics Inc")</f>
        <v>Foghorn Therapeutics Inc</v>
      </c>
      <c r="C557">
        <v>-4.8824593128390013E-2</v>
      </c>
      <c r="D557">
        <v>0.50716332378223405</v>
      </c>
      <c r="E557">
        <v>-0.33836477987421298</v>
      </c>
      <c r="F557">
        <v>-0.18449612403100701</v>
      </c>
      <c r="G557">
        <v>-0.39609644087256002</v>
      </c>
      <c r="H557">
        <v>-0.68427370948379307</v>
      </c>
      <c r="I557">
        <v>-0.70971302428256</v>
      </c>
    </row>
    <row r="558" spans="1:9" x14ac:dyDescent="0.25">
      <c r="A558" s="1" t="s">
        <v>570</v>
      </c>
      <c r="B558" t="str">
        <f>HYPERLINK("https://www.suredividend.com/sure-analysis-research-database/","First Interstate BancSystem Inc.")</f>
        <v>First Interstate BancSystem Inc.</v>
      </c>
      <c r="C558">
        <v>-3.9008264462809E-2</v>
      </c>
      <c r="D558">
        <v>0.31462914976461498</v>
      </c>
      <c r="E558">
        <v>0.244296439608605</v>
      </c>
      <c r="F558">
        <v>-5.4634146341463012E-2</v>
      </c>
      <c r="G558">
        <v>-0.164237291059322</v>
      </c>
      <c r="H558">
        <v>-0.21126103271353799</v>
      </c>
      <c r="I558">
        <v>4.2088622342351001E-2</v>
      </c>
    </row>
    <row r="559" spans="1:9" x14ac:dyDescent="0.25">
      <c r="A559" s="1" t="s">
        <v>571</v>
      </c>
      <c r="B559" t="str">
        <f>HYPERLINK("https://www.suredividend.com/sure-analysis-research-database/","Figs Inc")</f>
        <v>Figs Inc</v>
      </c>
      <c r="C559">
        <v>-0.13597733711048099</v>
      </c>
      <c r="D559">
        <v>-2.2435897435896999E-2</v>
      </c>
      <c r="E559">
        <v>-0.24504950495049499</v>
      </c>
      <c r="F559">
        <v>-0.12230215827338101</v>
      </c>
      <c r="G559">
        <v>-0.249692496924969</v>
      </c>
      <c r="H559">
        <v>-0.74572738641100411</v>
      </c>
      <c r="I559">
        <v>-0.79680213191205806</v>
      </c>
    </row>
    <row r="560" spans="1:9" x14ac:dyDescent="0.25">
      <c r="A560" s="1" t="s">
        <v>572</v>
      </c>
      <c r="B560" t="str">
        <f>HYPERLINK("https://www.suredividend.com/sure-analysis-FISI/","Financial Institutions Inc.")</f>
        <v>Financial Institutions Inc.</v>
      </c>
      <c r="C560">
        <v>3.8666022232962012E-2</v>
      </c>
      <c r="D560">
        <v>0.34641530239522811</v>
      </c>
      <c r="E560">
        <v>0.40292466379422898</v>
      </c>
      <c r="F560">
        <v>8.9201877934270007E-3</v>
      </c>
      <c r="G560">
        <v>-2.2493120152835E-2</v>
      </c>
      <c r="H560">
        <v>-0.25124560119856398</v>
      </c>
      <c r="I560">
        <v>5.7079332598772008E-2</v>
      </c>
    </row>
    <row r="561" spans="1:9" x14ac:dyDescent="0.25">
      <c r="A561" s="1" t="s">
        <v>573</v>
      </c>
      <c r="B561" t="str">
        <f>HYPERLINK("https://www.suredividend.com/sure-analysis-research-database/","Comfort Systems USA, Inc.")</f>
        <v>Comfort Systems USA, Inc.</v>
      </c>
      <c r="C561">
        <v>1.1692705741864E-2</v>
      </c>
      <c r="D561">
        <v>0.28168277201010999</v>
      </c>
      <c r="E561">
        <v>0.226761784497056</v>
      </c>
      <c r="F561">
        <v>-1.1377449312004E-2</v>
      </c>
      <c r="G561">
        <v>0.64493297057921706</v>
      </c>
      <c r="H561">
        <v>1.099033327689938</v>
      </c>
      <c r="I561">
        <v>3.4756670137199781</v>
      </c>
    </row>
    <row r="562" spans="1:9" x14ac:dyDescent="0.25">
      <c r="A562" s="1" t="s">
        <v>574</v>
      </c>
      <c r="B562" t="str">
        <f>HYPERLINK("https://www.suredividend.com/sure-analysis-research-database/","National Beverage Corp.")</f>
        <v>National Beverage Corp.</v>
      </c>
      <c r="C562">
        <v>-3.3294842186296997E-2</v>
      </c>
      <c r="D562">
        <v>0.11054609772274999</v>
      </c>
      <c r="E562">
        <v>2.8881605899221001E-2</v>
      </c>
      <c r="F562">
        <v>1.0257441673369999E-2</v>
      </c>
      <c r="G562">
        <v>0.11845914050322801</v>
      </c>
      <c r="H562">
        <v>0.121455682071891</v>
      </c>
      <c r="I562">
        <v>0.43465097680795101</v>
      </c>
    </row>
    <row r="563" spans="1:9" x14ac:dyDescent="0.25">
      <c r="A563" s="1" t="s">
        <v>575</v>
      </c>
      <c r="B563" t="str">
        <f>HYPERLINK("https://www.suredividend.com/sure-analysis-research-database/","Foot Locker Inc")</f>
        <v>Foot Locker Inc</v>
      </c>
      <c r="C563">
        <v>1.402032947774E-3</v>
      </c>
      <c r="D563">
        <v>0.36960690316395001</v>
      </c>
      <c r="E563">
        <v>0.13726379982246401</v>
      </c>
      <c r="F563">
        <v>-8.2825040128410007E-2</v>
      </c>
      <c r="G563">
        <v>-0.23757015181881</v>
      </c>
      <c r="H563">
        <v>-0.27183290642402902</v>
      </c>
      <c r="I563">
        <v>-0.39330232953218203</v>
      </c>
    </row>
    <row r="564" spans="1:9" x14ac:dyDescent="0.25">
      <c r="A564" s="1" t="s">
        <v>576</v>
      </c>
      <c r="B564" t="str">
        <f>HYPERLINK("https://www.suredividend.com/sure-analysis-research-database/","Fulgent Genetics Inc")</f>
        <v>Fulgent Genetics Inc</v>
      </c>
      <c r="C564">
        <v>-2.1685904162294E-2</v>
      </c>
      <c r="D564">
        <v>0.12329317269076299</v>
      </c>
      <c r="E564">
        <v>-0.28520316892409903</v>
      </c>
      <c r="F564">
        <v>-3.2514700795571998E-2</v>
      </c>
      <c r="G564">
        <v>-0.142813361936868</v>
      </c>
      <c r="H564">
        <v>-0.656134743053848</v>
      </c>
      <c r="I564">
        <v>6.4586666666666668</v>
      </c>
    </row>
    <row r="565" spans="1:9" x14ac:dyDescent="0.25">
      <c r="A565" s="1" t="s">
        <v>577</v>
      </c>
      <c r="B565" t="str">
        <f>HYPERLINK("https://www.suredividend.com/sure-analysis-FLIC/","First Of Long Island Corp.")</f>
        <v>First Of Long Island Corp.</v>
      </c>
      <c r="C565">
        <v>-7.4382718494280008E-3</v>
      </c>
      <c r="D565">
        <v>0.22494867533483201</v>
      </c>
      <c r="E565">
        <v>8.1757748424414009E-2</v>
      </c>
      <c r="F565">
        <v>-5.3625377643504002E-2</v>
      </c>
      <c r="G565">
        <v>-0.261137482678302</v>
      </c>
      <c r="H565">
        <v>-0.35053828092199701</v>
      </c>
      <c r="I565">
        <v>-0.21805768774728199</v>
      </c>
    </row>
    <row r="566" spans="1:9" x14ac:dyDescent="0.25">
      <c r="A566" s="1" t="s">
        <v>578</v>
      </c>
      <c r="B566" t="str">
        <f>HYPERLINK("https://www.suredividend.com/sure-analysis-research-database/","Full House Resorts, Inc.")</f>
        <v>Full House Resorts, Inc.</v>
      </c>
      <c r="C566">
        <v>-0.116575591985428</v>
      </c>
      <c r="D566">
        <v>0.17149758454106201</v>
      </c>
      <c r="E566">
        <v>-0.287812041116005</v>
      </c>
      <c r="F566">
        <v>-9.6834264432029013E-2</v>
      </c>
      <c r="G566">
        <v>-0.45073612684031711</v>
      </c>
      <c r="H566">
        <v>-0.50960566228513604</v>
      </c>
      <c r="I566">
        <v>1.0638297872340421</v>
      </c>
    </row>
    <row r="567" spans="1:9" x14ac:dyDescent="0.25">
      <c r="A567" s="1" t="s">
        <v>579</v>
      </c>
      <c r="B567" t="str">
        <f>HYPERLINK("https://www.suredividend.com/sure-analysis-research-database/","Fluence Energy Inc")</f>
        <v>Fluence Energy Inc</v>
      </c>
      <c r="C567">
        <v>-0.11803135888501699</v>
      </c>
      <c r="D567">
        <v>-2.1739130434782001E-2</v>
      </c>
      <c r="E567">
        <v>-0.29269996507160301</v>
      </c>
      <c r="F567">
        <v>-0.15094339622641501</v>
      </c>
      <c r="G567">
        <v>-8.2880434782608009E-2</v>
      </c>
      <c r="H567">
        <v>-0.176829268292682</v>
      </c>
      <c r="I567">
        <v>-0.42142857142857099</v>
      </c>
    </row>
    <row r="568" spans="1:9" x14ac:dyDescent="0.25">
      <c r="A568" s="1" t="s">
        <v>580</v>
      </c>
      <c r="B568" t="str">
        <f>HYPERLINK("https://www.suredividend.com/sure-analysis-research-database/","Flex Lng Ltd")</f>
        <v>Flex Lng Ltd</v>
      </c>
      <c r="C568">
        <v>5.3583855254001007E-2</v>
      </c>
      <c r="D568">
        <v>8.7079344139960012E-3</v>
      </c>
      <c r="E568">
        <v>2.0869154782374E-2</v>
      </c>
      <c r="F568">
        <v>4.1982105987611013E-2</v>
      </c>
      <c r="G568">
        <v>3.4011747029094E-2</v>
      </c>
      <c r="H568">
        <v>0.45771752630920098</v>
      </c>
      <c r="I568">
        <v>2.7980081780096828</v>
      </c>
    </row>
    <row r="569" spans="1:9" x14ac:dyDescent="0.25">
      <c r="A569" s="1" t="s">
        <v>581</v>
      </c>
      <c r="B569" t="str">
        <f>HYPERLINK("https://www.suredividend.com/sure-analysis-research-database/","Fluor Corporation")</f>
        <v>Fluor Corporation</v>
      </c>
      <c r="C569">
        <v>-2.9381443298968999E-2</v>
      </c>
      <c r="D569">
        <v>4.1770401106500002E-2</v>
      </c>
      <c r="E569">
        <v>0.214838709677419</v>
      </c>
      <c r="F569">
        <v>-3.8549910645902012E-2</v>
      </c>
      <c r="G569">
        <v>3.5468792961230997E-2</v>
      </c>
      <c r="H569">
        <v>0.61769759450171802</v>
      </c>
      <c r="I569">
        <v>7.0713733339398011E-2</v>
      </c>
    </row>
    <row r="570" spans="1:9" x14ac:dyDescent="0.25">
      <c r="A570" s="1" t="s">
        <v>582</v>
      </c>
      <c r="B570" t="str">
        <f>HYPERLINK("https://www.suredividend.com/sure-analysis-research-database/","1-800 Flowers.com Inc.")</f>
        <v>1-800 Flowers.com Inc.</v>
      </c>
      <c r="C570">
        <v>1.6194331983804999E-2</v>
      </c>
      <c r="D570">
        <v>0.45507246376811511</v>
      </c>
      <c r="E570">
        <v>0.23950617283950601</v>
      </c>
      <c r="F570">
        <v>-6.8645640074211006E-2</v>
      </c>
      <c r="G570">
        <v>-3.7392138063279012E-2</v>
      </c>
      <c r="H570">
        <v>-0.604724409448818</v>
      </c>
      <c r="I570">
        <v>-0.228878648233487</v>
      </c>
    </row>
    <row r="571" spans="1:9" x14ac:dyDescent="0.25">
      <c r="A571" s="1" t="s">
        <v>583</v>
      </c>
      <c r="B571" t="str">
        <f>HYPERLINK("https://www.suredividend.com/sure-analysis-research-database/","Flywire Corp")</f>
        <v>Flywire Corp</v>
      </c>
      <c r="C571">
        <v>-0.13322161709258401</v>
      </c>
      <c r="D571">
        <v>-0.25198843094721601</v>
      </c>
      <c r="E571">
        <v>-0.358847226526185</v>
      </c>
      <c r="F571">
        <v>-0.10626349892008601</v>
      </c>
      <c r="G571">
        <v>-0.21539628365566901</v>
      </c>
      <c r="H571">
        <v>-0.34834645669291298</v>
      </c>
      <c r="I571">
        <v>-0.41054131054130999</v>
      </c>
    </row>
    <row r="572" spans="1:9" x14ac:dyDescent="0.25">
      <c r="A572" s="1" t="s">
        <v>584</v>
      </c>
      <c r="B572" t="str">
        <f>HYPERLINK("https://www.suredividend.com/sure-analysis-FMAO/","Farmers &amp; Merchants Bancorp Inc.")</f>
        <v>Farmers &amp; Merchants Bancorp Inc.</v>
      </c>
      <c r="C572">
        <v>2.6513374002815001E-2</v>
      </c>
      <c r="D572">
        <v>0.34304656091527802</v>
      </c>
      <c r="E572">
        <v>4.1242350873499013E-2</v>
      </c>
      <c r="F572">
        <v>-8.2661290322580003E-2</v>
      </c>
      <c r="G572">
        <v>-0.115635945219963</v>
      </c>
      <c r="H572">
        <v>-0.217344337529285</v>
      </c>
      <c r="I572">
        <v>-0.24593467639825201</v>
      </c>
    </row>
    <row r="573" spans="1:9" x14ac:dyDescent="0.25">
      <c r="A573" s="1" t="s">
        <v>585</v>
      </c>
      <c r="B573" t="str">
        <f>HYPERLINK("https://www.suredividend.com/sure-analysis-FMBH/","First Mid Bancshares Inc.")</f>
        <v>First Mid Bancshares Inc.</v>
      </c>
      <c r="C573">
        <v>-4.6252927400468012E-2</v>
      </c>
      <c r="D573">
        <v>0.22966133360508101</v>
      </c>
      <c r="E573">
        <v>0.291074230824099</v>
      </c>
      <c r="F573">
        <v>-6.0011540680900012E-2</v>
      </c>
      <c r="G573">
        <v>4.6504904889470997E-2</v>
      </c>
      <c r="H573">
        <v>-0.200551614478407</v>
      </c>
      <c r="I573">
        <v>0.14662593528496701</v>
      </c>
    </row>
    <row r="574" spans="1:9" x14ac:dyDescent="0.25">
      <c r="A574" s="1" t="s">
        <v>586</v>
      </c>
      <c r="B574" t="str">
        <f>HYPERLINK("https://www.suredividend.com/sure-analysis-research-database/","Farmers National Banc Corp.")</f>
        <v>Farmers National Banc Corp.</v>
      </c>
      <c r="C574">
        <v>-2.9796511627905999E-2</v>
      </c>
      <c r="D574">
        <v>0.24213777959730501</v>
      </c>
      <c r="E574">
        <v>0.104894641881714</v>
      </c>
      <c r="F574">
        <v>-7.6124567474047999E-2</v>
      </c>
      <c r="G574">
        <v>1.297561634177E-3</v>
      </c>
      <c r="H574">
        <v>-0.21962682379348999</v>
      </c>
      <c r="I574">
        <v>0.30742637769442399</v>
      </c>
    </row>
    <row r="575" spans="1:9" x14ac:dyDescent="0.25">
      <c r="A575" s="1" t="s">
        <v>587</v>
      </c>
      <c r="B575" t="str">
        <f>HYPERLINK("https://www.suredividend.com/sure-analysis-research-database/","Fabrinet")</f>
        <v>Fabrinet</v>
      </c>
      <c r="C575">
        <v>7.1692115570187009E-2</v>
      </c>
      <c r="D575">
        <v>9.0195172652731012E-2</v>
      </c>
      <c r="E575">
        <v>0.39955522609340199</v>
      </c>
      <c r="F575">
        <v>-8.0386696789780006E-3</v>
      </c>
      <c r="G575">
        <v>0.36950529522704101</v>
      </c>
      <c r="H575">
        <v>0.60000000000000009</v>
      </c>
      <c r="I575">
        <v>2.312280701754386</v>
      </c>
    </row>
    <row r="576" spans="1:9" x14ac:dyDescent="0.25">
      <c r="A576" s="1" t="s">
        <v>588</v>
      </c>
      <c r="B576" t="str">
        <f>HYPERLINK("https://www.suredividend.com/sure-analysis-research-database/","Paragon 28 Inc")</f>
        <v>Paragon 28 Inc</v>
      </c>
      <c r="C576">
        <v>-7.4074074074074001E-2</v>
      </c>
      <c r="D576">
        <v>0.171023965141612</v>
      </c>
      <c r="E576">
        <v>-0.40410199556540999</v>
      </c>
      <c r="F576">
        <v>-0.13515687851971001</v>
      </c>
      <c r="G576">
        <v>-0.46034136546184712</v>
      </c>
      <c r="H576">
        <v>-0.32728410513141398</v>
      </c>
      <c r="I576">
        <v>-0.42544094067343602</v>
      </c>
    </row>
    <row r="577" spans="1:9" x14ac:dyDescent="0.25">
      <c r="A577" s="1" t="s">
        <v>589</v>
      </c>
      <c r="B577" t="str">
        <f>HYPERLINK("https://www.suredividend.com/sure-analysis-research-database/","Funko Inc")</f>
        <v>Funko Inc</v>
      </c>
      <c r="C577">
        <v>-5.7061340941510002E-3</v>
      </c>
      <c r="D577">
        <v>-7.4369189907038002E-2</v>
      </c>
      <c r="E577">
        <v>-0.30784508440913599</v>
      </c>
      <c r="F577">
        <v>-9.8318240620957009E-2</v>
      </c>
      <c r="G577">
        <v>-0.42253521126760502</v>
      </c>
      <c r="H577">
        <v>-0.613850415512465</v>
      </c>
      <c r="I577">
        <v>-0.57001850709438606</v>
      </c>
    </row>
    <row r="578" spans="1:9" x14ac:dyDescent="0.25">
      <c r="A578" s="1" t="s">
        <v>590</v>
      </c>
      <c r="B578" t="str">
        <f>HYPERLINK("https://www.suredividend.com/sure-analysis-research-database/","First Bancorp Inc (ME)")</f>
        <v>First Bancorp Inc (ME)</v>
      </c>
      <c r="C578">
        <v>5.7928375773562003E-2</v>
      </c>
      <c r="D578">
        <v>0.15037882632236199</v>
      </c>
      <c r="E578">
        <v>0.104544010168414</v>
      </c>
      <c r="F578">
        <v>-5.3036494600455002E-2</v>
      </c>
      <c r="G578">
        <v>-2.0863457963230001E-2</v>
      </c>
      <c r="H578">
        <v>-9.7617877342489001E-2</v>
      </c>
      <c r="I578">
        <v>0.36727661783910498</v>
      </c>
    </row>
    <row r="579" spans="1:9" x14ac:dyDescent="0.25">
      <c r="A579" s="1" t="s">
        <v>591</v>
      </c>
      <c r="B579" t="str">
        <f>HYPERLINK("https://www.suredividend.com/sure-analysis-research-database/","Finance of America Companies Inc")</f>
        <v>Finance of America Companies Inc</v>
      </c>
      <c r="C579">
        <v>2.9678982434887001E-2</v>
      </c>
      <c r="D579">
        <v>-3.7735849056603002E-2</v>
      </c>
      <c r="E579">
        <v>-0.49</v>
      </c>
      <c r="F579">
        <v>-7.2727272727272002E-2</v>
      </c>
      <c r="G579">
        <v>-0.35031847133757898</v>
      </c>
      <c r="H579">
        <v>-0.75480769230769207</v>
      </c>
      <c r="I579">
        <v>-0.89468249870934402</v>
      </c>
    </row>
    <row r="580" spans="1:9" x14ac:dyDescent="0.25">
      <c r="A580" s="1" t="s">
        <v>592</v>
      </c>
      <c r="B580" t="str">
        <f>HYPERLINK("https://www.suredividend.com/sure-analysis-research-database/","Focus Financial Partners Inc")</f>
        <v>Focus Financial Partners Inc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5">
      <c r="A581" s="1" t="s">
        <v>593</v>
      </c>
      <c r="B581" t="str">
        <f>HYPERLINK("https://www.suredividend.com/sure-analysis-research-database/","Amicus Therapeutics Inc")</f>
        <v>Amicus Therapeutics Inc</v>
      </c>
      <c r="C581">
        <v>6.8937550689375002E-2</v>
      </c>
      <c r="D581">
        <v>0.26245210727969298</v>
      </c>
      <c r="E581">
        <v>8.4162203519500007E-3</v>
      </c>
      <c r="F581">
        <v>-7.1176885130372999E-2</v>
      </c>
      <c r="G581">
        <v>2.7279812938425001E-2</v>
      </c>
      <c r="H581">
        <v>0.32996972754793102</v>
      </c>
      <c r="I581">
        <v>0.12265758091993099</v>
      </c>
    </row>
    <row r="582" spans="1:9" x14ac:dyDescent="0.25">
      <c r="A582" s="1" t="s">
        <v>594</v>
      </c>
      <c r="B582" t="str">
        <f>HYPERLINK("https://www.suredividend.com/sure-analysis-research-database/","Forestar Group Inc")</f>
        <v>Forestar Group Inc</v>
      </c>
      <c r="C582">
        <v>4.7809993830967998E-2</v>
      </c>
      <c r="D582">
        <v>0.35015898251192301</v>
      </c>
      <c r="E582">
        <v>0.44123886296139098</v>
      </c>
      <c r="F582">
        <v>2.7214998488055E-2</v>
      </c>
      <c r="G582">
        <v>0.99823529411764611</v>
      </c>
      <c r="H582">
        <v>0.74294510005130809</v>
      </c>
      <c r="I582">
        <v>1.1311166875784191</v>
      </c>
    </row>
    <row r="583" spans="1:9" x14ac:dyDescent="0.25">
      <c r="A583" s="1" t="s">
        <v>595</v>
      </c>
      <c r="B583" t="str">
        <f>HYPERLINK("https://www.suredividend.com/sure-analysis-research-database/","ForgeRock Inc")</f>
        <v>ForgeRock Inc</v>
      </c>
      <c r="C583">
        <v>0.137745098039215</v>
      </c>
      <c r="D583">
        <v>0.16926952141057899</v>
      </c>
      <c r="E583">
        <v>0.13886162904808599</v>
      </c>
      <c r="F583">
        <v>1.9323671497583999E-2</v>
      </c>
      <c r="G583">
        <v>0.24250535331905801</v>
      </c>
      <c r="H583">
        <v>-0.36410958904109503</v>
      </c>
      <c r="I583">
        <v>-0.36410958904109503</v>
      </c>
    </row>
    <row r="584" spans="1:9" x14ac:dyDescent="0.25">
      <c r="A584" s="1" t="s">
        <v>596</v>
      </c>
      <c r="B584" t="str">
        <f>HYPERLINK("https://www.suredividend.com/sure-analysis-research-database/","FormFactor Inc.")</f>
        <v>FormFactor Inc.</v>
      </c>
      <c r="C584">
        <v>2.0418580908619999E-3</v>
      </c>
      <c r="D584">
        <v>0.15913788012990801</v>
      </c>
      <c r="E584">
        <v>8.6330935251798011E-2</v>
      </c>
      <c r="F584">
        <v>-5.8738911532006013E-2</v>
      </c>
      <c r="G584">
        <v>0.56103379721669899</v>
      </c>
      <c r="H584">
        <v>-8.7189025807951001E-2</v>
      </c>
      <c r="I584">
        <v>1.780453257790368</v>
      </c>
    </row>
    <row r="585" spans="1:9" x14ac:dyDescent="0.25">
      <c r="A585" s="1" t="s">
        <v>597</v>
      </c>
      <c r="B585" t="str">
        <f>HYPERLINK("https://www.suredividend.com/sure-analysis-research-database/","Forrester Research Inc.")</f>
        <v>Forrester Research Inc.</v>
      </c>
      <c r="C585">
        <v>2.2754021184778001E-2</v>
      </c>
      <c r="D585">
        <v>-9.0052356020942012E-2</v>
      </c>
      <c r="E585">
        <v>-0.16549295774647799</v>
      </c>
      <c r="F585">
        <v>-2.7601641178664E-2</v>
      </c>
      <c r="G585">
        <v>-0.293687347602275</v>
      </c>
      <c r="H585">
        <v>-0.543272599859845</v>
      </c>
      <c r="I585">
        <v>-0.38802816901408399</v>
      </c>
    </row>
    <row r="586" spans="1:9" x14ac:dyDescent="0.25">
      <c r="A586" s="1" t="s">
        <v>598</v>
      </c>
      <c r="B586" t="str">
        <f>HYPERLINK("https://www.suredividend.com/sure-analysis-research-database/","Fossil Group Inc")</f>
        <v>Fossil Group Inc</v>
      </c>
      <c r="C586">
        <v>1.5503875968992E-2</v>
      </c>
      <c r="D586">
        <v>-0.215568862275449</v>
      </c>
      <c r="E586">
        <v>-0.50378787878787801</v>
      </c>
      <c r="F586">
        <v>-0.102739726027397</v>
      </c>
      <c r="G586">
        <v>-0.77491408934707906</v>
      </c>
      <c r="H586">
        <v>-0.87653157398680404</v>
      </c>
      <c r="I586">
        <v>-0.92598870056497107</v>
      </c>
    </row>
    <row r="587" spans="1:9" x14ac:dyDescent="0.25">
      <c r="A587" s="1" t="s">
        <v>599</v>
      </c>
      <c r="B587" t="str">
        <f>HYPERLINK("https://www.suredividend.com/sure-analysis-research-database/","Fox Factory Holding Corp")</f>
        <v>Fox Factory Holding Corp</v>
      </c>
      <c r="C587">
        <v>1.9764705882353E-2</v>
      </c>
      <c r="D587">
        <v>-0.29398349261511703</v>
      </c>
      <c r="E587">
        <v>-0.41432432432432398</v>
      </c>
      <c r="F587">
        <v>-3.660343805572E-2</v>
      </c>
      <c r="G587">
        <v>-0.40651816687967801</v>
      </c>
      <c r="H587">
        <v>-0.57325718786923907</v>
      </c>
      <c r="I587">
        <v>3.2724384432089013E-2</v>
      </c>
    </row>
    <row r="588" spans="1:9" x14ac:dyDescent="0.25">
      <c r="A588" s="1" t="s">
        <v>600</v>
      </c>
      <c r="B588" t="str">
        <f>HYPERLINK("https://www.suredividend.com/sure-analysis-research-database/","Farmland Partners Inc")</f>
        <v>Farmland Partners Inc</v>
      </c>
      <c r="C588">
        <v>-9.8734257627011004E-2</v>
      </c>
      <c r="D588">
        <v>0.101738514254652</v>
      </c>
      <c r="E588">
        <v>-6.282770066634201E-2</v>
      </c>
      <c r="F588">
        <v>-9.0544871794871001E-2</v>
      </c>
      <c r="G588">
        <v>-0.11195612202583501</v>
      </c>
      <c r="H588">
        <v>-5.8161942468719996E-3</v>
      </c>
      <c r="I588">
        <v>1.18072127115876</v>
      </c>
    </row>
    <row r="589" spans="1:9" x14ac:dyDescent="0.25">
      <c r="A589" s="1" t="s">
        <v>601</v>
      </c>
      <c r="B589" t="str">
        <f>HYPERLINK("https://www.suredividend.com/sure-analysis-research-database/","First Bank (NJ)")</f>
        <v>First Bank (NJ)</v>
      </c>
      <c r="C589">
        <v>-2.1052631578947E-2</v>
      </c>
      <c r="D589">
        <v>0.25161498708010299</v>
      </c>
      <c r="E589">
        <v>0.199958711098112</v>
      </c>
      <c r="F589">
        <v>-5.1020408163265002E-2</v>
      </c>
      <c r="G589">
        <v>2.9664676227662001E-2</v>
      </c>
      <c r="H589">
        <v>2.383818219182E-2</v>
      </c>
      <c r="I589">
        <v>0.33677028632757</v>
      </c>
    </row>
    <row r="590" spans="1:9" x14ac:dyDescent="0.25">
      <c r="A590" s="1" t="s">
        <v>602</v>
      </c>
      <c r="B590" t="str">
        <f>HYPERLINK("https://www.suredividend.com/sure-analysis-research-database/","Republic First Bancorp, Inc.")</f>
        <v>Republic First Bancorp, Inc.</v>
      </c>
      <c r="C590">
        <v>0.99501246882793004</v>
      </c>
      <c r="D590">
        <v>-0.2</v>
      </c>
      <c r="E590">
        <v>-0.76470588235294101</v>
      </c>
      <c r="F590">
        <v>1.666666666666667</v>
      </c>
      <c r="G590">
        <v>-0.76470588235294101</v>
      </c>
      <c r="H590">
        <v>-0.76470588235294101</v>
      </c>
      <c r="I590">
        <v>-0.76470588235294101</v>
      </c>
    </row>
    <row r="591" spans="1:9" x14ac:dyDescent="0.25">
      <c r="A591" s="1" t="s">
        <v>603</v>
      </c>
      <c r="B591" t="str">
        <f>HYPERLINK("https://www.suredividend.com/sure-analysis-research-database/","Whole Earth Brands Inc")</f>
        <v>Whole Earth Brands Inc</v>
      </c>
      <c r="C591">
        <v>0.13479623824451401</v>
      </c>
      <c r="D591">
        <v>0.100303951367781</v>
      </c>
      <c r="E591">
        <v>-8.585858585858501E-2</v>
      </c>
      <c r="F591">
        <v>6.1583577712609007E-2</v>
      </c>
      <c r="G591">
        <v>-0.177272727272727</v>
      </c>
      <c r="H591">
        <v>-0.63471241170534809</v>
      </c>
      <c r="I591">
        <v>-0.62680412371134009</v>
      </c>
    </row>
    <row r="592" spans="1:9" x14ac:dyDescent="0.25">
      <c r="A592" s="1" t="s">
        <v>604</v>
      </c>
      <c r="B592" t="str">
        <f>HYPERLINK("https://www.suredividend.com/sure-analysis-research-database/","Franchise Group Inc")</f>
        <v>Franchise Group Inc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s="1" t="s">
        <v>605</v>
      </c>
      <c r="B593" t="str">
        <f>HYPERLINK("https://www.suredividend.com/sure-analysis-research-database/","First Merchants Corp.")</f>
        <v>First Merchants Corp.</v>
      </c>
      <c r="C593">
        <v>-4.8100573927302007E-2</v>
      </c>
      <c r="D593">
        <v>0.30409875655699897</v>
      </c>
      <c r="E593">
        <v>0.22353916519710801</v>
      </c>
      <c r="F593">
        <v>-6.0679611650485007E-2</v>
      </c>
      <c r="G593">
        <v>-0.108080285578198</v>
      </c>
      <c r="H593">
        <v>-0.150796417887158</v>
      </c>
      <c r="I593">
        <v>0.164283278846346</v>
      </c>
    </row>
    <row r="594" spans="1:9" x14ac:dyDescent="0.25">
      <c r="A594" s="1" t="s">
        <v>606</v>
      </c>
      <c r="B594" t="str">
        <f>HYPERLINK("https://www.suredividend.com/sure-analysis-research-database/","Frontline Plc")</f>
        <v>Frontline Plc</v>
      </c>
      <c r="C594">
        <v>0.190322580645161</v>
      </c>
      <c r="D594">
        <v>9.1559885420723006E-2</v>
      </c>
      <c r="E594">
        <v>0.48511862837824199</v>
      </c>
      <c r="F594">
        <v>0.104239401496259</v>
      </c>
      <c r="G594">
        <v>0.83028148638035704</v>
      </c>
      <c r="H594">
        <v>2.4303244398996</v>
      </c>
      <c r="I594">
        <v>4.6875690394841616</v>
      </c>
    </row>
    <row r="595" spans="1:9" x14ac:dyDescent="0.25">
      <c r="A595" s="1" t="s">
        <v>607</v>
      </c>
      <c r="B595" t="str">
        <f>HYPERLINK("https://www.suredividend.com/sure-analysis-research-database/","FRP Holdings Inc")</f>
        <v>FRP Holdings Inc</v>
      </c>
      <c r="C595">
        <v>-7.0161670067493007E-2</v>
      </c>
      <c r="D595">
        <v>7.163531114327E-2</v>
      </c>
      <c r="E595">
        <v>2.8472222222222E-2</v>
      </c>
      <c r="F595">
        <v>-5.7888040712468003E-2</v>
      </c>
      <c r="G595">
        <v>6.1648745519713007E-2</v>
      </c>
      <c r="H595">
        <v>3.6026582721231E-2</v>
      </c>
      <c r="I595">
        <v>0.218930041152263</v>
      </c>
    </row>
    <row r="596" spans="1:9" x14ac:dyDescent="0.25">
      <c r="A596" s="1" t="s">
        <v>608</v>
      </c>
      <c r="B596" t="str">
        <f>HYPERLINK("https://www.suredividend.com/sure-analysis-research-database/","Primis Financial Corp")</f>
        <v>Primis Financial Corp</v>
      </c>
      <c r="C596">
        <v>0.100884955752212</v>
      </c>
      <c r="D596">
        <v>0.60354739745804209</v>
      </c>
      <c r="E596">
        <v>0.51130441121086601</v>
      </c>
      <c r="F596">
        <v>-1.73775671406E-2</v>
      </c>
      <c r="G596">
        <v>9.7137212707036014E-2</v>
      </c>
      <c r="H596">
        <v>-0.129455069664588</v>
      </c>
      <c r="I596">
        <v>-9.6462111692971003E-2</v>
      </c>
    </row>
    <row r="597" spans="1:9" x14ac:dyDescent="0.25">
      <c r="A597" s="1" t="s">
        <v>609</v>
      </c>
      <c r="B597" t="str">
        <f>HYPERLINK("https://www.suredividend.com/sure-analysis-research-database/","Five Star Bancorp")</f>
        <v>Five Star Bancorp</v>
      </c>
      <c r="C597">
        <v>4.4158972300280003E-3</v>
      </c>
      <c r="D597">
        <v>0.312324944664156</v>
      </c>
      <c r="E597">
        <v>0.13860800393188299</v>
      </c>
      <c r="F597">
        <v>-4.4308632543926002E-2</v>
      </c>
      <c r="G597">
        <v>-2.8575865817673001E-2</v>
      </c>
      <c r="H597">
        <v>-0.118672725351368</v>
      </c>
      <c r="I597">
        <v>0.136157227449413</v>
      </c>
    </row>
    <row r="598" spans="1:9" x14ac:dyDescent="0.25">
      <c r="A598" s="1" t="s">
        <v>610</v>
      </c>
      <c r="B598" t="str">
        <f>HYPERLINK("https://www.suredividend.com/sure-analysis-research-database/","Fastly Inc")</f>
        <v>Fastly Inc</v>
      </c>
      <c r="C598">
        <v>-3.901895206243E-3</v>
      </c>
      <c r="D598">
        <v>0.21564625850340099</v>
      </c>
      <c r="E598">
        <v>-1.7051705170517E-2</v>
      </c>
      <c r="F598">
        <v>3.9325842696619996E-3</v>
      </c>
      <c r="G598">
        <v>0.84989648033126308</v>
      </c>
      <c r="H598">
        <v>-0.43125397835773299</v>
      </c>
      <c r="I598">
        <v>-0.25510629428928699</v>
      </c>
    </row>
    <row r="599" spans="1:9" x14ac:dyDescent="0.25">
      <c r="A599" s="1" t="s">
        <v>611</v>
      </c>
      <c r="B599" t="str">
        <f>HYPERLINK("https://www.suredividend.com/sure-analysis-research-database/","Franklin Street Properties Corp.")</f>
        <v>Franklin Street Properties Corp.</v>
      </c>
      <c r="C599">
        <v>4.3478260869565001E-2</v>
      </c>
      <c r="D599">
        <v>0.51750301776168306</v>
      </c>
      <c r="E599">
        <v>0.61863887185775601</v>
      </c>
      <c r="F599">
        <v>3.125E-2</v>
      </c>
      <c r="G599">
        <v>-0.126493068193097</v>
      </c>
      <c r="H599">
        <v>-0.54014979968646504</v>
      </c>
      <c r="I599">
        <v>-0.48010004135567802</v>
      </c>
    </row>
    <row r="600" spans="1:9" x14ac:dyDescent="0.25">
      <c r="A600" s="1" t="s">
        <v>612</v>
      </c>
      <c r="B600" t="str">
        <f>HYPERLINK("https://www.suredividend.com/sure-analysis-research-database/","Fisker Inc")</f>
        <v>Fisker Inc</v>
      </c>
      <c r="C600">
        <v>-0.304054054054054</v>
      </c>
      <c r="D600">
        <v>-0.83413848631239906</v>
      </c>
      <c r="E600">
        <v>-0.84534534534534511</v>
      </c>
      <c r="F600">
        <v>-0.41142857142857098</v>
      </c>
      <c r="G600">
        <v>-0.85832187070151311</v>
      </c>
      <c r="H600">
        <v>-0.93133333333333312</v>
      </c>
      <c r="I600">
        <v>-0.89337474120082805</v>
      </c>
    </row>
    <row r="601" spans="1:9" x14ac:dyDescent="0.25">
      <c r="A601" s="1" t="s">
        <v>613</v>
      </c>
      <c r="B601" t="str">
        <f>HYPERLINK("https://www.suredividend.com/sure-analysis-research-database/","Federal Signal Corp.")</f>
        <v>Federal Signal Corp.</v>
      </c>
      <c r="C601">
        <v>-8.8129256242480015E-3</v>
      </c>
      <c r="D601">
        <v>0.234841049357044</v>
      </c>
      <c r="E601">
        <v>0.16544517085240901</v>
      </c>
      <c r="F601">
        <v>-3.2707844670314998E-2</v>
      </c>
      <c r="G601">
        <v>0.46792147618755697</v>
      </c>
      <c r="H601">
        <v>0.80237273155499811</v>
      </c>
      <c r="I601">
        <v>2.5369345931548422</v>
      </c>
    </row>
    <row r="602" spans="1:9" x14ac:dyDescent="0.25">
      <c r="A602" s="1" t="s">
        <v>614</v>
      </c>
      <c r="B602" t="str">
        <f>HYPERLINK("https://www.suredividend.com/sure-analysis-research-database/","FTC Solar Inc")</f>
        <v>FTC Solar Inc</v>
      </c>
      <c r="C602">
        <v>-0.30281085061986002</v>
      </c>
      <c r="D602">
        <v>-0.56641221374045803</v>
      </c>
      <c r="E602">
        <v>-0.8241486068111451</v>
      </c>
      <c r="F602">
        <v>-0.18013856812932999</v>
      </c>
      <c r="G602">
        <v>-0.77460317460317407</v>
      </c>
      <c r="H602">
        <v>-0.90657894736842104</v>
      </c>
      <c r="I602">
        <v>-0.96016830294530109</v>
      </c>
    </row>
    <row r="603" spans="1:9" x14ac:dyDescent="0.25">
      <c r="A603" s="1" t="s">
        <v>615</v>
      </c>
      <c r="B603" t="str">
        <f>HYPERLINK("https://www.suredividend.com/sure-analysis-research-database/","Frontdoor Inc.")</f>
        <v>Frontdoor Inc.</v>
      </c>
      <c r="C603">
        <v>-9.2039800995024013E-2</v>
      </c>
      <c r="D603">
        <v>6.6904839233517005E-2</v>
      </c>
      <c r="E603">
        <v>-3.6939313984168012E-2</v>
      </c>
      <c r="F603">
        <v>-6.7291311754684002E-2</v>
      </c>
      <c r="G603">
        <v>0.37390213299874497</v>
      </c>
      <c r="H603">
        <v>-0.120246384574183</v>
      </c>
      <c r="I603">
        <v>0.26200537840952698</v>
      </c>
    </row>
    <row r="604" spans="1:9" x14ac:dyDescent="0.25">
      <c r="A604" s="1" t="s">
        <v>616</v>
      </c>
      <c r="B604" t="str">
        <f>HYPERLINK("https://www.suredividend.com/sure-analysis-research-database/","fuboTV Inc")</f>
        <v>fuboTV Inc</v>
      </c>
      <c r="C604">
        <v>-0.19705882352941101</v>
      </c>
      <c r="D604">
        <v>0.16666666666666599</v>
      </c>
      <c r="E604">
        <v>-9.6026490066225004E-2</v>
      </c>
      <c r="F604">
        <v>-0.14150943396226401</v>
      </c>
      <c r="G604">
        <v>0.24657534246575299</v>
      </c>
      <c r="H604">
        <v>-0.7992647058823531</v>
      </c>
      <c r="I604">
        <v>5.3488372093023253</v>
      </c>
    </row>
    <row r="605" spans="1:9" x14ac:dyDescent="0.25">
      <c r="A605" s="1" t="s">
        <v>617</v>
      </c>
      <c r="B605" t="str">
        <f>HYPERLINK("https://www.suredividend.com/sure-analysis-FUL/","H.B. Fuller Company")</f>
        <v>H.B. Fuller Company</v>
      </c>
      <c r="C605">
        <v>-2.0984261803647E-2</v>
      </c>
      <c r="D605">
        <v>0.117073205492727</v>
      </c>
      <c r="E605">
        <v>9.8978138214938005E-2</v>
      </c>
      <c r="F605">
        <v>-3.7219014863037997E-2</v>
      </c>
      <c r="G605">
        <v>6.8525794305376003E-2</v>
      </c>
      <c r="H605">
        <v>4.0066029198281013E-2</v>
      </c>
      <c r="I605">
        <v>0.86308090544115612</v>
      </c>
    </row>
    <row r="606" spans="1:9" x14ac:dyDescent="0.25">
      <c r="A606" s="1" t="s">
        <v>618</v>
      </c>
      <c r="B606" t="str">
        <f>HYPERLINK("https://www.suredividend.com/sure-analysis-research-database/","Fulcrum Therapeutics Inc")</f>
        <v>Fulcrum Therapeutics Inc</v>
      </c>
      <c r="C606">
        <v>0.43724696356275211</v>
      </c>
      <c r="D606">
        <v>0.8251928020565551</v>
      </c>
      <c r="E606">
        <v>0.90860215053763405</v>
      </c>
      <c r="F606">
        <v>5.1851851851850997E-2</v>
      </c>
      <c r="G606">
        <v>-0.48175182481751799</v>
      </c>
      <c r="H606">
        <v>-0.50245269796776404</v>
      </c>
      <c r="I606">
        <v>-0.47407407407407398</v>
      </c>
    </row>
    <row r="607" spans="1:9" x14ac:dyDescent="0.25">
      <c r="A607" s="1" t="s">
        <v>619</v>
      </c>
      <c r="B607" t="str">
        <f>HYPERLINK("https://www.suredividend.com/sure-analysis-FULT/","Fulton Financial Corp.")</f>
        <v>Fulton Financial Corp.</v>
      </c>
      <c r="C607">
        <v>-1.7106192169054998E-2</v>
      </c>
      <c r="D607">
        <v>0.32706732337126898</v>
      </c>
      <c r="E607">
        <v>0.31175454402684599</v>
      </c>
      <c r="F607">
        <v>-3.5844471445928998E-2</v>
      </c>
      <c r="G607">
        <v>1.4414011313879999E-2</v>
      </c>
      <c r="H607">
        <v>-3.9328801370485E-2</v>
      </c>
      <c r="I607">
        <v>0.24619153814743799</v>
      </c>
    </row>
    <row r="608" spans="1:9" x14ac:dyDescent="0.25">
      <c r="A608" s="1" t="s">
        <v>620</v>
      </c>
      <c r="B608" t="str">
        <f>HYPERLINK("https://www.suredividend.com/sure-analysis-research-database/","FVCBankcorp Inc")</f>
        <v>FVCBankcorp Inc</v>
      </c>
      <c r="C608">
        <v>2.084942084942E-2</v>
      </c>
      <c r="D608">
        <v>0.134763948497854</v>
      </c>
      <c r="E608">
        <v>0.24365004703668799</v>
      </c>
      <c r="F608">
        <v>-6.9014084507042009E-2</v>
      </c>
      <c r="G608">
        <v>-0.13117770767612999</v>
      </c>
      <c r="H608">
        <v>-0.18193069306930601</v>
      </c>
      <c r="I608">
        <v>-5.9476380193511001E-2</v>
      </c>
    </row>
    <row r="609" spans="1:9" x14ac:dyDescent="0.25">
      <c r="A609" s="1" t="s">
        <v>621</v>
      </c>
      <c r="B609" t="str">
        <f>HYPERLINK("https://www.suredividend.com/sure-analysis-research-database/","Forward Air Corp.")</f>
        <v>Forward Air Corp.</v>
      </c>
      <c r="C609">
        <v>-0.119962511715088</v>
      </c>
      <c r="D609">
        <v>-0.212070949976155</v>
      </c>
      <c r="E609">
        <v>-0.47466131319752602</v>
      </c>
      <c r="F609">
        <v>-0.10386511849848799</v>
      </c>
      <c r="G609">
        <v>-0.43549696106191399</v>
      </c>
      <c r="H609">
        <v>-0.49175064568596899</v>
      </c>
      <c r="I609">
        <v>3.4347914689246001E-2</v>
      </c>
    </row>
    <row r="610" spans="1:9" x14ac:dyDescent="0.25">
      <c r="A610" s="1" t="s">
        <v>622</v>
      </c>
      <c r="B610" t="str">
        <f>HYPERLINK("https://www.suredividend.com/sure-analysis-research-database/","First Watch Restaurant Group Inc")</f>
        <v>First Watch Restaurant Group Inc</v>
      </c>
      <c r="C610">
        <v>1.7736045905058999E-2</v>
      </c>
      <c r="D610">
        <v>0.19181429444105</v>
      </c>
      <c r="E610">
        <v>6.962719298245601E-2</v>
      </c>
      <c r="F610">
        <v>-2.9353233830845E-2</v>
      </c>
      <c r="G610">
        <v>0.21330845771144299</v>
      </c>
      <c r="H610">
        <v>0.28524374176548001</v>
      </c>
      <c r="I610">
        <v>-0.118391323994577</v>
      </c>
    </row>
    <row r="611" spans="1:9" x14ac:dyDescent="0.25">
      <c r="A611" s="1" t="s">
        <v>623</v>
      </c>
      <c r="B611" t="str">
        <f>HYPERLINK("https://www.suredividend.com/sure-analysis-research-database/","F45 Training Holdings Inc")</f>
        <v>F45 Training Holdings Inc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5">
      <c r="A612" s="1" t="s">
        <v>624</v>
      </c>
      <c r="B612" t="str">
        <f>HYPERLINK("https://www.suredividend.com/sure-analysis-research-database/","German American Bancorp Inc")</f>
        <v>German American Bancorp Inc</v>
      </c>
      <c r="C612">
        <v>-5.2070645554202002E-2</v>
      </c>
      <c r="D612">
        <v>0.21031391180610001</v>
      </c>
      <c r="E612">
        <v>0.168824342184308</v>
      </c>
      <c r="F612">
        <v>-3.9493983338475001E-2</v>
      </c>
      <c r="G612">
        <v>-0.13824365586218501</v>
      </c>
      <c r="H612">
        <v>-0.18944534419280401</v>
      </c>
      <c r="I612">
        <v>0.17763217625518199</v>
      </c>
    </row>
    <row r="613" spans="1:9" x14ac:dyDescent="0.25">
      <c r="A613" s="1" t="s">
        <v>625</v>
      </c>
      <c r="B613" t="str">
        <f>HYPERLINK("https://www.suredividend.com/sure-analysis-research-database/","Gambling.com Group Ltd")</f>
        <v>Gambling.com Group Ltd</v>
      </c>
      <c r="C613">
        <v>-1.3655462184873001E-2</v>
      </c>
      <c r="D613">
        <v>-0.29398496240601502</v>
      </c>
      <c r="E613">
        <v>-0.18134263295553599</v>
      </c>
      <c r="F613">
        <v>-3.6923076923075997E-2</v>
      </c>
      <c r="G613">
        <v>4.3333333333333002E-2</v>
      </c>
      <c r="H613">
        <v>-1.6753926701569999E-2</v>
      </c>
      <c r="I613">
        <v>0.17374999999999999</v>
      </c>
    </row>
    <row r="614" spans="1:9" x14ac:dyDescent="0.25">
      <c r="A614" s="1" t="s">
        <v>626</v>
      </c>
      <c r="B614" t="str">
        <f>HYPERLINK("https://www.suredividend.com/sure-analysis-GATX/","GATX Corp.")</f>
        <v>GATX Corp.</v>
      </c>
      <c r="C614">
        <v>1.3337952537675E-2</v>
      </c>
      <c r="D614">
        <v>8.5979906587164007E-2</v>
      </c>
      <c r="E614">
        <v>-9.0688651794374006E-2</v>
      </c>
      <c r="F614">
        <v>-2.6784228913658E-2</v>
      </c>
      <c r="G614">
        <v>5.4964554994310001E-2</v>
      </c>
      <c r="H614">
        <v>0.198128461900026</v>
      </c>
      <c r="I614">
        <v>0.81173727022293607</v>
      </c>
    </row>
    <row r="615" spans="1:9" x14ac:dyDescent="0.25">
      <c r="A615" s="1" t="s">
        <v>627</v>
      </c>
      <c r="B615" t="str">
        <f>HYPERLINK("https://www.suredividend.com/sure-analysis-research-database/","Glacier Bancorp, Inc.")</f>
        <v>Glacier Bancorp, Inc.</v>
      </c>
      <c r="C615">
        <v>-6.7231075697210003E-3</v>
      </c>
      <c r="D615">
        <v>0.35358909799184202</v>
      </c>
      <c r="E615">
        <v>0.26398975879944703</v>
      </c>
      <c r="F615">
        <v>-3.4607938044530002E-2</v>
      </c>
      <c r="G615">
        <v>-0.15909167566109</v>
      </c>
      <c r="H615">
        <v>-0.26801429840207203</v>
      </c>
      <c r="I615">
        <v>0.13907315025542699</v>
      </c>
    </row>
    <row r="616" spans="1:9" x14ac:dyDescent="0.25">
      <c r="A616" s="1" t="s">
        <v>628</v>
      </c>
      <c r="B616" t="str">
        <f>HYPERLINK("https://www.suredividend.com/sure-analysis-research-database/","Generation Bio Co")</f>
        <v>Generation Bio Co</v>
      </c>
      <c r="C616">
        <v>-5.9113300492610002E-2</v>
      </c>
      <c r="D616">
        <v>-0.41049382716049299</v>
      </c>
      <c r="E616">
        <v>-0.62027833001988009</v>
      </c>
      <c r="F616">
        <v>0.15757575757575701</v>
      </c>
      <c r="G616">
        <v>-0.62549019607843104</v>
      </c>
      <c r="H616">
        <v>-0.71060606060606002</v>
      </c>
      <c r="I616">
        <v>-0.92264074524098805</v>
      </c>
    </row>
    <row r="617" spans="1:9" x14ac:dyDescent="0.25">
      <c r="A617" s="1" t="s">
        <v>629</v>
      </c>
      <c r="B617" t="str">
        <f>HYPERLINK("https://www.suredividend.com/sure-analysis-research-database/","Greenbrier Cos., Inc.")</f>
        <v>Greenbrier Cos., Inc.</v>
      </c>
      <c r="C617">
        <v>0.13575432610285099</v>
      </c>
      <c r="D617">
        <v>0.163159300407105</v>
      </c>
      <c r="E617">
        <v>7.146388178028501E-2</v>
      </c>
      <c r="F617">
        <v>5.4775916704390998E-2</v>
      </c>
      <c r="G617">
        <v>0.64489939992940304</v>
      </c>
      <c r="H617">
        <v>0.20256823155373799</v>
      </c>
      <c r="I617">
        <v>0.39067531312576598</v>
      </c>
    </row>
    <row r="618" spans="1:9" x14ac:dyDescent="0.25">
      <c r="A618" s="1" t="s">
        <v>630</v>
      </c>
      <c r="B618" t="str">
        <f>HYPERLINK("https://www.suredividend.com/sure-analysis-research-database/","Greene County Bancorp Inc")</f>
        <v>Greene County Bancorp Inc</v>
      </c>
      <c r="C618">
        <v>0.12401818933443499</v>
      </c>
      <c r="D618">
        <v>0.13362045603312001</v>
      </c>
      <c r="E618">
        <v>-5.6944068701919003E-2</v>
      </c>
      <c r="F618">
        <v>-3.5815602836879012E-2</v>
      </c>
      <c r="G618">
        <v>1.0511311773447689</v>
      </c>
      <c r="H618">
        <v>2.0635238975144778</v>
      </c>
      <c r="I618">
        <v>2.8291999380342778</v>
      </c>
    </row>
    <row r="619" spans="1:9" x14ac:dyDescent="0.25">
      <c r="A619" s="1" t="s">
        <v>631</v>
      </c>
      <c r="B619" t="str">
        <f>HYPERLINK("https://www.suredividend.com/sure-analysis-research-database/","New Media Investment Group Inc")</f>
        <v>New Media Investment Group Inc</v>
      </c>
      <c r="C619">
        <v>3.1111111111110999E-2</v>
      </c>
      <c r="D619">
        <v>-5.6910569105691013E-2</v>
      </c>
      <c r="E619">
        <v>-0.14705882352941099</v>
      </c>
      <c r="F619">
        <v>8.695652173912001E-3</v>
      </c>
      <c r="G619">
        <v>-1.2765957446808E-2</v>
      </c>
      <c r="H619">
        <v>-0.54863813229571901</v>
      </c>
      <c r="I619">
        <v>-0.79190772183802804</v>
      </c>
    </row>
    <row r="620" spans="1:9" x14ac:dyDescent="0.25">
      <c r="A620" s="1" t="s">
        <v>632</v>
      </c>
      <c r="B620" t="str">
        <f>HYPERLINK("https://www.suredividend.com/sure-analysis-research-database/","GCM Grosvenor Inc")</f>
        <v>GCM Grosvenor Inc</v>
      </c>
      <c r="C620">
        <v>-2.354260089686E-2</v>
      </c>
      <c r="D620">
        <v>0.13833888779977699</v>
      </c>
      <c r="E620">
        <v>0.19536128456735</v>
      </c>
      <c r="F620">
        <v>-2.7901785714285001E-2</v>
      </c>
      <c r="G620">
        <v>0.17429757860108899</v>
      </c>
      <c r="H620">
        <v>-7.1131915284100003E-4</v>
      </c>
      <c r="I620">
        <v>-4.7494067342496997E-2</v>
      </c>
    </row>
    <row r="621" spans="1:9" x14ac:dyDescent="0.25">
      <c r="A621" s="1" t="s">
        <v>633</v>
      </c>
      <c r="B621" t="str">
        <f>HYPERLINK("https://www.suredividend.com/sure-analysis-research-database/","Genesco Inc.")</f>
        <v>Genesco Inc.</v>
      </c>
      <c r="C621">
        <v>-0.13358185771978801</v>
      </c>
      <c r="D621">
        <v>2.3861967694566E-2</v>
      </c>
      <c r="E621">
        <v>7.2692307692307001E-2</v>
      </c>
      <c r="F621">
        <v>-0.20789548423743201</v>
      </c>
      <c r="G621">
        <v>-0.41798831385642699</v>
      </c>
      <c r="H621">
        <v>-0.56009463722397401</v>
      </c>
      <c r="I621">
        <v>-0.41259477674810402</v>
      </c>
    </row>
    <row r="622" spans="1:9" x14ac:dyDescent="0.25">
      <c r="A622" s="1" t="s">
        <v>634</v>
      </c>
      <c r="B622" t="str">
        <f>HYPERLINK("https://www.suredividend.com/sure-analysis-research-database/","Golden Entertainment Inc")</f>
        <v>Golden Entertainment Inc</v>
      </c>
      <c r="C622">
        <v>-6.2943913788880007E-2</v>
      </c>
      <c r="D622">
        <v>0.138351681047307</v>
      </c>
      <c r="E622">
        <v>2.1563371105723001E-2</v>
      </c>
      <c r="F622">
        <v>-4.1823190583521012E-2</v>
      </c>
      <c r="G622">
        <v>9.2609039583517003E-2</v>
      </c>
      <c r="H622">
        <v>-7.2792793666103001E-2</v>
      </c>
      <c r="I622">
        <v>1.2844382347848411</v>
      </c>
    </row>
    <row r="623" spans="1:9" x14ac:dyDescent="0.25">
      <c r="A623" s="1" t="s">
        <v>635</v>
      </c>
      <c r="B623" t="str">
        <f>HYPERLINK("https://www.suredividend.com/sure-analysis-research-database/","Green Dot Corp.")</f>
        <v>Green Dot Corp.</v>
      </c>
      <c r="C623">
        <v>-4.3570669500530998E-2</v>
      </c>
      <c r="D623">
        <v>-0.237933954276037</v>
      </c>
      <c r="E623">
        <v>-0.53893442622950805</v>
      </c>
      <c r="F623">
        <v>-9.090909090909001E-2</v>
      </c>
      <c r="G623">
        <v>-0.48688711516533612</v>
      </c>
      <c r="H623">
        <v>-0.74358974358974306</v>
      </c>
      <c r="I623">
        <v>-0.89032415305873702</v>
      </c>
    </row>
    <row r="624" spans="1:9" x14ac:dyDescent="0.25">
      <c r="A624" s="1" t="s">
        <v>636</v>
      </c>
      <c r="B624" t="str">
        <f>HYPERLINK("https://www.suredividend.com/sure-analysis-research-database/","Grid Dynamics Holdings Inc")</f>
        <v>Grid Dynamics Holdings Inc</v>
      </c>
      <c r="C624">
        <v>-2.9191616766465998E-2</v>
      </c>
      <c r="D624">
        <v>9.9618482407799011E-2</v>
      </c>
      <c r="E624">
        <v>0.202038924930491</v>
      </c>
      <c r="F624">
        <v>-2.7006751687921E-2</v>
      </c>
      <c r="G624">
        <v>0.107600341588385</v>
      </c>
      <c r="H624">
        <v>-0.58628389154704907</v>
      </c>
      <c r="I624">
        <v>0.33987603305785102</v>
      </c>
    </row>
    <row r="625" spans="1:9" x14ac:dyDescent="0.25">
      <c r="A625" s="1" t="s">
        <v>637</v>
      </c>
      <c r="B625" t="str">
        <f>HYPERLINK("https://www.suredividend.com/sure-analysis-GEF/","Greif Inc")</f>
        <v>Greif Inc</v>
      </c>
      <c r="C625">
        <v>-1.8478142457993001E-2</v>
      </c>
      <c r="D625">
        <v>2.4273251941929999E-3</v>
      </c>
      <c r="E625">
        <v>-9.4563417361396007E-2</v>
      </c>
      <c r="F625">
        <v>-2.4698887025461001E-2</v>
      </c>
      <c r="G625">
        <v>-6.4232530243852004E-2</v>
      </c>
      <c r="H625">
        <v>0.106848897909323</v>
      </c>
      <c r="I625">
        <v>0.94498581622818112</v>
      </c>
    </row>
    <row r="626" spans="1:9" x14ac:dyDescent="0.25">
      <c r="A626" s="1" t="s">
        <v>638</v>
      </c>
      <c r="B626" t="str">
        <f>HYPERLINK("https://www.suredividend.com/sure-analysis-research-database/","Geo Group, Inc.")</f>
        <v>Geo Group, Inc.</v>
      </c>
      <c r="C626">
        <v>5.5118110236220007E-2</v>
      </c>
      <c r="D626">
        <v>0.26415094339622602</v>
      </c>
      <c r="E626">
        <v>0.44279946164199202</v>
      </c>
      <c r="F626">
        <v>-1.0156971375807001E-2</v>
      </c>
      <c r="G626">
        <v>-6.8635968722849008E-2</v>
      </c>
      <c r="H626">
        <v>0.37966537966537911</v>
      </c>
      <c r="I626">
        <v>-0.36653134547087601</v>
      </c>
    </row>
    <row r="627" spans="1:9" x14ac:dyDescent="0.25">
      <c r="A627" s="1" t="s">
        <v>639</v>
      </c>
      <c r="B627" t="str">
        <f>HYPERLINK("https://www.suredividend.com/sure-analysis-research-database/","Geron Corp.")</f>
        <v>Geron Corp.</v>
      </c>
      <c r="C627">
        <v>-2.8708133971290999E-2</v>
      </c>
      <c r="D627">
        <v>0.14044943820224601</v>
      </c>
      <c r="E627">
        <v>-0.36760124610591899</v>
      </c>
      <c r="F627">
        <v>-3.7914691943128E-2</v>
      </c>
      <c r="G627">
        <v>-0.35759493670886</v>
      </c>
      <c r="H627">
        <v>0.81249999999999911</v>
      </c>
      <c r="I627">
        <v>0.6916666666666661</v>
      </c>
    </row>
    <row r="628" spans="1:9" x14ac:dyDescent="0.25">
      <c r="A628" s="1" t="s">
        <v>640</v>
      </c>
      <c r="B628" t="str">
        <f>HYPERLINK("https://www.suredividend.com/sure-analysis-research-database/","Guess Inc.")</f>
        <v>Guess Inc.</v>
      </c>
      <c r="C628">
        <v>7.0733863837310002E-3</v>
      </c>
      <c r="D628">
        <v>8.961327816707701E-2</v>
      </c>
      <c r="E628">
        <v>0.17170220864323199</v>
      </c>
      <c r="F628">
        <v>-1.2142237640936001E-2</v>
      </c>
      <c r="G628">
        <v>6.1801706899846008E-2</v>
      </c>
      <c r="H628">
        <v>9.1074550374787011E-2</v>
      </c>
      <c r="I628">
        <v>0.225455914788315</v>
      </c>
    </row>
    <row r="629" spans="1:9" x14ac:dyDescent="0.25">
      <c r="A629" s="1" t="s">
        <v>641</v>
      </c>
      <c r="B629" t="str">
        <f>HYPERLINK("https://www.suredividend.com/sure-analysis-research-database/","Gevo Inc")</f>
        <v>Gevo Inc</v>
      </c>
      <c r="C629">
        <v>-0.15702479338842901</v>
      </c>
      <c r="D629">
        <v>0</v>
      </c>
      <c r="E629">
        <v>-0.41040462427745611</v>
      </c>
      <c r="F629">
        <v>-0.12068965517241299</v>
      </c>
      <c r="G629">
        <v>-0.50961538461538403</v>
      </c>
      <c r="H629">
        <v>-0.74814814814814801</v>
      </c>
      <c r="I629">
        <v>-0.6194029850746261</v>
      </c>
    </row>
    <row r="630" spans="1:9" x14ac:dyDescent="0.25">
      <c r="A630" s="1" t="s">
        <v>642</v>
      </c>
      <c r="B630" t="str">
        <f>HYPERLINK("https://www.suredividend.com/sure-analysis-research-database/","Griffon Corp.")</f>
        <v>Griffon Corp.</v>
      </c>
      <c r="C630">
        <v>8.8724584103512014E-2</v>
      </c>
      <c r="D630">
        <v>0.49025640506636498</v>
      </c>
      <c r="E630">
        <v>0.42820078223696512</v>
      </c>
      <c r="F630">
        <v>-3.3634126333058997E-2</v>
      </c>
      <c r="G630">
        <v>0.60790137476932404</v>
      </c>
      <c r="H630">
        <v>1.649811049127226</v>
      </c>
      <c r="I630">
        <v>4.8816480597551468</v>
      </c>
    </row>
    <row r="631" spans="1:9" x14ac:dyDescent="0.25">
      <c r="A631" s="1" t="s">
        <v>643</v>
      </c>
      <c r="B631" t="str">
        <f>HYPERLINK("https://www.suredividend.com/sure-analysis-research-database/","Graham Holdings Co.")</f>
        <v>Graham Holdings Co.</v>
      </c>
      <c r="C631">
        <v>1.9788028242913001E-2</v>
      </c>
      <c r="D631">
        <v>0.159961143083586</v>
      </c>
      <c r="E631">
        <v>0.20724285374059401</v>
      </c>
      <c r="F631">
        <v>-2.3330270487566002E-2</v>
      </c>
      <c r="G631">
        <v>8.3771954001306007E-2</v>
      </c>
      <c r="H631">
        <v>0.115920789259654</v>
      </c>
      <c r="I631">
        <v>8.0292814664045004E-2</v>
      </c>
    </row>
    <row r="632" spans="1:9" x14ac:dyDescent="0.25">
      <c r="A632" s="1" t="s">
        <v>644</v>
      </c>
      <c r="B632" t="str">
        <f>HYPERLINK("https://www.suredividend.com/sure-analysis-research-database/","Global Industrial Co")</f>
        <v>Global Industrial Co</v>
      </c>
      <c r="C632">
        <v>2.5998391852049999E-2</v>
      </c>
      <c r="D632">
        <v>0.14463073100280699</v>
      </c>
      <c r="E632">
        <v>0.42078774292204202</v>
      </c>
      <c r="F632">
        <v>-1.4418125643665999E-2</v>
      </c>
      <c r="G632">
        <v>0.51969891858415507</v>
      </c>
      <c r="H632">
        <v>8.0727034550515012E-2</v>
      </c>
      <c r="I632">
        <v>0.75888805927287306</v>
      </c>
    </row>
    <row r="633" spans="1:9" x14ac:dyDescent="0.25">
      <c r="A633" s="1" t="s">
        <v>645</v>
      </c>
      <c r="B633" t="str">
        <f>HYPERLINK("https://www.suredividend.com/sure-analysis-research-database/","G-III Apparel Group Ltd.")</f>
        <v>G-III Apparel Group Ltd.</v>
      </c>
      <c r="C633">
        <v>-5.7812036762525013E-2</v>
      </c>
      <c r="D633">
        <v>0.35811965811965801</v>
      </c>
      <c r="E633">
        <v>0.59859154929577407</v>
      </c>
      <c r="F633">
        <v>-6.4743967039434011E-2</v>
      </c>
      <c r="G633">
        <v>1.0397946084723999</v>
      </c>
      <c r="H633">
        <v>0.15689843465598799</v>
      </c>
      <c r="I633">
        <v>-5.3208137715170002E-3</v>
      </c>
    </row>
    <row r="634" spans="1:9" x14ac:dyDescent="0.25">
      <c r="A634" s="1" t="s">
        <v>646</v>
      </c>
      <c r="B634" t="str">
        <f>HYPERLINK("https://www.suredividend.com/sure-analysis-research-database/","Glaukos Corporation")</f>
        <v>Glaukos Corporation</v>
      </c>
      <c r="C634">
        <v>0.46458126448195902</v>
      </c>
      <c r="D634">
        <v>0.34913858819942001</v>
      </c>
      <c r="E634">
        <v>0.23520379676158501</v>
      </c>
      <c r="F634">
        <v>0.113221788904264</v>
      </c>
      <c r="G634">
        <v>0.79821174558016605</v>
      </c>
      <c r="H634">
        <v>0.70336862367661102</v>
      </c>
      <c r="I634">
        <v>0.53575147518222799</v>
      </c>
    </row>
    <row r="635" spans="1:9" x14ac:dyDescent="0.25">
      <c r="A635" s="1" t="s">
        <v>647</v>
      </c>
      <c r="B635" t="str">
        <f>HYPERLINK("https://www.suredividend.com/sure-analysis-research-database/","Great Lakes Dredge &amp; Dock Corporation")</f>
        <v>Great Lakes Dredge &amp; Dock Corporation</v>
      </c>
      <c r="C635">
        <v>2.1857923497267E-2</v>
      </c>
      <c r="D635">
        <v>-7.080745341614901E-2</v>
      </c>
      <c r="E635">
        <v>-8.8915956151035008E-2</v>
      </c>
      <c r="F635">
        <v>-2.6041666666666002E-2</v>
      </c>
      <c r="G635">
        <v>0.16874999999999901</v>
      </c>
      <c r="H635">
        <v>-0.50199733688415404</v>
      </c>
      <c r="I635">
        <v>5.2039381153305003E-2</v>
      </c>
    </row>
    <row r="636" spans="1:9" x14ac:dyDescent="0.25">
      <c r="A636" s="1" t="s">
        <v>648</v>
      </c>
      <c r="B636" t="str">
        <f>HYPERLINK("https://www.suredividend.com/sure-analysis-research-database/","Golar Lng")</f>
        <v>Golar Lng</v>
      </c>
      <c r="C636">
        <v>8.2198215124471008E-2</v>
      </c>
      <c r="D636">
        <v>-2.1061621281712E-2</v>
      </c>
      <c r="E636">
        <v>1.0220591136892001E-2</v>
      </c>
      <c r="F636">
        <v>2.1748586341879999E-3</v>
      </c>
      <c r="G636">
        <v>6.9116725830027009E-2</v>
      </c>
      <c r="H636">
        <v>0.7730578321597591</v>
      </c>
      <c r="I636">
        <v>7.4401361654503007E-2</v>
      </c>
    </row>
    <row r="637" spans="1:9" x14ac:dyDescent="0.25">
      <c r="A637" s="1" t="s">
        <v>649</v>
      </c>
      <c r="B637" t="str">
        <f>HYPERLINK("https://www.suredividend.com/sure-analysis-research-database/","Greenlight Capital Re Ltd")</f>
        <v>Greenlight Capital Re Ltd</v>
      </c>
      <c r="C637">
        <v>0</v>
      </c>
      <c r="D637">
        <v>0</v>
      </c>
      <c r="E637">
        <v>8.59375E-2</v>
      </c>
      <c r="F637">
        <v>-2.6269702276707E-2</v>
      </c>
      <c r="G637">
        <v>0.21264994547437199</v>
      </c>
      <c r="H637">
        <v>0.46315789473684199</v>
      </c>
      <c r="I637">
        <v>0.12893401015228401</v>
      </c>
    </row>
    <row r="638" spans="1:9" x14ac:dyDescent="0.25">
      <c r="A638" s="1" t="s">
        <v>650</v>
      </c>
      <c r="B638" t="str">
        <f>HYPERLINK("https://www.suredividend.com/sure-analysis-research-database/","Glatfelter Corporation")</f>
        <v>Glatfelter Corporation</v>
      </c>
      <c r="C638">
        <v>-8.783783783783701E-2</v>
      </c>
      <c r="D638">
        <v>-0.232954545454545</v>
      </c>
      <c r="E638">
        <v>-0.58588957055214708</v>
      </c>
      <c r="F638">
        <v>-0.30412371134020599</v>
      </c>
      <c r="G638">
        <v>-0.6142857142857141</v>
      </c>
      <c r="H638">
        <v>-0.9238797638581121</v>
      </c>
      <c r="I638">
        <v>-0.87038672760090607</v>
      </c>
    </row>
    <row r="639" spans="1:9" x14ac:dyDescent="0.25">
      <c r="A639" s="1" t="s">
        <v>651</v>
      </c>
      <c r="B639" t="str">
        <f>HYPERLINK("https://www.suredividend.com/sure-analysis-research-database/","Monte Rosa Therapeutics Inc")</f>
        <v>Monte Rosa Therapeutics Inc</v>
      </c>
      <c r="C639">
        <v>0.20140280561122201</v>
      </c>
      <c r="D639">
        <v>0.241200828157349</v>
      </c>
      <c r="E639">
        <v>-0.16387726638772601</v>
      </c>
      <c r="F639">
        <v>6.1061946902654013E-2</v>
      </c>
      <c r="G639">
        <v>-0.23239436619718301</v>
      </c>
      <c r="H639">
        <v>-0.60429042904290409</v>
      </c>
      <c r="I639">
        <v>-0.71694995278564611</v>
      </c>
    </row>
    <row r="640" spans="1:9" x14ac:dyDescent="0.25">
      <c r="A640" s="1" t="s">
        <v>652</v>
      </c>
      <c r="B640" t="str">
        <f>HYPERLINK("https://www.suredividend.com/sure-analysis-GMRE/","Global Medical REIT Inc")</f>
        <v>Global Medical REIT Inc</v>
      </c>
      <c r="C640">
        <v>2.651873647122E-3</v>
      </c>
      <c r="D640">
        <v>0.21910925269742099</v>
      </c>
      <c r="E640">
        <v>0.14416475972539999</v>
      </c>
      <c r="F640">
        <v>-3.6036036036036001E-2</v>
      </c>
      <c r="G640">
        <v>0.13702778810902599</v>
      </c>
      <c r="H640">
        <v>-0.26430648854174499</v>
      </c>
      <c r="I640">
        <v>0.61258722288366707</v>
      </c>
    </row>
    <row r="641" spans="1:9" x14ac:dyDescent="0.25">
      <c r="A641" s="1" t="s">
        <v>653</v>
      </c>
      <c r="B641" t="str">
        <f>HYPERLINK("https://www.suredividend.com/sure-analysis-research-database/","GMS Inc")</f>
        <v>GMS Inc</v>
      </c>
      <c r="C641">
        <v>7.6861058855146006E-2</v>
      </c>
      <c r="D641">
        <v>0.36594511675472902</v>
      </c>
      <c r="E641">
        <v>0.12793807178043601</v>
      </c>
      <c r="F641">
        <v>-2.7781147640421999E-2</v>
      </c>
      <c r="G641">
        <v>0.50695750282060903</v>
      </c>
      <c r="H641">
        <v>0.41540091840339111</v>
      </c>
      <c r="I641">
        <v>3.4596549805230938</v>
      </c>
    </row>
    <row r="642" spans="1:9" x14ac:dyDescent="0.25">
      <c r="A642" s="1" t="s">
        <v>654</v>
      </c>
      <c r="B642" t="str">
        <f>HYPERLINK("https://www.suredividend.com/sure-analysis-research-database/","Genco Shipping &amp; Trading Limited")</f>
        <v>Genco Shipping &amp; Trading Limited</v>
      </c>
      <c r="C642">
        <v>8.2824168363883011E-2</v>
      </c>
      <c r="D642">
        <v>0.117784334199995</v>
      </c>
      <c r="E642">
        <v>0.18058074210047101</v>
      </c>
      <c r="F642">
        <v>-3.8577456298975001E-2</v>
      </c>
      <c r="G642">
        <v>4.7749801288830003E-2</v>
      </c>
      <c r="H642">
        <v>0.26211671612264997</v>
      </c>
      <c r="I642">
        <v>1.383015597920277</v>
      </c>
    </row>
    <row r="643" spans="1:9" x14ac:dyDescent="0.25">
      <c r="A643" s="1" t="s">
        <v>655</v>
      </c>
      <c r="B643" t="str">
        <f>HYPERLINK("https://www.suredividend.com/sure-analysis-GNL/","Global Net Lease Inc")</f>
        <v>Global Net Lease Inc</v>
      </c>
      <c r="C643">
        <v>2.0374612290526999E-2</v>
      </c>
      <c r="D643">
        <v>0.191695253699247</v>
      </c>
      <c r="E643">
        <v>-6.2795707584207008E-2</v>
      </c>
      <c r="F643">
        <v>-2.9874852813987999E-2</v>
      </c>
      <c r="G643">
        <v>-0.217351099155142</v>
      </c>
      <c r="H643">
        <v>-0.192394104737202</v>
      </c>
      <c r="I643">
        <v>-0.15860061997849001</v>
      </c>
    </row>
    <row r="644" spans="1:9" x14ac:dyDescent="0.25">
      <c r="A644" s="1" t="s">
        <v>656</v>
      </c>
      <c r="B644" t="str">
        <f>HYPERLINK("https://www.suredividend.com/sure-analysis-research-database/","Guaranty Bancshares, Inc. (TX)")</f>
        <v>Guaranty Bancshares, Inc. (TX)</v>
      </c>
      <c r="C644">
        <v>2.0924468241819E-2</v>
      </c>
      <c r="D644">
        <v>0.13060470328719401</v>
      </c>
      <c r="E644">
        <v>0.19866747881276201</v>
      </c>
      <c r="F644">
        <v>-5.1754907792979997E-2</v>
      </c>
      <c r="G644">
        <v>-7.4036422783118006E-2</v>
      </c>
      <c r="H644">
        <v>-9.8171449262243013E-2</v>
      </c>
      <c r="I644">
        <v>0.31337183913254801</v>
      </c>
    </row>
    <row r="645" spans="1:9" x14ac:dyDescent="0.25">
      <c r="A645" s="1" t="s">
        <v>657</v>
      </c>
      <c r="B645" t="str">
        <f>HYPERLINK("https://www.suredividend.com/sure-analysis-research-database/","Genworth Financial Inc")</f>
        <v>Genworth Financial Inc</v>
      </c>
      <c r="C645">
        <v>-2.2012578616351999E-2</v>
      </c>
      <c r="D645">
        <v>3.4941763727121003E-2</v>
      </c>
      <c r="E645">
        <v>9.3145869947275001E-2</v>
      </c>
      <c r="F645">
        <v>-6.8862275449101007E-2</v>
      </c>
      <c r="G645">
        <v>0.164794007490636</v>
      </c>
      <c r="H645">
        <v>0.41363636363636302</v>
      </c>
      <c r="I645">
        <v>0.295833333333333</v>
      </c>
    </row>
    <row r="646" spans="1:9" x14ac:dyDescent="0.25">
      <c r="A646" s="1" t="s">
        <v>658</v>
      </c>
      <c r="B646" t="str">
        <f>HYPERLINK("https://www.suredividend.com/sure-analysis-research-database/","Canoo Inc")</f>
        <v>Canoo Inc</v>
      </c>
      <c r="C646">
        <v>-0.165160230073952</v>
      </c>
      <c r="D646">
        <v>-0.391616766467065</v>
      </c>
      <c r="E646">
        <v>-0.63400576368876005</v>
      </c>
      <c r="F646">
        <v>-0.20995334370139901</v>
      </c>
      <c r="G646">
        <v>-0.84835820895522407</v>
      </c>
      <c r="H646">
        <v>-0.97037900874635508</v>
      </c>
      <c r="I646">
        <v>-0.97934959349593509</v>
      </c>
    </row>
    <row r="647" spans="1:9" x14ac:dyDescent="0.25">
      <c r="A647" s="1" t="s">
        <v>659</v>
      </c>
      <c r="B647" t="str">
        <f>HYPERLINK("https://www.suredividend.com/sure-analysis-research-database/","Golden Ocean Group Limited")</f>
        <v>Golden Ocean Group Limited</v>
      </c>
      <c r="C647">
        <v>0.13133640552995299</v>
      </c>
      <c r="D647">
        <v>0.24379369743641699</v>
      </c>
      <c r="E647">
        <v>0.29556578756415097</v>
      </c>
      <c r="F647">
        <v>6.1475409836060004E-3</v>
      </c>
      <c r="G647">
        <v>0.16255667759769801</v>
      </c>
      <c r="H647">
        <v>0.41909565167126611</v>
      </c>
      <c r="I647">
        <v>1.477045706790435</v>
      </c>
    </row>
    <row r="648" spans="1:9" x14ac:dyDescent="0.25">
      <c r="A648" s="1" t="s">
        <v>660</v>
      </c>
      <c r="B648" t="str">
        <f>HYPERLINK("https://www.suredividend.com/sure-analysis-research-database/","Gogo Inc")</f>
        <v>Gogo Inc</v>
      </c>
      <c r="C648">
        <v>-0.13654223968565801</v>
      </c>
      <c r="D648">
        <v>-0.220744680851063</v>
      </c>
      <c r="E648">
        <v>-0.49307958477508601</v>
      </c>
      <c r="F648">
        <v>-0.132280355380059</v>
      </c>
      <c r="G648">
        <v>-0.45572755417956601</v>
      </c>
      <c r="H648">
        <v>-0.32798165137614599</v>
      </c>
      <c r="I648">
        <v>1.3131578947368421</v>
      </c>
    </row>
    <row r="649" spans="1:9" x14ac:dyDescent="0.25">
      <c r="A649" s="1" t="s">
        <v>661</v>
      </c>
      <c r="B649" t="str">
        <f>HYPERLINK("https://www.suredividend.com/sure-analysis-research-database/","Acushnet Holdings Corp")</f>
        <v>Acushnet Holdings Corp</v>
      </c>
      <c r="C649">
        <v>5.9613769941225997E-2</v>
      </c>
      <c r="D649">
        <v>0.22020080134898901</v>
      </c>
      <c r="E649">
        <v>0.12699903910383001</v>
      </c>
      <c r="F649">
        <v>-1.108120943485E-3</v>
      </c>
      <c r="G649">
        <v>0.34537561778539599</v>
      </c>
      <c r="H649">
        <v>0.28691991727817401</v>
      </c>
      <c r="I649">
        <v>2.0807387914325188</v>
      </c>
    </row>
    <row r="650" spans="1:9" x14ac:dyDescent="0.25">
      <c r="A650" s="1" t="s">
        <v>662</v>
      </c>
      <c r="B650" t="str">
        <f>HYPERLINK("https://www.suredividend.com/sure-analysis-GOOD/","Gladstone Commercial Corp")</f>
        <v>Gladstone Commercial Corp</v>
      </c>
      <c r="C650">
        <v>2.0609183209577001E-2</v>
      </c>
      <c r="D650">
        <v>0.185123923314475</v>
      </c>
      <c r="E650">
        <v>0.116424788442889</v>
      </c>
      <c r="F650">
        <v>1.7371601208459E-2</v>
      </c>
      <c r="G650">
        <v>-6.0833188077392013E-2</v>
      </c>
      <c r="H650">
        <v>-0.324229410820356</v>
      </c>
      <c r="I650">
        <v>8.9004050415955008E-2</v>
      </c>
    </row>
    <row r="651" spans="1:9" x14ac:dyDescent="0.25">
      <c r="A651" s="1" t="s">
        <v>663</v>
      </c>
      <c r="B651" t="str">
        <f>HYPERLINK("https://www.suredividend.com/sure-analysis-research-database/","Gossamer Bio Inc")</f>
        <v>Gossamer Bio Inc</v>
      </c>
      <c r="C651">
        <v>-9.0093457943925009E-2</v>
      </c>
      <c r="D651">
        <v>0.50688747871846407</v>
      </c>
      <c r="E651">
        <v>-0.36983818770226501</v>
      </c>
      <c r="F651">
        <v>6.6958904109589004E-2</v>
      </c>
      <c r="G651">
        <v>-0.58393162393162301</v>
      </c>
      <c r="H651">
        <v>-0.91599654874892111</v>
      </c>
      <c r="I651">
        <v>-0.9457302118171681</v>
      </c>
    </row>
    <row r="652" spans="1:9" x14ac:dyDescent="0.25">
      <c r="A652" s="1" t="s">
        <v>664</v>
      </c>
      <c r="B652" t="str">
        <f>HYPERLINK("https://www.suredividend.com/sure-analysis-research-database/","Group 1 Automotive, Inc.")</f>
        <v>Group 1 Automotive, Inc.</v>
      </c>
      <c r="C652">
        <v>-4.3147119449393007E-2</v>
      </c>
      <c r="D652">
        <v>0.121138003377168</v>
      </c>
      <c r="E652">
        <v>3.8291451761793001E-2</v>
      </c>
      <c r="F652">
        <v>-0.10126665354072301</v>
      </c>
      <c r="G652">
        <v>0.43355442775069902</v>
      </c>
      <c r="H652">
        <v>0.48417174296971999</v>
      </c>
      <c r="I652">
        <v>3.7730750328510529</v>
      </c>
    </row>
    <row r="653" spans="1:9" x14ac:dyDescent="0.25">
      <c r="A653" s="1" t="s">
        <v>665</v>
      </c>
      <c r="B653" t="str">
        <f>HYPERLINK("https://www.suredividend.com/sure-analysis-research-database/","Granite Point Mortgage Trust Inc")</f>
        <v>Granite Point Mortgage Trust Inc</v>
      </c>
      <c r="C653">
        <v>4.6629004551329997E-2</v>
      </c>
      <c r="D653">
        <v>0.38365368857256499</v>
      </c>
      <c r="E653">
        <v>0.122997700799969</v>
      </c>
      <c r="F653">
        <v>-5.0505050505050006E-3</v>
      </c>
      <c r="G653">
        <v>0.10960910217415699</v>
      </c>
      <c r="H653">
        <v>-0.35625823738930501</v>
      </c>
      <c r="I653">
        <v>-0.49271257145800001</v>
      </c>
    </row>
    <row r="654" spans="1:9" x14ac:dyDescent="0.25">
      <c r="A654" s="1" t="s">
        <v>666</v>
      </c>
      <c r="B654" t="str">
        <f>HYPERLINK("https://www.suredividend.com/sure-analysis-research-database/","Gulfport Energy Corp.")</f>
        <v>Gulfport Energy Corp.</v>
      </c>
      <c r="C654">
        <v>-3.7356760886172E-2</v>
      </c>
      <c r="D654">
        <v>2.9914180629342001E-2</v>
      </c>
      <c r="E654">
        <v>0.18097469540768499</v>
      </c>
      <c r="F654">
        <v>-5.3978978978978007E-2</v>
      </c>
      <c r="G654">
        <v>0.56709364506902105</v>
      </c>
      <c r="H654">
        <v>0.67055548190375103</v>
      </c>
      <c r="I654">
        <v>0.72734749828649703</v>
      </c>
    </row>
    <row r="655" spans="1:9" x14ac:dyDescent="0.25">
      <c r="A655" s="1" t="s">
        <v>667</v>
      </c>
      <c r="B655" t="str">
        <f>HYPERLINK("https://www.suredividend.com/sure-analysis-research-database/","Green Plains Inc")</f>
        <v>Green Plains Inc</v>
      </c>
      <c r="C655">
        <v>-0.17105765559373801</v>
      </c>
      <c r="D655">
        <v>-0.16080402010050199</v>
      </c>
      <c r="E655">
        <v>-0.34922062350119898</v>
      </c>
      <c r="F655">
        <v>-0.13917525773195799</v>
      </c>
      <c r="G655">
        <v>-0.33261604672609901</v>
      </c>
      <c r="H655">
        <v>-0.338311490399268</v>
      </c>
      <c r="I655">
        <v>0.63611973592982207</v>
      </c>
    </row>
    <row r="656" spans="1:9" x14ac:dyDescent="0.25">
      <c r="A656" s="1" t="s">
        <v>668</v>
      </c>
      <c r="B656" t="str">
        <f>HYPERLINK("https://www.suredividend.com/sure-analysis-research-database/","GoPro Inc.")</f>
        <v>GoPro Inc.</v>
      </c>
      <c r="C656">
        <v>-8.333333333333301E-2</v>
      </c>
      <c r="D656">
        <v>0.2</v>
      </c>
      <c r="E656">
        <v>-0.23433874709976801</v>
      </c>
      <c r="F656">
        <v>-4.8991354466857998E-2</v>
      </c>
      <c r="G656">
        <v>-0.41176470588235298</v>
      </c>
      <c r="H656">
        <v>-0.68330134357005701</v>
      </c>
      <c r="I656">
        <v>-0.33867735470941801</v>
      </c>
    </row>
    <row r="657" spans="1:9" x14ac:dyDescent="0.25">
      <c r="A657" s="1" t="s">
        <v>669</v>
      </c>
      <c r="B657" t="str">
        <f>HYPERLINK("https://www.suredividend.com/sure-analysis-research-database/","Green Brick Partners Inc")</f>
        <v>Green Brick Partners Inc</v>
      </c>
      <c r="C657">
        <v>-1.3571990558615001E-2</v>
      </c>
      <c r="D657">
        <v>0.246892093485827</v>
      </c>
      <c r="E657">
        <v>-9.5907697854696008E-2</v>
      </c>
      <c r="F657">
        <v>-3.4462841740469E-2</v>
      </c>
      <c r="G657">
        <v>0.81046931407942202</v>
      </c>
      <c r="H657">
        <v>0.89316723291808209</v>
      </c>
      <c r="I657">
        <v>4.9631391200951249</v>
      </c>
    </row>
    <row r="658" spans="1:9" x14ac:dyDescent="0.25">
      <c r="A658" s="1" t="s">
        <v>670</v>
      </c>
      <c r="B658" t="str">
        <f>HYPERLINK("https://www.suredividend.com/sure-analysis-GRC/","Gorman-Rupp Co.")</f>
        <v>Gorman-Rupp Co.</v>
      </c>
      <c r="C658">
        <v>-4.8675115207373013E-2</v>
      </c>
      <c r="D658">
        <v>5.5858528383190012E-2</v>
      </c>
      <c r="E658">
        <v>0.18174890250839801</v>
      </c>
      <c r="F658">
        <v>-7.0363073459048006E-2</v>
      </c>
      <c r="G658">
        <v>0.21920609492311199</v>
      </c>
      <c r="H658">
        <v>-0.17515320723807401</v>
      </c>
      <c r="I658">
        <v>7.1192289231646999E-2</v>
      </c>
    </row>
    <row r="659" spans="1:9" x14ac:dyDescent="0.25">
      <c r="A659" s="1" t="s">
        <v>671</v>
      </c>
      <c r="B659" t="str">
        <f>HYPERLINK("https://www.suredividend.com/sure-analysis-research-database/","Greenidge Generation Holdings Inc")</f>
        <v>Greenidge Generation Holdings Inc</v>
      </c>
      <c r="C659">
        <v>-0.135849056603773</v>
      </c>
      <c r="D659">
        <v>0.22788203753351199</v>
      </c>
      <c r="E659">
        <v>-0.44146341463414601</v>
      </c>
      <c r="F659">
        <v>-0.31743666169895601</v>
      </c>
      <c r="G659">
        <v>-0.567924528301886</v>
      </c>
      <c r="H659">
        <v>-0.96903313049357609</v>
      </c>
      <c r="I659">
        <v>-0.98944700460829405</v>
      </c>
    </row>
    <row r="660" spans="1:9" x14ac:dyDescent="0.25">
      <c r="A660" s="1" t="s">
        <v>672</v>
      </c>
      <c r="B660" t="str">
        <f>HYPERLINK("https://www.suredividend.com/sure-analysis-research-database/","GreenLight Biosciences Holdings PBC")</f>
        <v>GreenLight Biosciences Holdings PBC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 s="1" t="s">
        <v>673</v>
      </c>
      <c r="B661" t="str">
        <f>HYPERLINK("https://www.suredividend.com/sure-analysis-research-database/","Groupon Inc")</f>
        <v>Groupon Inc</v>
      </c>
      <c r="C661">
        <v>0.152454780361757</v>
      </c>
      <c r="D661">
        <v>5.2714398111723001E-2</v>
      </c>
      <c r="E661">
        <v>0.93632416787264805</v>
      </c>
      <c r="F661">
        <v>4.2056074766355013E-2</v>
      </c>
      <c r="G661">
        <v>0.56126021003500504</v>
      </c>
      <c r="H661">
        <v>-0.41572052401746701</v>
      </c>
      <c r="I661">
        <v>-0.8136490250696371</v>
      </c>
    </row>
    <row r="662" spans="1:9" x14ac:dyDescent="0.25">
      <c r="A662" s="1" t="s">
        <v>674</v>
      </c>
      <c r="B662" t="str">
        <f>HYPERLINK("https://www.suredividend.com/sure-analysis-research-database/","GrowGeneration Corp")</f>
        <v>GrowGeneration Corp</v>
      </c>
      <c r="C662">
        <v>-3.1372549019607003E-2</v>
      </c>
      <c r="D662">
        <v>-3.5156249999999001E-2</v>
      </c>
      <c r="E662">
        <v>-0.33243243243243198</v>
      </c>
      <c r="F662">
        <v>-1.5936254980079001E-2</v>
      </c>
      <c r="G662">
        <v>-0.46995708154506399</v>
      </c>
      <c r="H662">
        <v>-0.75050505050505001</v>
      </c>
      <c r="I662">
        <v>-0.43181818181818099</v>
      </c>
    </row>
    <row r="663" spans="1:9" x14ac:dyDescent="0.25">
      <c r="A663" s="1" t="s">
        <v>675</v>
      </c>
      <c r="B663" t="str">
        <f>HYPERLINK("https://www.suredividend.com/sure-analysis-research-database/","Globalstar Inc.")</f>
        <v>Globalstar Inc.</v>
      </c>
      <c r="C663">
        <v>0.22727272727272699</v>
      </c>
      <c r="D663">
        <v>0.4765625</v>
      </c>
      <c r="E663">
        <v>0.78301886792452802</v>
      </c>
      <c r="F663">
        <v>-2.5773195876287999E-2</v>
      </c>
      <c r="G663">
        <v>0.27702702702702697</v>
      </c>
      <c r="H663">
        <v>0.87128712871287106</v>
      </c>
      <c r="I663">
        <v>1.7003857693956279</v>
      </c>
    </row>
    <row r="664" spans="1:9" x14ac:dyDescent="0.25">
      <c r="A664" s="1" t="s">
        <v>676</v>
      </c>
      <c r="B664" t="str">
        <f>HYPERLINK("https://www.suredividend.com/sure-analysis-research-database/","Great Southern Bancorp, Inc.")</f>
        <v>Great Southern Bancorp, Inc.</v>
      </c>
      <c r="C664">
        <v>-2.5402457725605999E-2</v>
      </c>
      <c r="D664">
        <v>0.21876236176323799</v>
      </c>
      <c r="E664">
        <v>8.7680184803943004E-2</v>
      </c>
      <c r="F664">
        <v>-4.4818871103622003E-2</v>
      </c>
      <c r="G664">
        <v>-3.2334691308310002E-3</v>
      </c>
      <c r="H664">
        <v>2.4916925502334E-2</v>
      </c>
      <c r="I664">
        <v>0.41113273957394603</v>
      </c>
    </row>
    <row r="665" spans="1:9" x14ac:dyDescent="0.25">
      <c r="A665" s="1" t="s">
        <v>677</v>
      </c>
      <c r="B665" t="str">
        <f>HYPERLINK("https://www.suredividend.com/sure-analysis-research-database/","Goosehead Insurance Inc")</f>
        <v>Goosehead Insurance Inc</v>
      </c>
      <c r="C665">
        <v>-2.7629471436198001E-2</v>
      </c>
      <c r="D665">
        <v>5.0468637346791002E-2</v>
      </c>
      <c r="E665">
        <v>0.14887241759974701</v>
      </c>
      <c r="F665">
        <v>-3.8918205804749001E-2</v>
      </c>
      <c r="G665">
        <v>0.96149703823371002</v>
      </c>
      <c r="H665">
        <v>-0.28808755985536899</v>
      </c>
      <c r="I665">
        <v>1.6627921852440739</v>
      </c>
    </row>
    <row r="666" spans="1:9" x14ac:dyDescent="0.25">
      <c r="A666" s="1" t="s">
        <v>678</v>
      </c>
      <c r="B666" t="str">
        <f>HYPERLINK("https://www.suredividend.com/sure-analysis-research-database/","Goodyear Tire &amp; Rubber Co.")</f>
        <v>Goodyear Tire &amp; Rubber Co.</v>
      </c>
      <c r="C666">
        <v>-9.1534755677907004E-2</v>
      </c>
      <c r="D666">
        <v>9.9999999999999006E-2</v>
      </c>
      <c r="E666">
        <v>-0.14618369987063301</v>
      </c>
      <c r="F666">
        <v>-7.8212290502793005E-2</v>
      </c>
      <c r="G666">
        <v>0.14583333333333301</v>
      </c>
      <c r="H666">
        <v>-0.43710021321961601</v>
      </c>
      <c r="I666">
        <v>-0.34810951760104297</v>
      </c>
    </row>
    <row r="667" spans="1:9" x14ac:dyDescent="0.25">
      <c r="A667" s="1" t="s">
        <v>679</v>
      </c>
      <c r="B667" t="str">
        <f>HYPERLINK("https://www.suredividend.com/sure-analysis-research-database/","Chart Industries Inc")</f>
        <v>Chart Industries Inc</v>
      </c>
      <c r="C667">
        <v>5.4722817035451003E-2</v>
      </c>
      <c r="D667">
        <v>-0.15502890907935599</v>
      </c>
      <c r="E667">
        <v>-0.19155015197568301</v>
      </c>
      <c r="F667">
        <v>-2.4499376512873001E-2</v>
      </c>
      <c r="G667">
        <v>7.5199278086000011E-5</v>
      </c>
      <c r="H667">
        <v>1.4726079658171E-2</v>
      </c>
      <c r="I667">
        <v>0.92488059053408611</v>
      </c>
    </row>
    <row r="668" spans="1:9" x14ac:dyDescent="0.25">
      <c r="A668" s="1" t="s">
        <v>680</v>
      </c>
      <c r="B668" t="str">
        <f>HYPERLINK("https://www.suredividend.com/sure-analysis-research-database/","Gray Television, Inc.")</f>
        <v>Gray Television, Inc.</v>
      </c>
      <c r="C668">
        <v>9.4159713945172002E-2</v>
      </c>
      <c r="D668">
        <v>0.52425862584265903</v>
      </c>
      <c r="E668">
        <v>2.8352507589420001E-2</v>
      </c>
      <c r="F668">
        <v>2.4553571428571001E-2</v>
      </c>
      <c r="G668">
        <v>-0.17330811833040599</v>
      </c>
      <c r="H668">
        <v>-0.58141061885567302</v>
      </c>
      <c r="I668">
        <v>-0.41194934308720199</v>
      </c>
    </row>
    <row r="669" spans="1:9" x14ac:dyDescent="0.25">
      <c r="A669" s="1" t="s">
        <v>681</v>
      </c>
      <c r="B669" t="str">
        <f>HYPERLINK("https://www.suredividend.com/sure-analysis-research-database/","Getty Realty Corp.")</f>
        <v>Getty Realty Corp.</v>
      </c>
      <c r="C669">
        <v>-8.2104067335660013E-3</v>
      </c>
      <c r="D669">
        <v>8.1651348591337006E-2</v>
      </c>
      <c r="E669">
        <v>-0.102567696798088</v>
      </c>
      <c r="F669">
        <v>-1.4031485284052E-2</v>
      </c>
      <c r="G669">
        <v>-0.12624421489357801</v>
      </c>
      <c r="H669">
        <v>2.1555132419216E-2</v>
      </c>
      <c r="I669">
        <v>0.25570427968077802</v>
      </c>
    </row>
    <row r="670" spans="1:9" x14ac:dyDescent="0.25">
      <c r="A670" s="1" t="s">
        <v>682</v>
      </c>
      <c r="B670" t="str">
        <f>HYPERLINK("https://www.suredividend.com/sure-analysis-research-database/","Granite Construction Inc.")</f>
        <v>Granite Construction Inc.</v>
      </c>
      <c r="C670">
        <v>-3.6260716190163002E-2</v>
      </c>
      <c r="D670">
        <v>0.293453457421186</v>
      </c>
      <c r="E670">
        <v>0.13878434347228599</v>
      </c>
      <c r="F670">
        <v>-7.6091230829728004E-2</v>
      </c>
      <c r="G670">
        <v>0.21685626904979499</v>
      </c>
      <c r="H670">
        <v>0.28140100570481102</v>
      </c>
      <c r="I670">
        <v>0.17299929854691801</v>
      </c>
    </row>
    <row r="671" spans="1:9" x14ac:dyDescent="0.25">
      <c r="A671" s="1" t="s">
        <v>683</v>
      </c>
      <c r="B671" t="str">
        <f>HYPERLINK("https://www.suredividend.com/sure-analysis-research-database/","ESS Tech Inc")</f>
        <v>ESS Tech Inc</v>
      </c>
      <c r="C671">
        <v>-0.165289256198347</v>
      </c>
      <c r="D671">
        <v>-0.46842105263157802</v>
      </c>
      <c r="E671">
        <v>-0.47120418848167511</v>
      </c>
      <c r="F671">
        <v>-0.114035087719298</v>
      </c>
      <c r="G671">
        <v>-0.59109311740890602</v>
      </c>
      <c r="H671">
        <v>-0.88255813953488305</v>
      </c>
      <c r="I671">
        <v>-0.90307101727447203</v>
      </c>
    </row>
    <row r="672" spans="1:9" x14ac:dyDescent="0.25">
      <c r="A672" s="1" t="s">
        <v>684</v>
      </c>
      <c r="B672" t="str">
        <f>HYPERLINK("https://www.suredividend.com/sure-analysis-GWRS/","Global Water Resources Inc")</f>
        <v>Global Water Resources Inc</v>
      </c>
      <c r="C672">
        <v>-4.7112462006079013E-2</v>
      </c>
      <c r="D672">
        <v>0.25204680698110898</v>
      </c>
      <c r="E672">
        <v>-2.6352159262076999E-2</v>
      </c>
      <c r="F672">
        <v>-4.1284403669724003E-2</v>
      </c>
      <c r="G672">
        <v>-9.2888506304207002E-2</v>
      </c>
      <c r="H672">
        <v>-0.13943960636567601</v>
      </c>
      <c r="I672">
        <v>0.45805476425789099</v>
      </c>
    </row>
    <row r="673" spans="1:9" x14ac:dyDescent="0.25">
      <c r="A673" s="1" t="s">
        <v>685</v>
      </c>
      <c r="B673" t="str">
        <f>HYPERLINK("https://www.suredividend.com/sure-analysis-research-database/","Hawaiian Holdings, Inc.")</f>
        <v>Hawaiian Holdings, Inc.</v>
      </c>
      <c r="C673">
        <v>-1.5053763440860001E-2</v>
      </c>
      <c r="D673">
        <v>1.798370672097759</v>
      </c>
      <c r="E673">
        <v>0.21808510638297801</v>
      </c>
      <c r="F673">
        <v>-3.2394366197183E-2</v>
      </c>
      <c r="G673">
        <v>3.5418236623963012E-2</v>
      </c>
      <c r="H673">
        <v>-0.32844574780058611</v>
      </c>
      <c r="I673">
        <v>-0.54187936156521199</v>
      </c>
    </row>
    <row r="674" spans="1:9" x14ac:dyDescent="0.25">
      <c r="A674" s="1" t="s">
        <v>686</v>
      </c>
      <c r="B674" t="str">
        <f>HYPERLINK("https://www.suredividend.com/sure-analysis-research-database/","Haemonetics Corp.")</f>
        <v>Haemonetics Corp.</v>
      </c>
      <c r="C674">
        <v>-5.6710989885214003E-2</v>
      </c>
      <c r="D674">
        <v>-7.1172784243509007E-2</v>
      </c>
      <c r="E674">
        <v>-3.1392227797876003E-2</v>
      </c>
      <c r="F674">
        <v>-2.9353292012630001E-2</v>
      </c>
      <c r="G674">
        <v>-3.1618247579045002E-2</v>
      </c>
      <c r="H674">
        <v>0.58730158730158699</v>
      </c>
      <c r="I674">
        <v>-0.168169973942673</v>
      </c>
    </row>
    <row r="675" spans="1:9" x14ac:dyDescent="0.25">
      <c r="A675" s="1" t="s">
        <v>687</v>
      </c>
      <c r="B675" t="str">
        <f>HYPERLINK("https://www.suredividend.com/sure-analysis-research-database/","Hanmi Financial Corp.")</f>
        <v>Hanmi Financial Corp.</v>
      </c>
      <c r="C675">
        <v>-3.6630036630036E-2</v>
      </c>
      <c r="D675">
        <v>0.21830971934538099</v>
      </c>
      <c r="E675">
        <v>0.18133225531150299</v>
      </c>
      <c r="F675">
        <v>-5.1030927835050997E-2</v>
      </c>
      <c r="G675">
        <v>-0.193156070174823</v>
      </c>
      <c r="H675">
        <v>-0.196448836356652</v>
      </c>
      <c r="I675">
        <v>0.15153903410832301</v>
      </c>
    </row>
    <row r="676" spans="1:9" x14ac:dyDescent="0.25">
      <c r="A676" s="1" t="s">
        <v>688</v>
      </c>
      <c r="B676" t="str">
        <f>HYPERLINK("https://www.suredividend.com/sure-analysis-research-database/","Hain Celestial Group Inc")</f>
        <v>Hain Celestial Group Inc</v>
      </c>
      <c r="C676">
        <v>2.1937842778793001E-2</v>
      </c>
      <c r="D676">
        <v>8.5436893203883008E-2</v>
      </c>
      <c r="E676">
        <v>-0.15174506828528</v>
      </c>
      <c r="F676">
        <v>2.1004566210045001E-2</v>
      </c>
      <c r="G676">
        <v>-0.41250656857593199</v>
      </c>
      <c r="H676">
        <v>-0.7229244114002471</v>
      </c>
      <c r="I676">
        <v>-0.37226277372262701</v>
      </c>
    </row>
    <row r="677" spans="1:9" x14ac:dyDescent="0.25">
      <c r="A677" s="1" t="s">
        <v>689</v>
      </c>
      <c r="B677" t="str">
        <f>HYPERLINK("https://www.suredividend.com/sure-analysis-research-database/","Halozyme Therapeutics Inc.")</f>
        <v>Halozyme Therapeutics Inc.</v>
      </c>
      <c r="C677">
        <v>-0.18218527315914401</v>
      </c>
      <c r="D677">
        <v>-5.8002735978112008E-2</v>
      </c>
      <c r="E677">
        <v>-0.121907676613108</v>
      </c>
      <c r="F677">
        <v>-6.8452380952380001E-2</v>
      </c>
      <c r="G677">
        <v>-0.31605085419149698</v>
      </c>
      <c r="H677">
        <v>-3.0413967896367002E-2</v>
      </c>
      <c r="I677">
        <v>1.1187692307692301</v>
      </c>
    </row>
    <row r="678" spans="1:9" x14ac:dyDescent="0.25">
      <c r="A678" s="1" t="s">
        <v>690</v>
      </c>
      <c r="B678" t="str">
        <f>HYPERLINK("https://www.suredividend.com/sure-analysis-HASI/","Hannon Armstrong Sustainable Infrastructure capital Inc")</f>
        <v>Hannon Armstrong Sustainable Infrastructure capital Inc</v>
      </c>
      <c r="C678">
        <v>-8.7783134722095008E-2</v>
      </c>
      <c r="D678">
        <v>0.55305282981464909</v>
      </c>
      <c r="E678">
        <v>-2.6849936145517998E-2</v>
      </c>
      <c r="F678">
        <v>-9.1007976794778012E-2</v>
      </c>
      <c r="G678">
        <v>-0.23397286057817099</v>
      </c>
      <c r="H678">
        <v>-0.39591817064648999</v>
      </c>
      <c r="I678">
        <v>0.44455712540622699</v>
      </c>
    </row>
    <row r="679" spans="1:9" x14ac:dyDescent="0.25">
      <c r="A679" s="1" t="s">
        <v>691</v>
      </c>
      <c r="B679" t="str">
        <f>HYPERLINK("https://www.suredividend.com/sure-analysis-research-database/","Haynes International Inc.")</f>
        <v>Haynes International Inc.</v>
      </c>
      <c r="C679">
        <v>4.3990573448545997E-2</v>
      </c>
      <c r="D679">
        <v>0.217643461350814</v>
      </c>
      <c r="E679">
        <v>7.5162255251932E-2</v>
      </c>
      <c r="F679">
        <v>-6.8185801928133005E-2</v>
      </c>
      <c r="G679">
        <v>1.2729607291042999E-2</v>
      </c>
      <c r="H679">
        <v>0.36266462967614899</v>
      </c>
      <c r="I679">
        <v>1.0000150490221891</v>
      </c>
    </row>
    <row r="680" spans="1:9" x14ac:dyDescent="0.25">
      <c r="A680" s="1" t="s">
        <v>692</v>
      </c>
      <c r="B680" t="str">
        <f>HYPERLINK("https://www.suredividend.com/sure-analysis-research-database/","Home Bancorp Inc")</f>
        <v>Home Bancorp Inc</v>
      </c>
      <c r="C680">
        <v>6.0371517027863003E-2</v>
      </c>
      <c r="D680">
        <v>0.28112414747578002</v>
      </c>
      <c r="E680">
        <v>0.21606267900679299</v>
      </c>
      <c r="F680">
        <v>-2.1661509164483998E-2</v>
      </c>
      <c r="G680">
        <v>6.7998503242973005E-2</v>
      </c>
      <c r="H680">
        <v>1.7402494845059999E-3</v>
      </c>
      <c r="I680">
        <v>0.34056127441387102</v>
      </c>
    </row>
    <row r="681" spans="1:9" x14ac:dyDescent="0.25">
      <c r="A681" s="1" t="s">
        <v>693</v>
      </c>
      <c r="B681" t="str">
        <f>HYPERLINK("https://www.suredividend.com/sure-analysis-HBNC/","Horizon Bancorp Inc (IN)")</f>
        <v>Horizon Bancorp Inc (IN)</v>
      </c>
      <c r="C681">
        <v>-2.1256733027584001E-2</v>
      </c>
      <c r="D681">
        <v>0.34091255138811299</v>
      </c>
      <c r="E681">
        <v>0.31239071689715397</v>
      </c>
      <c r="F681">
        <v>-5.5457041528429007E-2</v>
      </c>
      <c r="G681">
        <v>-5.6428571428571002E-2</v>
      </c>
      <c r="H681">
        <v>-0.31446779140308301</v>
      </c>
      <c r="I681">
        <v>4.9854164845382007E-2</v>
      </c>
    </row>
    <row r="682" spans="1:9" x14ac:dyDescent="0.25">
      <c r="A682" s="1" t="s">
        <v>694</v>
      </c>
      <c r="B682" t="str">
        <f>HYPERLINK("https://www.suredividend.com/sure-analysis-research-database/","HBT Financial Inc")</f>
        <v>HBT Financial Inc</v>
      </c>
      <c r="C682">
        <v>-6.9470699432892011E-2</v>
      </c>
      <c r="D682">
        <v>0.11929056646675899</v>
      </c>
      <c r="E682">
        <v>8.0022598746098003E-2</v>
      </c>
      <c r="F682">
        <v>-6.7266698247276005E-2</v>
      </c>
      <c r="G682">
        <v>3.6675897943496003E-2</v>
      </c>
      <c r="H682">
        <v>0.113952409509046</v>
      </c>
      <c r="I682">
        <v>0.510374717140336</v>
      </c>
    </row>
    <row r="683" spans="1:9" x14ac:dyDescent="0.25">
      <c r="A683" s="1" t="s">
        <v>695</v>
      </c>
      <c r="B683" t="str">
        <f>HYPERLINK("https://www.suredividend.com/sure-analysis-research-database/","Health Catalyst Inc")</f>
        <v>Health Catalyst Inc</v>
      </c>
      <c r="C683">
        <v>0.33535844471445903</v>
      </c>
      <c r="D683">
        <v>0.31616766467065799</v>
      </c>
      <c r="E683">
        <v>-0.11442385173247301</v>
      </c>
      <c r="F683">
        <v>0.18682505399568</v>
      </c>
      <c r="G683">
        <v>-9.3234323432343003E-2</v>
      </c>
      <c r="H683">
        <v>-0.6659574468085101</v>
      </c>
      <c r="I683">
        <v>-0.71942813377584802</v>
      </c>
    </row>
    <row r="684" spans="1:9" x14ac:dyDescent="0.25">
      <c r="A684" s="1" t="s">
        <v>696</v>
      </c>
      <c r="B684" t="str">
        <f>HYPERLINK("https://www.suredividend.com/sure-analysis-research-database/","Warrior Met Coal Inc")</f>
        <v>Warrior Met Coal Inc</v>
      </c>
      <c r="C684">
        <v>0.13345227475468299</v>
      </c>
      <c r="D684">
        <v>0.31908699994393902</v>
      </c>
      <c r="E684">
        <v>0.63050034006185207</v>
      </c>
      <c r="F684">
        <v>4.1987862883384998E-2</v>
      </c>
      <c r="G684">
        <v>0.90366319574499909</v>
      </c>
      <c r="H684">
        <v>1.5028956844452499</v>
      </c>
      <c r="I684">
        <v>2.3441946402345621</v>
      </c>
    </row>
    <row r="685" spans="1:9" x14ac:dyDescent="0.25">
      <c r="A685" s="1" t="s">
        <v>697</v>
      </c>
      <c r="B685" t="str">
        <f>HYPERLINK("https://www.suredividend.com/sure-analysis-research-database/","Heritage-Crystal Clean Inc")</f>
        <v>Heritage-Crystal Clean Inc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 s="1" t="s">
        <v>698</v>
      </c>
      <c r="B686" t="str">
        <f>HYPERLINK("https://www.suredividend.com/sure-analysis-research-database/","HCI Group Inc")</f>
        <v>HCI Group Inc</v>
      </c>
      <c r="C686">
        <v>-3.4920265393999998E-4</v>
      </c>
      <c r="D686">
        <v>0.46295510799259298</v>
      </c>
      <c r="E686">
        <v>0.45024452189889402</v>
      </c>
      <c r="F686">
        <v>-1.7391304347826E-2</v>
      </c>
      <c r="G686">
        <v>1.0424762765476729</v>
      </c>
      <c r="H686">
        <v>0.235454138728207</v>
      </c>
      <c r="I686">
        <v>1.09034638704511</v>
      </c>
    </row>
    <row r="687" spans="1:9" x14ac:dyDescent="0.25">
      <c r="A687" s="1" t="s">
        <v>699</v>
      </c>
      <c r="B687" t="str">
        <f>HYPERLINK("https://www.suredividend.com/sure-analysis-research-database/","Hackett Group Inc (The)")</f>
        <v>Hackett Group Inc (The)</v>
      </c>
      <c r="C687">
        <v>7.6400566714770008E-3</v>
      </c>
      <c r="D687">
        <v>2.0125471411464001E-2</v>
      </c>
      <c r="E687">
        <v>2.5804625331937E-2</v>
      </c>
      <c r="F687">
        <v>2.6350461133059998E-3</v>
      </c>
      <c r="G687">
        <v>9.8790031476508014E-2</v>
      </c>
      <c r="H687">
        <v>0.18671996423726001</v>
      </c>
      <c r="I687">
        <v>0.45119152804174911</v>
      </c>
    </row>
    <row r="688" spans="1:9" x14ac:dyDescent="0.25">
      <c r="A688" s="1" t="s">
        <v>700</v>
      </c>
      <c r="B688" t="str">
        <f>HYPERLINK("https://www.suredividend.com/sure-analysis-research-database/","Healthcare Services Group, Inc.")</f>
        <v>Healthcare Services Group, Inc.</v>
      </c>
      <c r="C688">
        <v>-3.0332681017611999E-2</v>
      </c>
      <c r="D688">
        <v>-1.3930348258706E-2</v>
      </c>
      <c r="E688">
        <v>-0.32813559322033897</v>
      </c>
      <c r="F688">
        <v>-4.4358727097396002E-2</v>
      </c>
      <c r="G688">
        <v>-0.280319535221496</v>
      </c>
      <c r="H688">
        <v>-0.43191915022900901</v>
      </c>
      <c r="I688">
        <v>-0.72940575756831005</v>
      </c>
    </row>
    <row r="689" spans="1:9" x14ac:dyDescent="0.25">
      <c r="A689" s="1" t="s">
        <v>701</v>
      </c>
      <c r="B689" t="str">
        <f>HYPERLINK("https://www.suredividend.com/sure-analysis-research-database/","Hudson Technologies, Inc.")</f>
        <v>Hudson Technologies, Inc.</v>
      </c>
      <c r="C689">
        <v>4.6367851622870007E-3</v>
      </c>
      <c r="D689">
        <v>-3.3457249070631002E-2</v>
      </c>
      <c r="E689">
        <v>0.39935414424111898</v>
      </c>
      <c r="F689">
        <v>-3.6323202372127002E-2</v>
      </c>
      <c r="G689">
        <v>0.18397085610200301</v>
      </c>
      <c r="H689">
        <v>2.403141361256544</v>
      </c>
      <c r="I689">
        <v>10.01694915254237</v>
      </c>
    </row>
    <row r="690" spans="1:9" x14ac:dyDescent="0.25">
      <c r="A690" s="1" t="s">
        <v>702</v>
      </c>
      <c r="B690" t="str">
        <f>HYPERLINK("https://www.suredividend.com/sure-analysis-research-database/","Turtle Beach Corp")</f>
        <v>Turtle Beach Corp</v>
      </c>
      <c r="C690">
        <v>-7.027027027027001E-2</v>
      </c>
      <c r="D690">
        <v>0.191685912240184</v>
      </c>
      <c r="E690">
        <v>-9.5530236634531002E-2</v>
      </c>
      <c r="F690">
        <v>-5.7534246575342007E-2</v>
      </c>
      <c r="G690">
        <v>0.164785553047404</v>
      </c>
      <c r="H690">
        <v>-0.52747252747252704</v>
      </c>
      <c r="I690">
        <v>-0.36414048059149701</v>
      </c>
    </row>
    <row r="691" spans="1:9" x14ac:dyDescent="0.25">
      <c r="A691" s="1" t="s">
        <v>703</v>
      </c>
      <c r="B691" t="str">
        <f>HYPERLINK("https://www.suredividend.com/sure-analysis-research-database/","H&amp;E Equipment Services Inc")</f>
        <v>H&amp;E Equipment Services Inc</v>
      </c>
      <c r="C691">
        <v>-1.4613354982748E-2</v>
      </c>
      <c r="D691">
        <v>0.132068432429155</v>
      </c>
      <c r="E691">
        <v>6.344297054339601E-2</v>
      </c>
      <c r="F691">
        <v>-7.2056574923547001E-2</v>
      </c>
      <c r="G691">
        <v>7.4435948790014E-2</v>
      </c>
      <c r="H691">
        <v>0.14370655151862</v>
      </c>
      <c r="I691">
        <v>1.414822183536433</v>
      </c>
    </row>
    <row r="692" spans="1:9" x14ac:dyDescent="0.25">
      <c r="A692" s="1" t="s">
        <v>704</v>
      </c>
      <c r="B692" t="str">
        <f>HYPERLINK("https://www.suredividend.com/sure-analysis-research-database/","Helen of Troy Ltd")</f>
        <v>Helen of Troy Ltd</v>
      </c>
      <c r="C692">
        <v>4.6449500172353997E-2</v>
      </c>
      <c r="D692">
        <v>8.361592004283401E-2</v>
      </c>
      <c r="E692">
        <v>-7.1919902170589009E-2</v>
      </c>
      <c r="F692">
        <v>5.1320254945780002E-3</v>
      </c>
      <c r="G692">
        <v>8.2746321890325006E-2</v>
      </c>
      <c r="H692">
        <v>-0.46764576939938601</v>
      </c>
      <c r="I692">
        <v>6.8455785305763003E-2</v>
      </c>
    </row>
    <row r="693" spans="1:9" x14ac:dyDescent="0.25">
      <c r="A693" s="1" t="s">
        <v>705</v>
      </c>
      <c r="B693" t="str">
        <f>HYPERLINK("https://www.suredividend.com/sure-analysis-research-database/","HF Foods Group Inc.")</f>
        <v>HF Foods Group Inc.</v>
      </c>
      <c r="C693">
        <v>1.4869888475836E-2</v>
      </c>
      <c r="D693">
        <v>0.40721649484535999</v>
      </c>
      <c r="E693">
        <v>0.114285714285714</v>
      </c>
      <c r="F693">
        <v>2.2471910112358998E-2</v>
      </c>
      <c r="G693">
        <v>0.31884057971014501</v>
      </c>
      <c r="H693">
        <v>-0.37169159953969999</v>
      </c>
      <c r="I693">
        <v>-0.57935285053929109</v>
      </c>
    </row>
    <row r="694" spans="1:9" x14ac:dyDescent="0.25">
      <c r="A694" s="1" t="s">
        <v>706</v>
      </c>
      <c r="B694" t="str">
        <f>HYPERLINK("https://www.suredividend.com/sure-analysis-research-database/","Heritage Financial Corp.")</f>
        <v>Heritage Financial Corp.</v>
      </c>
      <c r="C694">
        <v>-5.4054054054054002E-2</v>
      </c>
      <c r="D694">
        <v>0.29772163551282299</v>
      </c>
      <c r="E694">
        <v>0.23356262609076101</v>
      </c>
      <c r="F694">
        <v>-5.0958391771856001E-2</v>
      </c>
      <c r="G694">
        <v>-0.26441013302218702</v>
      </c>
      <c r="H694">
        <v>-0.152602512136986</v>
      </c>
      <c r="I694">
        <v>-0.181104903285665</v>
      </c>
    </row>
    <row r="695" spans="1:9" x14ac:dyDescent="0.25">
      <c r="A695" s="1" t="s">
        <v>707</v>
      </c>
      <c r="B695" t="str">
        <f>HYPERLINK("https://www.suredividend.com/sure-analysis-research-database/","Hilton Grand Vacations Inc")</f>
        <v>Hilton Grand Vacations Inc</v>
      </c>
      <c r="C695">
        <v>-1.2221950623318999E-2</v>
      </c>
      <c r="D695">
        <v>9.5121951219512002E-2</v>
      </c>
      <c r="E695">
        <v>-0.14367450731087</v>
      </c>
      <c r="F695">
        <v>5.7242409158780004E-3</v>
      </c>
      <c r="G695">
        <v>-9.2114131655807008E-2</v>
      </c>
      <c r="H695">
        <v>-0.23043229860978801</v>
      </c>
      <c r="I695">
        <v>0.36936631650287999</v>
      </c>
    </row>
    <row r="696" spans="1:9" x14ac:dyDescent="0.25">
      <c r="A696" s="1" t="s">
        <v>708</v>
      </c>
      <c r="B696" t="str">
        <f>HYPERLINK("https://www.suredividend.com/sure-analysis-HI/","Hillenbrand Inc")</f>
        <v>Hillenbrand Inc</v>
      </c>
      <c r="C696">
        <v>8.8024995493600003E-2</v>
      </c>
      <c r="D696">
        <v>0.14438110646258001</v>
      </c>
      <c r="E696">
        <v>-0.13099230428130701</v>
      </c>
      <c r="F696">
        <v>-5.3918495297805007E-2</v>
      </c>
      <c r="G696">
        <v>-9.6605675583430004E-3</v>
      </c>
      <c r="H696">
        <v>-7.9382187560372006E-2</v>
      </c>
      <c r="I696">
        <v>0.272444149623916</v>
      </c>
    </row>
    <row r="697" spans="1:9" x14ac:dyDescent="0.25">
      <c r="A697" s="1" t="s">
        <v>709</v>
      </c>
      <c r="B697" t="str">
        <f>HYPERLINK("https://www.suredividend.com/sure-analysis-research-database/","Hibbett Inc")</f>
        <v>Hibbett Inc</v>
      </c>
      <c r="C697">
        <v>-3.2414910858995012E-2</v>
      </c>
      <c r="D697">
        <v>0.404663817554126</v>
      </c>
      <c r="E697">
        <v>0.76689949094353005</v>
      </c>
      <c r="F697">
        <v>-8.8169952790891001E-2</v>
      </c>
      <c r="G697">
        <v>-7.5546971561138002E-2</v>
      </c>
      <c r="H697">
        <v>5.4949927228214013E-2</v>
      </c>
      <c r="I697">
        <v>3.3540238420431492</v>
      </c>
    </row>
    <row r="698" spans="1:9" x14ac:dyDescent="0.25">
      <c r="A698" s="1" t="s">
        <v>710</v>
      </c>
      <c r="B698" t="str">
        <f>HYPERLINK("https://www.suredividend.com/sure-analysis-HIFS/","Hingham Institution For Savings")</f>
        <v>Hingham Institution For Savings</v>
      </c>
      <c r="C698">
        <v>4.3140056440171E-2</v>
      </c>
      <c r="D698">
        <v>0.12958372535034299</v>
      </c>
      <c r="E698">
        <v>-6.5262324849640008E-2</v>
      </c>
      <c r="F698">
        <v>1.1008230452674E-2</v>
      </c>
      <c r="G698">
        <v>-0.31790835872870099</v>
      </c>
      <c r="H698">
        <v>-0.49510531655077811</v>
      </c>
      <c r="I698">
        <v>4.4879193485533E-2</v>
      </c>
    </row>
    <row r="699" spans="1:9" x14ac:dyDescent="0.25">
      <c r="A699" s="1" t="s">
        <v>711</v>
      </c>
      <c r="B699" t="str">
        <f>HYPERLINK("https://www.suredividend.com/sure-analysis-research-database/","Hims &amp; Hers Health Inc")</f>
        <v>Hims &amp; Hers Health Inc</v>
      </c>
      <c r="C699">
        <v>-1.2672811059907E-2</v>
      </c>
      <c r="D699">
        <v>0.37119999999999997</v>
      </c>
      <c r="E699">
        <v>-5.9275521405049013E-2</v>
      </c>
      <c r="F699">
        <v>-3.7078651685393003E-2</v>
      </c>
      <c r="G699">
        <v>0.138114209827357</v>
      </c>
      <c r="H699">
        <v>0.63238095238095204</v>
      </c>
      <c r="I699">
        <v>-0.12551020408163199</v>
      </c>
    </row>
    <row r="700" spans="1:9" x14ac:dyDescent="0.25">
      <c r="A700" s="1" t="s">
        <v>712</v>
      </c>
      <c r="B700" t="str">
        <f>HYPERLINK("https://www.suredividend.com/sure-analysis-research-database/","Hippo Holdings Inc")</f>
        <v>Hippo Holdings Inc</v>
      </c>
      <c r="C700">
        <v>-4.4622425629290002E-2</v>
      </c>
      <c r="D700">
        <v>4.6365914786967007E-2</v>
      </c>
      <c r="E700">
        <v>-0.53688297282307207</v>
      </c>
      <c r="F700">
        <v>-8.4429824561403008E-2</v>
      </c>
      <c r="G700">
        <v>-0.49116392443631901</v>
      </c>
      <c r="H700">
        <v>-0.86586345381526109</v>
      </c>
      <c r="I700">
        <v>-0.96629667003027209</v>
      </c>
    </row>
    <row r="701" spans="1:9" x14ac:dyDescent="0.25">
      <c r="A701" s="1" t="s">
        <v>713</v>
      </c>
      <c r="B701" t="str">
        <f>HYPERLINK("https://www.suredividend.com/sure-analysis-research-database/","Hecla Mining Co.")</f>
        <v>Hecla Mining Co.</v>
      </c>
      <c r="C701">
        <v>-0.105906313645621</v>
      </c>
      <c r="D701">
        <v>6.1797073406699002E-2</v>
      </c>
      <c r="E701">
        <v>-0.25882154313692401</v>
      </c>
      <c r="F701">
        <v>-8.7318087318087004E-2</v>
      </c>
      <c r="G701">
        <v>-0.29162699885433901</v>
      </c>
      <c r="H701">
        <v>-0.15082113081997001</v>
      </c>
      <c r="I701">
        <v>0.660174715425632</v>
      </c>
    </row>
    <row r="702" spans="1:9" x14ac:dyDescent="0.25">
      <c r="A702" s="1" t="s">
        <v>714</v>
      </c>
      <c r="B702" t="str">
        <f>HYPERLINK("https://www.suredividend.com/sure-analysis-research-database/","Herbalife Ltd")</f>
        <v>Herbalife Ltd</v>
      </c>
      <c r="C702">
        <v>-6.3636363636363005E-2</v>
      </c>
      <c r="D702">
        <v>-2.0482809070958001E-2</v>
      </c>
      <c r="E702">
        <v>-1.4716703458425E-2</v>
      </c>
      <c r="F702">
        <v>-0.122542595019659</v>
      </c>
      <c r="G702">
        <v>-0.18651275820170099</v>
      </c>
      <c r="H702">
        <v>-0.70024625027982901</v>
      </c>
      <c r="I702">
        <v>-0.76471621859075711</v>
      </c>
    </row>
    <row r="703" spans="1:9" x14ac:dyDescent="0.25">
      <c r="A703" s="1" t="s">
        <v>715</v>
      </c>
      <c r="B703" t="str">
        <f>HYPERLINK("https://www.suredividend.com/sure-analysis-research-database/","Heliogen Inc")</f>
        <v>Heliogen Inc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 s="1" t="s">
        <v>716</v>
      </c>
      <c r="B704" t="str">
        <f>HYPERLINK("https://www.suredividend.com/sure-analysis-HLI/","Houlihan Lokey Inc")</f>
        <v>Houlihan Lokey Inc</v>
      </c>
      <c r="C704">
        <v>-2.5621382362955001E-2</v>
      </c>
      <c r="D704">
        <v>7.0293215648141005E-2</v>
      </c>
      <c r="E704">
        <v>0.144527176396364</v>
      </c>
      <c r="F704">
        <v>-4.5367358852472013E-2</v>
      </c>
      <c r="G704">
        <v>0.195459197526996</v>
      </c>
      <c r="H704">
        <v>1.9129942406293E-2</v>
      </c>
      <c r="I704">
        <v>2.1006471080581068</v>
      </c>
    </row>
    <row r="705" spans="1:9" x14ac:dyDescent="0.25">
      <c r="A705" s="1" t="s">
        <v>717</v>
      </c>
      <c r="B705" t="str">
        <f>HYPERLINK("https://www.suredividend.com/sure-analysis-research-database/","Helios Technologies Inc")</f>
        <v>Helios Technologies Inc</v>
      </c>
      <c r="C705">
        <v>2.9598627528609998E-3</v>
      </c>
      <c r="D705">
        <v>-0.20228368786350301</v>
      </c>
      <c r="E705">
        <v>-0.35491791724579003</v>
      </c>
      <c r="F705">
        <v>-5.9628314556095997E-2</v>
      </c>
      <c r="G705">
        <v>-0.28715710347276402</v>
      </c>
      <c r="H705">
        <v>-0.54058821116534705</v>
      </c>
      <c r="I705">
        <v>0.18209744526966601</v>
      </c>
    </row>
    <row r="706" spans="1:9" x14ac:dyDescent="0.25">
      <c r="A706" s="1" t="s">
        <v>718</v>
      </c>
      <c r="B706" t="str">
        <f>HYPERLINK("https://www.suredividend.com/sure-analysis-research-database/","Harmonic, Inc.")</f>
        <v>Harmonic, Inc.</v>
      </c>
      <c r="C706">
        <v>0.156844106463878</v>
      </c>
      <c r="D706">
        <v>0.25983436853002001</v>
      </c>
      <c r="E706">
        <v>-0.240798502807236</v>
      </c>
      <c r="F706">
        <v>-6.6717791411042005E-2</v>
      </c>
      <c r="G706">
        <v>-0.20613176777560299</v>
      </c>
      <c r="H706">
        <v>7.2246696035242003E-2</v>
      </c>
      <c r="I706">
        <v>1.535416666666666</v>
      </c>
    </row>
    <row r="707" spans="1:9" x14ac:dyDescent="0.25">
      <c r="A707" s="1" t="s">
        <v>719</v>
      </c>
      <c r="B707" t="str">
        <f>HYPERLINK("https://www.suredividend.com/sure-analysis-research-database/","Holley Inc")</f>
        <v>Holley Inc</v>
      </c>
      <c r="C707">
        <v>2.4886877828053999E-2</v>
      </c>
      <c r="D707">
        <v>0</v>
      </c>
      <c r="E707">
        <v>-0.17486338797814199</v>
      </c>
      <c r="F707">
        <v>-6.9815195071868008E-2</v>
      </c>
      <c r="G707">
        <v>0.76953125</v>
      </c>
      <c r="H707">
        <v>-0.65629742033383909</v>
      </c>
      <c r="I707">
        <v>-0.53538461538461501</v>
      </c>
    </row>
    <row r="708" spans="1:9" x14ac:dyDescent="0.25">
      <c r="A708" s="1" t="s">
        <v>720</v>
      </c>
      <c r="B708" t="str">
        <f>HYPERLINK("https://www.suredividend.com/sure-analysis-research-database/","Hillman Solutions Corp")</f>
        <v>Hillman Solutions Corp</v>
      </c>
      <c r="C708">
        <v>9.1911764705882013E-2</v>
      </c>
      <c r="D708">
        <v>0.19919246298788601</v>
      </c>
      <c r="E708">
        <v>-6.8965517241379004E-2</v>
      </c>
      <c r="F708">
        <v>-3.2573289902280013E-2</v>
      </c>
      <c r="G708">
        <v>1.3651877133106E-2</v>
      </c>
      <c r="H708">
        <v>-8.5215605749486001E-2</v>
      </c>
      <c r="I708">
        <v>-9.1743119266055009E-2</v>
      </c>
    </row>
    <row r="709" spans="1:9" x14ac:dyDescent="0.25">
      <c r="A709" s="1" t="s">
        <v>721</v>
      </c>
      <c r="B709" t="str">
        <f>HYPERLINK("https://www.suredividend.com/sure-analysis-research-database/","Hamilton Lane Inc")</f>
        <v>Hamilton Lane Inc</v>
      </c>
      <c r="C709">
        <v>5.4323965000153997E-2</v>
      </c>
      <c r="D709">
        <v>0.32152692553859802</v>
      </c>
      <c r="E709">
        <v>0.35286062758402598</v>
      </c>
      <c r="F709">
        <v>-8.0218617771500005E-3</v>
      </c>
      <c r="G709">
        <v>0.58999966089050104</v>
      </c>
      <c r="H709">
        <v>0.19941675921919</v>
      </c>
      <c r="I709">
        <v>2.5312170507606568</v>
      </c>
    </row>
    <row r="710" spans="1:9" x14ac:dyDescent="0.25">
      <c r="A710" s="1" t="s">
        <v>722</v>
      </c>
      <c r="B710" t="str">
        <f>HYPERLINK("https://www.suredividend.com/sure-analysis-research-database/","Cue Health Inc")</f>
        <v>Cue Health Inc</v>
      </c>
      <c r="C710">
        <v>-0.33219178082191703</v>
      </c>
      <c r="D710">
        <v>-0.52439024390243905</v>
      </c>
      <c r="E710">
        <v>-0.54375292466073899</v>
      </c>
      <c r="F710">
        <v>0.2</v>
      </c>
      <c r="G710">
        <v>-0.9088785046728971</v>
      </c>
      <c r="H710">
        <v>-0.98006134969325109</v>
      </c>
      <c r="I710">
        <v>-0.99025000000000007</v>
      </c>
    </row>
    <row r="711" spans="1:9" x14ac:dyDescent="0.25">
      <c r="A711" s="1" t="s">
        <v>723</v>
      </c>
      <c r="B711" t="str">
        <f>HYPERLINK("https://www.suredividend.com/sure-analysis-research-database/","HilleVax Inc")</f>
        <v>HilleVax Inc</v>
      </c>
      <c r="C711">
        <v>1.0862186014935001E-2</v>
      </c>
      <c r="D711">
        <v>0.26079593564775599</v>
      </c>
      <c r="E711">
        <v>-3.3744321868916002E-2</v>
      </c>
      <c r="F711">
        <v>-7.2274143302180002E-2</v>
      </c>
      <c r="G711">
        <v>-2.3606557377049E-2</v>
      </c>
      <c r="H711">
        <v>-0.22001047668936599</v>
      </c>
      <c r="I711">
        <v>-0.22001047668936599</v>
      </c>
    </row>
    <row r="712" spans="1:9" x14ac:dyDescent="0.25">
      <c r="A712" s="1" t="s">
        <v>724</v>
      </c>
      <c r="B712" t="str">
        <f>HYPERLINK("https://www.suredividend.com/sure-analysis-research-database/","Helix Energy Solutions Group Inc")</f>
        <v>Helix Energy Solutions Group Inc</v>
      </c>
      <c r="C712">
        <v>-1.5673981191222E-2</v>
      </c>
      <c r="D712">
        <v>-0.12290502793296</v>
      </c>
      <c r="E712">
        <v>0.147381242387332</v>
      </c>
      <c r="F712">
        <v>-8.3657587548638002E-2</v>
      </c>
      <c r="G712">
        <v>0.187894073139974</v>
      </c>
      <c r="H712">
        <v>1.5667574931880099</v>
      </c>
      <c r="I712">
        <v>0.375182481751824</v>
      </c>
    </row>
    <row r="713" spans="1:9" x14ac:dyDescent="0.25">
      <c r="A713" s="1" t="s">
        <v>725</v>
      </c>
      <c r="B713" t="str">
        <f>HYPERLINK("https://www.suredividend.com/sure-analysis-HMN/","Horace Mann Educators Corp.")</f>
        <v>Horace Mann Educators Corp.</v>
      </c>
      <c r="C713">
        <v>-1.036116044997E-2</v>
      </c>
      <c r="D713">
        <v>9.5139193731204011E-2</v>
      </c>
      <c r="E713">
        <v>0.18921841705530501</v>
      </c>
      <c r="F713">
        <v>2.2324159021406002E-2</v>
      </c>
      <c r="G713">
        <v>-8.0835853725597012E-2</v>
      </c>
      <c r="H713">
        <v>-8.3089683318979007E-2</v>
      </c>
      <c r="I713">
        <v>1.2720349226448E-2</v>
      </c>
    </row>
    <row r="714" spans="1:9" x14ac:dyDescent="0.25">
      <c r="A714" s="1" t="s">
        <v>726</v>
      </c>
      <c r="B714" t="str">
        <f>HYPERLINK("https://www.suredividend.com/sure-analysis-research-database/","Home Point Capital Inc")</f>
        <v>Home Point Capital Inc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s="1" t="s">
        <v>727</v>
      </c>
      <c r="B715" t="str">
        <f>HYPERLINK("https://www.suredividend.com/sure-analysis-research-database/","HomeStreet Inc")</f>
        <v>HomeStreet Inc</v>
      </c>
      <c r="C715">
        <v>0.24508670520231199</v>
      </c>
      <c r="D715">
        <v>0.80073233125449306</v>
      </c>
      <c r="E715">
        <v>0.54765839428645302</v>
      </c>
      <c r="F715">
        <v>4.5631067961164007E-2</v>
      </c>
      <c r="G715">
        <v>-0.58366191956209101</v>
      </c>
      <c r="H715">
        <v>-0.78236268843713308</v>
      </c>
      <c r="I715">
        <v>-0.49644189678227701</v>
      </c>
    </row>
    <row r="716" spans="1:9" x14ac:dyDescent="0.25">
      <c r="A716" s="1" t="s">
        <v>728</v>
      </c>
      <c r="B716" t="str">
        <f>HYPERLINK("https://www.suredividend.com/sure-analysis-HNI/","HNI Corp.")</f>
        <v>HNI Corp.</v>
      </c>
      <c r="C716">
        <v>-2.4437927663700001E-4</v>
      </c>
      <c r="D716">
        <v>0.16218619410299101</v>
      </c>
      <c r="E716">
        <v>0.47501027567657211</v>
      </c>
      <c r="F716">
        <v>-2.1993784365288E-2</v>
      </c>
      <c r="G716">
        <v>0.38846935762504198</v>
      </c>
      <c r="H716">
        <v>4.8649008897239013E-2</v>
      </c>
      <c r="I716">
        <v>0.23833854983321301</v>
      </c>
    </row>
    <row r="717" spans="1:9" x14ac:dyDescent="0.25">
      <c r="A717" s="1" t="s">
        <v>729</v>
      </c>
      <c r="B717" t="str">
        <f>HYPERLINK("https://www.suredividend.com/sure-analysis-research-database/","Honest Company Inc (The )")</f>
        <v>Honest Company Inc (The )</v>
      </c>
      <c r="C717">
        <v>4.0145985401459E-2</v>
      </c>
      <c r="D717">
        <v>1.4782608695652171</v>
      </c>
      <c r="E717">
        <v>0.6101694915254231</v>
      </c>
      <c r="F717">
        <v>-0.13636363636363599</v>
      </c>
      <c r="G717">
        <v>-6.25E-2</v>
      </c>
      <c r="H717">
        <v>-0.58272327964860904</v>
      </c>
      <c r="I717">
        <v>-0.87608695652173907</v>
      </c>
    </row>
    <row r="718" spans="1:9" x14ac:dyDescent="0.25">
      <c r="A718" s="1" t="s">
        <v>730</v>
      </c>
      <c r="B718" t="str">
        <f>HYPERLINK("https://www.suredividend.com/sure-analysis-HOMB/","Home Bancshares Inc")</f>
        <v>Home Bancshares Inc</v>
      </c>
      <c r="C718">
        <v>-4.4093851132685997E-2</v>
      </c>
      <c r="D718">
        <v>0.136713488551087</v>
      </c>
      <c r="E718">
        <v>1.2702711969005E-2</v>
      </c>
      <c r="F718">
        <v>-6.7114093959731003E-2</v>
      </c>
      <c r="G718">
        <v>4.2337517975139002E-2</v>
      </c>
      <c r="H718">
        <v>-2.2620766103180999E-2</v>
      </c>
      <c r="I718">
        <v>0.50813101529192506</v>
      </c>
    </row>
    <row r="719" spans="1:9" x14ac:dyDescent="0.25">
      <c r="A719" s="1" t="s">
        <v>731</v>
      </c>
      <c r="B719" t="str">
        <f>HYPERLINK("https://www.suredividend.com/sure-analysis-research-database/","HarborOne Bancorp Inc.")</f>
        <v>HarborOne Bancorp Inc.</v>
      </c>
      <c r="C719">
        <v>-1.2458605415385E-2</v>
      </c>
      <c r="D719">
        <v>0.24675213583824199</v>
      </c>
      <c r="E719">
        <v>0.26585026923744998</v>
      </c>
      <c r="F719">
        <v>-2.0702977365304E-2</v>
      </c>
      <c r="G719">
        <v>-0.14706850517537701</v>
      </c>
      <c r="H719">
        <v>-0.18155336398413599</v>
      </c>
      <c r="I719">
        <v>0.261563429807952</v>
      </c>
    </row>
    <row r="720" spans="1:9" x14ac:dyDescent="0.25">
      <c r="A720" s="1" t="s">
        <v>732</v>
      </c>
      <c r="B720" t="str">
        <f>HYPERLINK("https://www.suredividend.com/sure-analysis-research-database/","Hope Bancorp Inc")</f>
        <v>Hope Bancorp Inc</v>
      </c>
      <c r="C720">
        <v>-2.4493243243243E-2</v>
      </c>
      <c r="D720">
        <v>0.31145679573066798</v>
      </c>
      <c r="E720">
        <v>0.32586410753848399</v>
      </c>
      <c r="F720">
        <v>-4.3874172185430001E-2</v>
      </c>
      <c r="G720">
        <v>-4.2240907507835997E-2</v>
      </c>
      <c r="H720">
        <v>-0.217352415026833</v>
      </c>
      <c r="I720">
        <v>0.113617956727988</v>
      </c>
    </row>
    <row r="721" spans="1:9" x14ac:dyDescent="0.25">
      <c r="A721" s="1" t="s">
        <v>733</v>
      </c>
      <c r="B721" t="str">
        <f>HYPERLINK("https://www.suredividend.com/sure-analysis-research-database/","Anywhere Real Estate Inc")</f>
        <v>Anywhere Real Estate Inc</v>
      </c>
      <c r="C721">
        <v>-1.6783216783215999E-2</v>
      </c>
      <c r="D721">
        <v>0.42020202020202002</v>
      </c>
      <c r="E721">
        <v>-8.5825747724317003E-2</v>
      </c>
      <c r="F721">
        <v>-0.13316892725030799</v>
      </c>
      <c r="G721">
        <v>-0.143727161997563</v>
      </c>
      <c r="H721">
        <v>-0.58622719246615607</v>
      </c>
      <c r="I721">
        <v>-0.58932598053533602</v>
      </c>
    </row>
    <row r="722" spans="1:9" x14ac:dyDescent="0.25">
      <c r="A722" s="1" t="s">
        <v>734</v>
      </c>
      <c r="B722" t="str">
        <f>HYPERLINK("https://www.suredividend.com/sure-analysis-research-database/","Hovnanian Enterprises, Inc.")</f>
        <v>Hovnanian Enterprises, Inc.</v>
      </c>
      <c r="C722">
        <v>8.9721902699776007E-2</v>
      </c>
      <c r="D722">
        <v>1.0161492238357539</v>
      </c>
      <c r="E722">
        <v>0.50303313112459103</v>
      </c>
      <c r="F722">
        <v>3.4892687315255001E-2</v>
      </c>
      <c r="G722">
        <v>2.1522802896848701</v>
      </c>
      <c r="H722">
        <v>0.298580874052572</v>
      </c>
      <c r="I722">
        <v>6.9767211490837049</v>
      </c>
    </row>
    <row r="723" spans="1:9" x14ac:dyDescent="0.25">
      <c r="A723" s="1" t="s">
        <v>735</v>
      </c>
      <c r="B723" t="str">
        <f>HYPERLINK("https://www.suredividend.com/sure-analysis-HP/","Helmerich &amp; Payne, Inc.")</f>
        <v>Helmerich &amp; Payne, Inc.</v>
      </c>
      <c r="C723">
        <v>-6.1670353982300002E-2</v>
      </c>
      <c r="D723">
        <v>-0.21168921085280601</v>
      </c>
      <c r="E723">
        <v>-0.10513892368757601</v>
      </c>
      <c r="F723">
        <v>-6.3224737713970011E-2</v>
      </c>
      <c r="G723">
        <v>-0.31376633672978199</v>
      </c>
      <c r="H723">
        <v>0.232621418477332</v>
      </c>
      <c r="I723">
        <v>-0.198599852616064</v>
      </c>
    </row>
    <row r="724" spans="1:9" x14ac:dyDescent="0.25">
      <c r="A724" s="1" t="s">
        <v>736</v>
      </c>
      <c r="B724" t="str">
        <f>HYPERLINK("https://www.suredividend.com/sure-analysis-research-database/","HighPeak Energy Inc")</f>
        <v>HighPeak Energy Inc</v>
      </c>
      <c r="C724">
        <v>4.6805349182763002E-2</v>
      </c>
      <c r="D724">
        <v>-0.18742322620084301</v>
      </c>
      <c r="E724">
        <v>2.9752464755277999E-2</v>
      </c>
      <c r="F724">
        <v>-1.0533707865168E-2</v>
      </c>
      <c r="G724">
        <v>-0.40712377185415799</v>
      </c>
      <c r="H724">
        <v>-0.20692547125738001</v>
      </c>
      <c r="I724">
        <v>1.110924671900281</v>
      </c>
    </row>
    <row r="725" spans="1:9" x14ac:dyDescent="0.25">
      <c r="A725" s="1" t="s">
        <v>737</v>
      </c>
      <c r="B725" t="str">
        <f>HYPERLINK("https://www.suredividend.com/sure-analysis-research-database/","Healthequity Inc")</f>
        <v>Healthequity Inc</v>
      </c>
      <c r="C725">
        <v>6.9118298626495003E-2</v>
      </c>
      <c r="D725">
        <v>-2.8322147651006001E-2</v>
      </c>
      <c r="E725">
        <v>0.17420924574209201</v>
      </c>
      <c r="F725">
        <v>9.1855203619909009E-2</v>
      </c>
      <c r="G725">
        <v>0.20911975947886999</v>
      </c>
      <c r="H725">
        <v>0.45215646940822402</v>
      </c>
      <c r="I725">
        <v>0.30408935326968101</v>
      </c>
    </row>
    <row r="726" spans="1:9" x14ac:dyDescent="0.25">
      <c r="A726" s="1" t="s">
        <v>738</v>
      </c>
      <c r="B726" t="str">
        <f>HYPERLINK("https://www.suredividend.com/sure-analysis-research-database/","Herc Holdings Inc")</f>
        <v>Herc Holdings Inc</v>
      </c>
      <c r="C726">
        <v>3.2118183154490013E-2</v>
      </c>
      <c r="D726">
        <v>0.30980662094515399</v>
      </c>
      <c r="E726">
        <v>-2.9150376953469E-2</v>
      </c>
      <c r="F726">
        <v>-5.6820471489017997E-2</v>
      </c>
      <c r="G726">
        <v>-3.0040896730402E-2</v>
      </c>
      <c r="H726">
        <v>-0.133882743894992</v>
      </c>
      <c r="I726">
        <v>3.3404618328042841</v>
      </c>
    </row>
    <row r="727" spans="1:9" x14ac:dyDescent="0.25">
      <c r="A727" s="1" t="s">
        <v>739</v>
      </c>
      <c r="B727" t="str">
        <f>HYPERLINK("https://www.suredividend.com/sure-analysis-research-database/","Harmony Biosciences Holdings Inc")</f>
        <v>Harmony Biosciences Holdings Inc</v>
      </c>
      <c r="C727">
        <v>-6.0024009603841001E-2</v>
      </c>
      <c r="D727">
        <v>0.48365703458076698</v>
      </c>
      <c r="E727">
        <v>-9.4797687861271004E-2</v>
      </c>
      <c r="F727">
        <v>-3.0340557275541E-2</v>
      </c>
      <c r="G727">
        <v>-0.33951919021509902</v>
      </c>
      <c r="H727">
        <v>-0.130965593784683</v>
      </c>
      <c r="I727">
        <v>-0.15374223182923499</v>
      </c>
    </row>
    <row r="728" spans="1:9" x14ac:dyDescent="0.25">
      <c r="A728" s="1" t="s">
        <v>740</v>
      </c>
      <c r="B728" t="str">
        <f>HYPERLINK("https://www.suredividend.com/sure-analysis-research-database/","HireRight Holdings Corp")</f>
        <v>HireRight Holdings Corp</v>
      </c>
      <c r="C728">
        <v>-2.1521906225979E-2</v>
      </c>
      <c r="D728">
        <v>0.25914935707220499</v>
      </c>
      <c r="E728">
        <v>0.142728904847396</v>
      </c>
      <c r="F728">
        <v>-5.3531598513011001E-2</v>
      </c>
      <c r="G728">
        <v>5.6431535269709003E-2</v>
      </c>
      <c r="H728">
        <v>-0.11781011781011699</v>
      </c>
      <c r="I728">
        <v>-0.26202898550724602</v>
      </c>
    </row>
    <row r="729" spans="1:9" x14ac:dyDescent="0.25">
      <c r="A729" s="1" t="s">
        <v>741</v>
      </c>
      <c r="B729" t="str">
        <f>HYPERLINK("https://www.suredividend.com/sure-analysis-research-database/","Heron Therapeutics Inc")</f>
        <v>Heron Therapeutics Inc</v>
      </c>
      <c r="C729">
        <v>0.27976190476190399</v>
      </c>
      <c r="D729">
        <v>1.97495502974955</v>
      </c>
      <c r="E729">
        <v>0.64122137404580104</v>
      </c>
      <c r="F729">
        <v>0.26470588235294101</v>
      </c>
      <c r="G729">
        <v>-0.32176656151419503</v>
      </c>
      <c r="H729">
        <v>-0.74096385542168608</v>
      </c>
      <c r="I729">
        <v>-0.91759294748945908</v>
      </c>
    </row>
    <row r="730" spans="1:9" x14ac:dyDescent="0.25">
      <c r="A730" s="1" t="s">
        <v>742</v>
      </c>
      <c r="B730" t="str">
        <f>HYPERLINK("https://www.suredividend.com/sure-analysis-research-database/","Heidrick &amp; Struggles International, Inc.")</f>
        <v>Heidrick &amp; Struggles International, Inc.</v>
      </c>
      <c r="C730">
        <v>-3.0281439258994999E-2</v>
      </c>
      <c r="D730">
        <v>8.1179844456272007E-2</v>
      </c>
      <c r="E730">
        <v>9.9473506506030009E-3</v>
      </c>
      <c r="F730">
        <v>-7.822553335590901E-2</v>
      </c>
      <c r="G730">
        <v>-3.3541986955302E-2</v>
      </c>
      <c r="H730">
        <v>-0.36101186423966902</v>
      </c>
      <c r="I730">
        <v>-8.470051010629101E-2</v>
      </c>
    </row>
    <row r="731" spans="1:9" x14ac:dyDescent="0.25">
      <c r="A731" s="1" t="s">
        <v>743</v>
      </c>
      <c r="B731" t="str">
        <f>HYPERLINK("https://www.suredividend.com/sure-analysis-research-database/","Healthstream Inc")</f>
        <v>Healthstream Inc</v>
      </c>
      <c r="C731">
        <v>3.1297709923663999E-2</v>
      </c>
      <c r="D731">
        <v>0.209668393272058</v>
      </c>
      <c r="E731">
        <v>0.16207556501730999</v>
      </c>
      <c r="F731">
        <v>-3.6995930447600002E-4</v>
      </c>
      <c r="G731">
        <v>0.117785279322213</v>
      </c>
      <c r="H731">
        <v>8.2258884976949012E-2</v>
      </c>
      <c r="I731">
        <v>9.8847470861427006E-2</v>
      </c>
    </row>
    <row r="732" spans="1:9" x14ac:dyDescent="0.25">
      <c r="A732" s="1" t="s">
        <v>744</v>
      </c>
      <c r="B732" t="str">
        <f>HYPERLINK("https://www.suredividend.com/sure-analysis-research-database/","Hersha Hospitality Trust")</f>
        <v>Hersha Hospitality Trust</v>
      </c>
      <c r="C732">
        <v>1.0111223458038001E-2</v>
      </c>
      <c r="D732">
        <v>0.59883488308819999</v>
      </c>
      <c r="E732">
        <v>0.73383317713214602</v>
      </c>
      <c r="F732">
        <v>0.197396651124881</v>
      </c>
      <c r="G732">
        <v>8.7003830083565006E-2</v>
      </c>
      <c r="H732">
        <v>5.7769683622040012E-2</v>
      </c>
      <c r="I732">
        <v>-0.33182173886871202</v>
      </c>
    </row>
    <row r="733" spans="1:9" x14ac:dyDescent="0.25">
      <c r="A733" s="1" t="s">
        <v>745</v>
      </c>
      <c r="B733" t="str">
        <f>HYPERLINK("https://www.suredividend.com/sure-analysis-research-database/","HomeTrust Bancshares Inc")</f>
        <v>HomeTrust Bancshares Inc</v>
      </c>
      <c r="C733">
        <v>1.8867924528301001E-2</v>
      </c>
      <c r="D733">
        <v>0.30616999955572399</v>
      </c>
      <c r="E733">
        <v>0.229976850775824</v>
      </c>
      <c r="F733">
        <v>-1.7087667161961001E-2</v>
      </c>
      <c r="G733">
        <v>0.104271435427665</v>
      </c>
      <c r="H733">
        <v>-0.1505836126199</v>
      </c>
      <c r="I733">
        <v>8.663958965597901E-2</v>
      </c>
    </row>
    <row r="734" spans="1:9" x14ac:dyDescent="0.25">
      <c r="A734" s="1" t="s">
        <v>746</v>
      </c>
      <c r="B734" t="str">
        <f>HYPERLINK("https://www.suredividend.com/sure-analysis-research-database/","Heritage Commerce Corp.")</f>
        <v>Heritage Commerce Corp.</v>
      </c>
      <c r="C734">
        <v>-9.4537815126050015E-3</v>
      </c>
      <c r="D734">
        <v>0.15935970886916301</v>
      </c>
      <c r="E734">
        <v>0.110443824260194</v>
      </c>
      <c r="F734">
        <v>-4.9395161290322002E-2</v>
      </c>
      <c r="G734">
        <v>-0.235006368186648</v>
      </c>
      <c r="H734">
        <v>-0.15404006423195199</v>
      </c>
      <c r="I734">
        <v>-1.5328711051708001E-2</v>
      </c>
    </row>
    <row r="735" spans="1:9" x14ac:dyDescent="0.25">
      <c r="A735" s="1" t="s">
        <v>747</v>
      </c>
      <c r="B735" t="str">
        <f>HYPERLINK("https://www.suredividend.com/sure-analysis-research-database/","Hilltop Holdings Inc")</f>
        <v>Hilltop Holdings Inc</v>
      </c>
      <c r="C735">
        <v>1.5873015873015001E-2</v>
      </c>
      <c r="D735">
        <v>0.22920373544578501</v>
      </c>
      <c r="E735">
        <v>6.8430585085439005E-2</v>
      </c>
      <c r="F735">
        <v>-3.6637318943480997E-2</v>
      </c>
      <c r="G735">
        <v>9.5784202875141014E-2</v>
      </c>
      <c r="H735">
        <v>-6.0403428197869008E-2</v>
      </c>
      <c r="I735">
        <v>0.98669290600693405</v>
      </c>
    </row>
    <row r="736" spans="1:9" x14ac:dyDescent="0.25">
      <c r="A736" s="1" t="s">
        <v>748</v>
      </c>
      <c r="B736" t="str">
        <f>HYPERLINK("https://www.suredividend.com/sure-analysis-research-database/","Heartland Express, Inc.")</f>
        <v>Heartland Express, Inc.</v>
      </c>
      <c r="C736">
        <v>-4.7341587764019998E-2</v>
      </c>
      <c r="D736">
        <v>-0.11361695783581501</v>
      </c>
      <c r="E736">
        <v>-0.15088092857791999</v>
      </c>
      <c r="F736">
        <v>-8.2748948106591003E-2</v>
      </c>
      <c r="G736">
        <v>-0.19932910144891999</v>
      </c>
      <c r="H736">
        <v>-0.17797371778354501</v>
      </c>
      <c r="I736">
        <v>-0.30183029351951202</v>
      </c>
    </row>
    <row r="737" spans="1:9" x14ac:dyDescent="0.25">
      <c r="A737" s="1" t="s">
        <v>749</v>
      </c>
      <c r="B737" t="str">
        <f>HYPERLINK("https://www.suredividend.com/sure-analysis-research-database/","Heartland Financial USA, Inc.")</f>
        <v>Heartland Financial USA, Inc.</v>
      </c>
      <c r="C737">
        <v>-1.8954779312210001E-3</v>
      </c>
      <c r="D737">
        <v>0.299301000031724</v>
      </c>
      <c r="E737">
        <v>0.271613286047442</v>
      </c>
      <c r="F737">
        <v>-1.9941504918904E-2</v>
      </c>
      <c r="G737">
        <v>-0.17154576614035999</v>
      </c>
      <c r="H737">
        <v>-0.24474951336953099</v>
      </c>
      <c r="I737">
        <v>-6.8980323810967012E-2</v>
      </c>
    </row>
    <row r="738" spans="1:9" x14ac:dyDescent="0.25">
      <c r="A738" s="1" t="s">
        <v>750</v>
      </c>
      <c r="B738" t="str">
        <f>HYPERLINK("https://www.suredividend.com/sure-analysis-research-database/","Hub Group, Inc.")</f>
        <v>Hub Group, Inc.</v>
      </c>
      <c r="C738">
        <v>6.0616929698708008E-2</v>
      </c>
      <c r="D738">
        <v>0.145827951433737</v>
      </c>
      <c r="E738">
        <v>0.103358208955223</v>
      </c>
      <c r="F738">
        <v>-3.5131607570154003E-2</v>
      </c>
      <c r="G738">
        <v>8.4739545121056012E-2</v>
      </c>
      <c r="H738">
        <v>9.1412401574803001E-2</v>
      </c>
      <c r="I738">
        <v>1.1339908587923979</v>
      </c>
    </row>
    <row r="739" spans="1:9" x14ac:dyDescent="0.25">
      <c r="A739" s="1" t="s">
        <v>751</v>
      </c>
      <c r="B739" t="str">
        <f>HYPERLINK("https://www.suredividend.com/sure-analysis-research-database/","Humacyte Inc")</f>
        <v>Humacyte Inc</v>
      </c>
      <c r="C739">
        <v>-8.9347079037800009E-2</v>
      </c>
      <c r="D739">
        <v>2.7131782945736E-2</v>
      </c>
      <c r="E739">
        <v>-0.16927899686520301</v>
      </c>
      <c r="F739">
        <v>-6.6901408450704011E-2</v>
      </c>
      <c r="G739">
        <v>0.06</v>
      </c>
      <c r="H739">
        <v>-0.53993055555555503</v>
      </c>
      <c r="I739">
        <v>-0.78278688524590101</v>
      </c>
    </row>
    <row r="740" spans="1:9" x14ac:dyDescent="0.25">
      <c r="A740" s="1" t="s">
        <v>752</v>
      </c>
      <c r="B740" t="str">
        <f>HYPERLINK("https://www.suredividend.com/sure-analysis-research-database/","Huron Consulting Group Inc")</f>
        <v>Huron Consulting Group Inc</v>
      </c>
      <c r="C740">
        <v>-1.1771406872982001E-2</v>
      </c>
      <c r="D740">
        <v>5.8942893033140003E-3</v>
      </c>
      <c r="E740">
        <v>0.27855563743551898</v>
      </c>
      <c r="F740">
        <v>1.2645914396887E-2</v>
      </c>
      <c r="G740">
        <v>0.43408182945309198</v>
      </c>
      <c r="H740">
        <v>1.1755485893416919</v>
      </c>
      <c r="I740">
        <v>1.125791300796406</v>
      </c>
    </row>
    <row r="741" spans="1:9" x14ac:dyDescent="0.25">
      <c r="A741" s="1" t="s">
        <v>753</v>
      </c>
      <c r="B741" t="str">
        <f>HYPERLINK("https://www.suredividend.com/sure-analysis-research-database/","Haverty Furniture Cos., Inc.")</f>
        <v>Haverty Furniture Cos., Inc.</v>
      </c>
      <c r="C741">
        <v>5.3956834532373002E-2</v>
      </c>
      <c r="D741">
        <v>0.317515157419828</v>
      </c>
      <c r="E741">
        <v>0.108959357081128</v>
      </c>
      <c r="F741">
        <v>-9.5774647887320007E-3</v>
      </c>
      <c r="G741">
        <v>8.4084371116982012E-2</v>
      </c>
      <c r="H741">
        <v>0.28057108517108797</v>
      </c>
      <c r="I741">
        <v>1.2334728724519279</v>
      </c>
    </row>
    <row r="742" spans="1:9" x14ac:dyDescent="0.25">
      <c r="A742" s="1" t="s">
        <v>754</v>
      </c>
      <c r="B742" t="str">
        <f>HYPERLINK("https://www.suredividend.com/sure-analysis-research-database/","Hancock Whitney Corp.")</f>
        <v>Hancock Whitney Corp.</v>
      </c>
      <c r="C742">
        <v>-1.5759930915371E-2</v>
      </c>
      <c r="D742">
        <v>0.32644748327029399</v>
      </c>
      <c r="E742">
        <v>0.117078884048241</v>
      </c>
      <c r="F742">
        <v>-6.1741098991561008E-2</v>
      </c>
      <c r="G742">
        <v>-5.9268751173592003E-2</v>
      </c>
      <c r="H742">
        <v>-9.7617266209834005E-2</v>
      </c>
      <c r="I742">
        <v>0.42773035030909601</v>
      </c>
    </row>
    <row r="743" spans="1:9" x14ac:dyDescent="0.25">
      <c r="A743" s="1" t="s">
        <v>755</v>
      </c>
      <c r="B743" t="str">
        <f>HYPERLINK("https://www.suredividend.com/sure-analysis-HWKN/","Hawkins Inc")</f>
        <v>Hawkins Inc</v>
      </c>
      <c r="C743">
        <v>-1.2513034410844E-2</v>
      </c>
      <c r="D743">
        <v>0.13891733271024101</v>
      </c>
      <c r="E743">
        <v>0.44241021110671103</v>
      </c>
      <c r="F743">
        <v>-5.8648111332007008E-2</v>
      </c>
      <c r="G743">
        <v>0.73219334507465506</v>
      </c>
      <c r="H743">
        <v>0.74303338820027609</v>
      </c>
      <c r="I743">
        <v>2.3443314364128018</v>
      </c>
    </row>
    <row r="744" spans="1:9" x14ac:dyDescent="0.25">
      <c r="A744" s="1" t="s">
        <v>756</v>
      </c>
      <c r="B744" t="str">
        <f>HYPERLINK("https://www.suredividend.com/sure-analysis-research-database/","Hyster-Yale Materials Handling Inc")</f>
        <v>Hyster-Yale Materials Handling Inc</v>
      </c>
      <c r="C744">
        <v>0.20190511766903199</v>
      </c>
      <c r="D744">
        <v>0.56119218312165609</v>
      </c>
      <c r="E744">
        <v>0.36426949569730299</v>
      </c>
      <c r="F744">
        <v>3.4732272069464012E-2</v>
      </c>
      <c r="G744">
        <v>1.1551291068019689</v>
      </c>
      <c r="H744">
        <v>0.53464945124655905</v>
      </c>
      <c r="I744">
        <v>8.1663492554423012E-2</v>
      </c>
    </row>
    <row r="745" spans="1:9" x14ac:dyDescent="0.25">
      <c r="A745" s="1" t="s">
        <v>757</v>
      </c>
      <c r="B745" t="str">
        <f>HYPERLINK("https://www.suredividend.com/sure-analysis-research-database/","Hydrofarm Holdings Group Inc")</f>
        <v>Hydrofarm Holdings Group Inc</v>
      </c>
      <c r="C745">
        <v>-5.5014811680060014E-3</v>
      </c>
      <c r="D745">
        <v>-0.145454545454545</v>
      </c>
      <c r="E745">
        <v>-7.843137254901901E-2</v>
      </c>
      <c r="F745">
        <v>2.4523160762942E-2</v>
      </c>
      <c r="G745">
        <v>-0.44378698224851998</v>
      </c>
      <c r="H745">
        <v>-0.95977749251176703</v>
      </c>
      <c r="I745">
        <v>-0.9819195999230621</v>
      </c>
    </row>
    <row r="746" spans="1:9" x14ac:dyDescent="0.25">
      <c r="A746" s="1" t="s">
        <v>758</v>
      </c>
      <c r="B746" t="str">
        <f>HYPERLINK("https://www.suredividend.com/sure-analysis-research-database/","Hyliion Holdings Corporation")</f>
        <v>Hyliion Holdings Corporation</v>
      </c>
      <c r="C746">
        <v>0.45894174909718899</v>
      </c>
      <c r="D746">
        <v>0.27044025157232698</v>
      </c>
      <c r="E746">
        <v>-0.569814814814814</v>
      </c>
      <c r="F746">
        <v>0.14194420548113501</v>
      </c>
      <c r="G746">
        <v>-0.69633986928104508</v>
      </c>
      <c r="H746">
        <v>-0.82467924528301806</v>
      </c>
      <c r="I746">
        <v>-0.90420618556701005</v>
      </c>
    </row>
    <row r="747" spans="1:9" x14ac:dyDescent="0.25">
      <c r="A747" s="1" t="s">
        <v>759</v>
      </c>
      <c r="B747" t="str">
        <f>HYPERLINK("https://www.suredividend.com/sure-analysis-research-database/","Hycroft Mining Holding Corporation")</f>
        <v>Hycroft Mining Holding Corporation</v>
      </c>
      <c r="C747">
        <v>0.183168316831683</v>
      </c>
      <c r="D747">
        <v>-0.183743169398907</v>
      </c>
      <c r="E747">
        <v>-0.49148936170212698</v>
      </c>
      <c r="F747">
        <v>-2.4489795918366999E-2</v>
      </c>
      <c r="G747">
        <v>-0.65231306371835907</v>
      </c>
      <c r="H747">
        <v>-0.45829555757026202</v>
      </c>
      <c r="I747">
        <v>-0.75785207700101309</v>
      </c>
    </row>
    <row r="748" spans="1:9" x14ac:dyDescent="0.25">
      <c r="A748" s="1" t="s">
        <v>760</v>
      </c>
      <c r="B748" t="str">
        <f>HYPERLINK("https://www.suredividend.com/sure-analysis-research-database/","Hyzon Motors Inc")</f>
        <v>Hyzon Motors Inc</v>
      </c>
      <c r="C748">
        <v>-0.27396643010025901</v>
      </c>
      <c r="D748">
        <v>-0.46735537190082599</v>
      </c>
      <c r="E748">
        <v>-0.50423076923076904</v>
      </c>
      <c r="F748">
        <v>-0.27988826815642398</v>
      </c>
      <c r="G748">
        <v>-0.672842639593908</v>
      </c>
      <c r="H748">
        <v>-0.87758784425451009</v>
      </c>
      <c r="I748">
        <v>-0.93712195121951203</v>
      </c>
    </row>
    <row r="749" spans="1:9" x14ac:dyDescent="0.25">
      <c r="A749" s="1" t="s">
        <v>761</v>
      </c>
      <c r="B749" t="str">
        <f>HYPERLINK("https://www.suredividend.com/sure-analysis-research-database/","Marinemax, Inc.")</f>
        <v>Marinemax, Inc.</v>
      </c>
      <c r="C749">
        <v>-1.6763005780346001E-2</v>
      </c>
      <c r="D749">
        <v>0.15517826825127301</v>
      </c>
      <c r="E749">
        <v>-7.9794427914525012E-2</v>
      </c>
      <c r="F749">
        <v>-0.12544987146529499</v>
      </c>
      <c r="G749">
        <v>-1.3054830287206E-2</v>
      </c>
      <c r="H749">
        <v>-0.359080633006782</v>
      </c>
      <c r="I749">
        <v>0.64109985528219904</v>
      </c>
    </row>
    <row r="750" spans="1:9" x14ac:dyDescent="0.25">
      <c r="A750" s="1" t="s">
        <v>762</v>
      </c>
      <c r="B750" t="str">
        <f>HYPERLINK("https://www.suredividend.com/sure-analysis-research-database/","Integral Ad Science Holding Corp")</f>
        <v>Integral Ad Science Holding Corp</v>
      </c>
      <c r="C750">
        <v>3.401360544217E-3</v>
      </c>
      <c r="D750">
        <v>0.26392459297343601</v>
      </c>
      <c r="E750">
        <v>-0.241645244215938</v>
      </c>
      <c r="F750">
        <v>2.5017373175816E-2</v>
      </c>
      <c r="G750">
        <v>0.54288702928870203</v>
      </c>
      <c r="H750">
        <v>-0.157624214734437</v>
      </c>
      <c r="I750">
        <v>-0.28328474246841501</v>
      </c>
    </row>
    <row r="751" spans="1:9" x14ac:dyDescent="0.25">
      <c r="A751" s="1" t="s">
        <v>763</v>
      </c>
      <c r="B751" t="str">
        <f>HYPERLINK("https://www.suredividend.com/sure-analysis-research-database/","Independent Bank Corporation (Ionia, MI)")</f>
        <v>Independent Bank Corporation (Ionia, MI)</v>
      </c>
      <c r="C751">
        <v>2.9795918367345998E-2</v>
      </c>
      <c r="D751">
        <v>0.46044976990535702</v>
      </c>
      <c r="E751">
        <v>0.48172944783114202</v>
      </c>
      <c r="F751">
        <v>-3.0361260568793E-2</v>
      </c>
      <c r="G751">
        <v>0.13053336260860601</v>
      </c>
      <c r="H751">
        <v>0.12041210560206</v>
      </c>
      <c r="I751">
        <v>0.42475562306940801</v>
      </c>
    </row>
    <row r="752" spans="1:9" x14ac:dyDescent="0.25">
      <c r="A752" s="1" t="s">
        <v>764</v>
      </c>
      <c r="B752" t="str">
        <f>HYPERLINK("https://www.suredividend.com/sure-analysis-research-database/","IBEX Ltd")</f>
        <v>IBEX Ltd</v>
      </c>
      <c r="C752">
        <v>-7.4349442379182007E-2</v>
      </c>
      <c r="D752">
        <v>8.7336244541484004E-2</v>
      </c>
      <c r="E752">
        <v>-0.17197149643705401</v>
      </c>
      <c r="F752">
        <v>-8.3114150447133009E-2</v>
      </c>
      <c r="G752">
        <v>-0.33064516129032201</v>
      </c>
      <c r="H752">
        <v>0.21294363256784901</v>
      </c>
      <c r="I752">
        <v>0.131818181818181</v>
      </c>
    </row>
    <row r="753" spans="1:9" x14ac:dyDescent="0.25">
      <c r="A753" s="1" t="s">
        <v>765</v>
      </c>
      <c r="B753" t="str">
        <f>HYPERLINK("https://www.suredividend.com/sure-analysis-IBOC/","International Bancshares Corp.")</f>
        <v>International Bancshares Corp.</v>
      </c>
      <c r="C753">
        <v>3.6234738085860002E-2</v>
      </c>
      <c r="D753">
        <v>0.24279641001416999</v>
      </c>
      <c r="E753">
        <v>0.171929808932234</v>
      </c>
      <c r="F753">
        <v>-3.1296023564064003E-2</v>
      </c>
      <c r="G753">
        <v>0.197585710904356</v>
      </c>
      <c r="H753">
        <v>0.247348022424766</v>
      </c>
      <c r="I753">
        <v>0.78729734962348508</v>
      </c>
    </row>
    <row r="754" spans="1:9" x14ac:dyDescent="0.25">
      <c r="A754" s="1" t="s">
        <v>766</v>
      </c>
      <c r="B754" t="str">
        <f>HYPERLINK("https://www.suredividend.com/sure-analysis-research-database/","Installed Building Products Inc")</f>
        <v>Installed Building Products Inc</v>
      </c>
      <c r="C754">
        <v>0.118126272912423</v>
      </c>
      <c r="D754">
        <v>0.59146580087834999</v>
      </c>
      <c r="E754">
        <v>0.28037249195222802</v>
      </c>
      <c r="F754">
        <v>2.1004266491631E-2</v>
      </c>
      <c r="G754">
        <v>0.82026870075956604</v>
      </c>
      <c r="H754">
        <v>0.56864392892108406</v>
      </c>
      <c r="I754">
        <v>3.946915929461527</v>
      </c>
    </row>
    <row r="755" spans="1:9" x14ac:dyDescent="0.25">
      <c r="A755" s="1" t="s">
        <v>767</v>
      </c>
      <c r="B755" t="str">
        <f>HYPERLINK("https://www.suredividend.com/sure-analysis-research-database/","ImmunityBio Inc")</f>
        <v>ImmunityBio Inc</v>
      </c>
      <c r="C755">
        <v>-2.0356234096691999E-2</v>
      </c>
      <c r="D755">
        <v>1.938931297709924</v>
      </c>
      <c r="E755">
        <v>0.42592592592592499</v>
      </c>
      <c r="F755">
        <v>-0.23306772908366499</v>
      </c>
      <c r="G755">
        <v>-0.19456066945606601</v>
      </c>
      <c r="H755">
        <v>-0.38301282051281998</v>
      </c>
      <c r="I755">
        <v>1.75</v>
      </c>
    </row>
    <row r="756" spans="1:9" x14ac:dyDescent="0.25">
      <c r="A756" s="1" t="s">
        <v>768</v>
      </c>
      <c r="B756" t="str">
        <f>HYPERLINK("https://www.suredividend.com/sure-analysis-research-database/","Independent Bank Group Inc")</f>
        <v>Independent Bank Group Inc</v>
      </c>
      <c r="C756">
        <v>8.1524052788420009E-2</v>
      </c>
      <c r="D756">
        <v>0.37390791761419701</v>
      </c>
      <c r="E756">
        <v>0.40293232459894501</v>
      </c>
      <c r="F756">
        <v>-1.3757861635210001E-3</v>
      </c>
      <c r="G756">
        <v>-0.117578612092351</v>
      </c>
      <c r="H756">
        <v>-0.29370324137528298</v>
      </c>
      <c r="I756">
        <v>0.190331165545289</v>
      </c>
    </row>
    <row r="757" spans="1:9" x14ac:dyDescent="0.25">
      <c r="A757" s="1" t="s">
        <v>769</v>
      </c>
      <c r="B757" t="str">
        <f>HYPERLINK("https://www.suredividend.com/sure-analysis-research-database/","ICF International, Inc")</f>
        <v>ICF International, Inc</v>
      </c>
      <c r="C757">
        <v>-5.8460008523937013E-2</v>
      </c>
      <c r="D757">
        <v>6.1767333680990003E-3</v>
      </c>
      <c r="E757">
        <v>0.15304484739879801</v>
      </c>
      <c r="F757">
        <v>-1.1484823625922E-2</v>
      </c>
      <c r="G757">
        <v>0.29621335544702898</v>
      </c>
      <c r="H757">
        <v>0.29722566931168198</v>
      </c>
      <c r="I757">
        <v>1.127683481599671</v>
      </c>
    </row>
    <row r="758" spans="1:9" x14ac:dyDescent="0.25">
      <c r="A758" s="1" t="s">
        <v>770</v>
      </c>
      <c r="B758" t="str">
        <f>HYPERLINK("https://www.suredividend.com/sure-analysis-research-database/","Ichor Holdings Ltd")</f>
        <v>Ichor Holdings Ltd</v>
      </c>
      <c r="C758">
        <v>0.13588483146067401</v>
      </c>
      <c r="D758">
        <v>0.102966246164337</v>
      </c>
      <c r="E758">
        <v>-0.11563696008747899</v>
      </c>
      <c r="F758">
        <v>-3.8061254831995003E-2</v>
      </c>
      <c r="G758">
        <v>4.8622366288492001E-2</v>
      </c>
      <c r="H758">
        <v>-0.30054054054054002</v>
      </c>
      <c r="I758">
        <v>0.76006528835690901</v>
      </c>
    </row>
    <row r="759" spans="1:9" x14ac:dyDescent="0.25">
      <c r="A759" s="1" t="s">
        <v>771</v>
      </c>
      <c r="B759" t="str">
        <f>HYPERLINK("https://www.suredividend.com/sure-analysis-research-database/","Intercept Pharmaceuticals Inc")</f>
        <v>Intercept Pharmaceuticals Inc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s="1" t="s">
        <v>772</v>
      </c>
      <c r="B760" t="str">
        <f>HYPERLINK("https://www.suredividend.com/sure-analysis-research-database/","Icosavax Inc")</f>
        <v>Icosavax Inc</v>
      </c>
      <c r="C760">
        <v>-7.6287349014620004E-3</v>
      </c>
      <c r="D760">
        <v>1.4126738794435849</v>
      </c>
      <c r="E760">
        <v>0.6192946058091281</v>
      </c>
      <c r="F760">
        <v>-9.5177664974609999E-3</v>
      </c>
      <c r="G760">
        <v>0.49235181644359399</v>
      </c>
      <c r="H760">
        <v>-3.8793103448275003E-2</v>
      </c>
      <c r="I760">
        <v>-0.55361738633114099</v>
      </c>
    </row>
    <row r="761" spans="1:9" x14ac:dyDescent="0.25">
      <c r="A761" s="1" t="s">
        <v>773</v>
      </c>
      <c r="B761" t="str">
        <f>HYPERLINK("https://www.suredividend.com/sure-analysis-research-database/","Interdigital Inc")</f>
        <v>Interdigital Inc</v>
      </c>
      <c r="C761">
        <v>-1.6449913263747E-2</v>
      </c>
      <c r="D761">
        <v>0.30022555189769201</v>
      </c>
      <c r="E761">
        <v>6.907733123710301E-2</v>
      </c>
      <c r="F761">
        <v>-4.0463726353918997E-2</v>
      </c>
      <c r="G761">
        <v>0.79701205020367605</v>
      </c>
      <c r="H761">
        <v>0.56841798582111203</v>
      </c>
      <c r="I761">
        <v>0.66012958519246601</v>
      </c>
    </row>
    <row r="762" spans="1:9" x14ac:dyDescent="0.25">
      <c r="A762" s="1" t="s">
        <v>774</v>
      </c>
      <c r="B762" t="str">
        <f>HYPERLINK("https://www.suredividend.com/sure-analysis-research-database/","IDT Corp.")</f>
        <v>IDT Corp.</v>
      </c>
      <c r="C762">
        <v>1.4637184677669999E-2</v>
      </c>
      <c r="D762">
        <v>0.13916083916083899</v>
      </c>
      <c r="E762">
        <v>0.32600732600732601</v>
      </c>
      <c r="F762">
        <v>-4.4294514520386997E-2</v>
      </c>
      <c r="G762">
        <v>0.17236415976970099</v>
      </c>
      <c r="H762">
        <v>-0.195754134781535</v>
      </c>
      <c r="I762">
        <v>3.4146341463414629</v>
      </c>
    </row>
    <row r="763" spans="1:9" x14ac:dyDescent="0.25">
      <c r="A763" s="1" t="s">
        <v>775</v>
      </c>
      <c r="B763" t="str">
        <f>HYPERLINK("https://www.suredividend.com/sure-analysis-research-database/","Ideaya Biosciences Inc")</f>
        <v>Ideaya Biosciences Inc</v>
      </c>
      <c r="C763">
        <v>0.211585365853658</v>
      </c>
      <c r="D763">
        <v>0.59023609443777503</v>
      </c>
      <c r="E763">
        <v>0.74758135444151208</v>
      </c>
      <c r="F763">
        <v>0.116919617762788</v>
      </c>
      <c r="G763">
        <v>1.1228632478632481</v>
      </c>
      <c r="H763">
        <v>1.315850815850816</v>
      </c>
      <c r="I763">
        <v>2.5513851653261841</v>
      </c>
    </row>
    <row r="764" spans="1:9" x14ac:dyDescent="0.25">
      <c r="A764" s="1" t="s">
        <v>776</v>
      </c>
      <c r="B764" t="str">
        <f>HYPERLINK("https://www.suredividend.com/sure-analysis-research-database/","Ivanhoe Electric Inc")</f>
        <v>Ivanhoe Electric Inc</v>
      </c>
      <c r="C764">
        <v>-0.16573033707865101</v>
      </c>
      <c r="D764">
        <v>-0.113432835820895</v>
      </c>
      <c r="E764">
        <v>-0.43320610687022898</v>
      </c>
      <c r="F764">
        <v>-0.11607142857142801</v>
      </c>
      <c r="G764">
        <v>-0.38930774503084298</v>
      </c>
      <c r="H764">
        <v>-0.17499999999999999</v>
      </c>
      <c r="I764">
        <v>-0.17499999999999999</v>
      </c>
    </row>
    <row r="765" spans="1:9" x14ac:dyDescent="0.25">
      <c r="A765" s="1" t="s">
        <v>777</v>
      </c>
      <c r="B765" t="str">
        <f>HYPERLINK("https://www.suredividend.com/sure-analysis-research-database/","IES Holdings Inc")</f>
        <v>IES Holdings Inc</v>
      </c>
      <c r="C765">
        <v>-6.261075014766701E-2</v>
      </c>
      <c r="D765">
        <v>0.25912408759124</v>
      </c>
      <c r="E765">
        <v>0.37165082108902298</v>
      </c>
      <c r="F765">
        <v>1.640999747538E-3</v>
      </c>
      <c r="G765">
        <v>1.009369460622942</v>
      </c>
      <c r="H765">
        <v>0.553141514973575</v>
      </c>
      <c r="I765">
        <v>3.7091988130563789</v>
      </c>
    </row>
    <row r="766" spans="1:9" x14ac:dyDescent="0.25">
      <c r="A766" s="1" t="s">
        <v>778</v>
      </c>
      <c r="B766" t="str">
        <f>HYPERLINK("https://www.suredividend.com/sure-analysis-research-database/","IGM Biosciences Inc")</f>
        <v>IGM Biosciences Inc</v>
      </c>
      <c r="C766">
        <v>0.73926868044515004</v>
      </c>
      <c r="D766">
        <v>1.4807256235827659</v>
      </c>
      <c r="E766">
        <v>0.10393541876892</v>
      </c>
      <c r="F766">
        <v>0.31648616125150397</v>
      </c>
      <c r="G766">
        <v>-0.56810106592972709</v>
      </c>
      <c r="H766">
        <v>-0.48541862652869211</v>
      </c>
      <c r="I766">
        <v>-0.54979423868312705</v>
      </c>
    </row>
    <row r="767" spans="1:9" x14ac:dyDescent="0.25">
      <c r="A767" s="1" t="s">
        <v>779</v>
      </c>
      <c r="B767" t="str">
        <f>HYPERLINK("https://www.suredividend.com/sure-analysis-research-database/","International Game Technology PLC")</f>
        <v>International Game Technology PLC</v>
      </c>
      <c r="C767">
        <v>-5.7467057101023997E-2</v>
      </c>
      <c r="D767">
        <v>-0.151495180822143</v>
      </c>
      <c r="E767">
        <v>-0.189629778824003</v>
      </c>
      <c r="F767">
        <v>-6.0561838744983013E-2</v>
      </c>
      <c r="G767">
        <v>7.9895491279057013E-2</v>
      </c>
      <c r="H767">
        <v>-1.4048374807117001E-2</v>
      </c>
      <c r="I767">
        <v>0.92605446807237413</v>
      </c>
    </row>
    <row r="768" spans="1:9" x14ac:dyDescent="0.25">
      <c r="A768" s="1" t="s">
        <v>780</v>
      </c>
      <c r="B768" t="str">
        <f>HYPERLINK("https://www.suredividend.com/sure-analysis-research-database/","iHeartMedia Inc")</f>
        <v>iHeartMedia Inc</v>
      </c>
      <c r="C768">
        <v>-6.9387755102040011E-2</v>
      </c>
      <c r="D768">
        <v>-0.133079847908745</v>
      </c>
      <c r="E768">
        <v>-0.48181818181818098</v>
      </c>
      <c r="F768">
        <v>-0.14606741573033699</v>
      </c>
      <c r="G768">
        <v>-0.69761273209549002</v>
      </c>
      <c r="H768">
        <v>-0.88990825688073305</v>
      </c>
      <c r="I768">
        <v>-0.86181818181818104</v>
      </c>
    </row>
    <row r="769" spans="1:9" x14ac:dyDescent="0.25">
      <c r="A769" s="1" t="s">
        <v>781</v>
      </c>
      <c r="B769" t="str">
        <f>HYPERLINK("https://www.suredividend.com/sure-analysis-research-database/","Information Services Group Inc.")</f>
        <v>Information Services Group Inc.</v>
      </c>
      <c r="C769">
        <v>3.1963470319634001E-2</v>
      </c>
      <c r="D769">
        <v>9.5863841342190004E-2</v>
      </c>
      <c r="E769">
        <v>-0.128691495103708</v>
      </c>
      <c r="F769">
        <v>-4.0339702760085E-2</v>
      </c>
      <c r="G769">
        <v>-8.1431503647855008E-2</v>
      </c>
      <c r="H769">
        <v>-0.32370763821351101</v>
      </c>
      <c r="I769">
        <v>0.178402899079698</v>
      </c>
    </row>
    <row r="770" spans="1:9" x14ac:dyDescent="0.25">
      <c r="A770" s="1" t="s">
        <v>782</v>
      </c>
      <c r="B770" t="str">
        <f>HYPERLINK("https://www.suredividend.com/sure-analysis-research-database/","Insteel Industries, Inc.")</f>
        <v>Insteel Industries, Inc.</v>
      </c>
      <c r="C770">
        <v>3.0904451375106001E-2</v>
      </c>
      <c r="D770">
        <v>0.21158402281883201</v>
      </c>
      <c r="E770">
        <v>0.23687773415973201</v>
      </c>
      <c r="F770">
        <v>-5.0404805432227001E-2</v>
      </c>
      <c r="G770">
        <v>0.236696835811148</v>
      </c>
      <c r="H770">
        <v>1.6499952473874001E-2</v>
      </c>
      <c r="I770">
        <v>0.71198530969701201</v>
      </c>
    </row>
    <row r="771" spans="1:9" x14ac:dyDescent="0.25">
      <c r="A771" s="1" t="s">
        <v>783</v>
      </c>
      <c r="B771" t="str">
        <f>HYPERLINK("https://www.suredividend.com/sure-analysis-research-database/","i3 Verticals Inc")</f>
        <v>i3 Verticals Inc</v>
      </c>
      <c r="C771">
        <v>-2.3552502453384999E-2</v>
      </c>
      <c r="D771">
        <v>1.2722646310432E-2</v>
      </c>
      <c r="E771">
        <v>-0.19563459983831799</v>
      </c>
      <c r="F771">
        <v>-5.9990552668871003E-2</v>
      </c>
      <c r="G771">
        <v>-0.283915077365959</v>
      </c>
      <c r="H771">
        <v>-0.15102389078498299</v>
      </c>
      <c r="I771">
        <v>-0.18308702791461401</v>
      </c>
    </row>
    <row r="772" spans="1:9" x14ac:dyDescent="0.25">
      <c r="A772" s="1" t="s">
        <v>784</v>
      </c>
      <c r="B772" t="str">
        <f>HYPERLINK("https://www.suredividend.com/sure-analysis-IIPR/","Innovative Industrial Properties Inc")</f>
        <v>Innovative Industrial Properties Inc</v>
      </c>
      <c r="C772">
        <v>1.9718272878840998E-2</v>
      </c>
      <c r="D772">
        <v>0.25694990405322798</v>
      </c>
      <c r="E772">
        <v>0.277857597227401</v>
      </c>
      <c r="F772">
        <v>-7.5481055346161008E-2</v>
      </c>
      <c r="G772">
        <v>-8.9430417771786008E-2</v>
      </c>
      <c r="H772">
        <v>-0.48574559165187597</v>
      </c>
      <c r="I772">
        <v>1.3106155444113641</v>
      </c>
    </row>
    <row r="773" spans="1:9" x14ac:dyDescent="0.25">
      <c r="A773" s="1" t="s">
        <v>785</v>
      </c>
      <c r="B773" t="str">
        <f>HYPERLINK("https://www.suredividend.com/sure-analysis-ILPT/","Industrial Logistics Properties Trust")</f>
        <v>Industrial Logistics Properties Trust</v>
      </c>
      <c r="C773">
        <v>-1.1547344110854001E-2</v>
      </c>
      <c r="D773">
        <v>0.71247949425839208</v>
      </c>
      <c r="E773">
        <v>4.1033249823656012E-2</v>
      </c>
      <c r="F773">
        <v>-8.936170212765901E-2</v>
      </c>
      <c r="G773">
        <v>8.3078168889338E-2</v>
      </c>
      <c r="H773">
        <v>-0.8177498062527141</v>
      </c>
      <c r="I773">
        <v>-0.72093993688548108</v>
      </c>
    </row>
    <row r="774" spans="1:9" x14ac:dyDescent="0.25">
      <c r="A774" s="1" t="s">
        <v>786</v>
      </c>
      <c r="B774" t="str">
        <f>HYPERLINK("https://www.suredividend.com/sure-analysis-research-database/","Imax Corp")</f>
        <v>Imax Corp</v>
      </c>
      <c r="C774">
        <v>-9.9752168525402002E-2</v>
      </c>
      <c r="D774">
        <v>-0.180947012401352</v>
      </c>
      <c r="E774">
        <v>-0.19679380873410701</v>
      </c>
      <c r="F774">
        <v>-3.2623169107856002E-2</v>
      </c>
      <c r="G774">
        <v>-0.113483831604637</v>
      </c>
      <c r="H774">
        <v>-0.225066666666666</v>
      </c>
      <c r="I774">
        <v>-0.25410677618069799</v>
      </c>
    </row>
    <row r="775" spans="1:9" x14ac:dyDescent="0.25">
      <c r="A775" s="1" t="s">
        <v>787</v>
      </c>
      <c r="B775" t="str">
        <f>HYPERLINK("https://www.suredividend.com/sure-analysis-research-database/","Immunogen, Inc.")</f>
        <v>Immunogen, Inc.</v>
      </c>
      <c r="C775">
        <v>-6.3439065108510002E-3</v>
      </c>
      <c r="D775">
        <v>1.062370062370062</v>
      </c>
      <c r="E775">
        <v>0.58129649309245401</v>
      </c>
      <c r="F775">
        <v>3.70994940978E-3</v>
      </c>
      <c r="G775">
        <v>5.5695364238410594</v>
      </c>
      <c r="H775">
        <v>3.6068111455108358</v>
      </c>
      <c r="I775">
        <v>4.3237924865831836</v>
      </c>
    </row>
    <row r="776" spans="1:9" x14ac:dyDescent="0.25">
      <c r="A776" s="1" t="s">
        <v>788</v>
      </c>
      <c r="B776" t="str">
        <f>HYPERLINK("https://www.suredividend.com/sure-analysis-research-database/","Ingles Markets, Inc.")</f>
        <v>Ingles Markets, Inc.</v>
      </c>
      <c r="C776">
        <v>-2.2672025012890002E-3</v>
      </c>
      <c r="D776">
        <v>0.111685794054767</v>
      </c>
      <c r="E776">
        <v>3.7052161305181013E-2</v>
      </c>
      <c r="F776">
        <v>-8.2738758674550002E-3</v>
      </c>
      <c r="G776">
        <v>-0.109897835924118</v>
      </c>
      <c r="H776">
        <v>5.8402535303858007E-2</v>
      </c>
      <c r="I776">
        <v>2.1891196938325499</v>
      </c>
    </row>
    <row r="777" spans="1:9" x14ac:dyDescent="0.25">
      <c r="A777" s="1" t="s">
        <v>789</v>
      </c>
      <c r="B777" t="str">
        <f>HYPERLINK("https://www.suredividend.com/sure-analysis-research-database/","Immunovant Inc")</f>
        <v>Immunovant Inc</v>
      </c>
      <c r="C777">
        <v>-2.8217481073639999E-2</v>
      </c>
      <c r="D777">
        <v>0.13231756214915799</v>
      </c>
      <c r="E777">
        <v>1.0897878638381839</v>
      </c>
      <c r="F777">
        <v>5.4592926655590004E-3</v>
      </c>
      <c r="G777">
        <v>1.2774193548387089</v>
      </c>
      <c r="H777">
        <v>4.8027397260273972</v>
      </c>
      <c r="I777">
        <v>3.2572864321608042</v>
      </c>
    </row>
    <row r="778" spans="1:9" x14ac:dyDescent="0.25">
      <c r="A778" s="1" t="s">
        <v>790</v>
      </c>
      <c r="B778" t="str">
        <f>HYPERLINK("https://www.suredividend.com/sure-analysis-research-database/","International Money Express Inc.")</f>
        <v>International Money Express Inc.</v>
      </c>
      <c r="C778">
        <v>-3.1073446327683E-2</v>
      </c>
      <c r="D778">
        <v>0.26646153846153797</v>
      </c>
      <c r="E778">
        <v>-0.208461538461538</v>
      </c>
      <c r="F778">
        <v>-6.8356722498868011E-2</v>
      </c>
      <c r="G778">
        <v>-0.126114649681528</v>
      </c>
      <c r="H778">
        <v>0.24878640776698999</v>
      </c>
      <c r="I778">
        <v>0.733782645324347</v>
      </c>
    </row>
    <row r="779" spans="1:9" x14ac:dyDescent="0.25">
      <c r="A779" s="1" t="s">
        <v>791</v>
      </c>
      <c r="B779" t="str">
        <f>HYPERLINK("https://www.suredividend.com/sure-analysis-research-database/","First Internet Bancorp")</f>
        <v>First Internet Bancorp</v>
      </c>
      <c r="C779">
        <v>9.9736815121167013E-2</v>
      </c>
      <c r="D779">
        <v>0.50557131576638503</v>
      </c>
      <c r="E779">
        <v>0.61812501178704105</v>
      </c>
      <c r="F779">
        <v>6.4076064489458004E-2</v>
      </c>
      <c r="G779">
        <v>3.4374673492841998E-2</v>
      </c>
      <c r="H779">
        <v>-0.49723322010988902</v>
      </c>
      <c r="I779">
        <v>0.158885237044707</v>
      </c>
    </row>
    <row r="780" spans="1:9" x14ac:dyDescent="0.25">
      <c r="A780" s="1" t="s">
        <v>792</v>
      </c>
      <c r="B780" t="str">
        <f>HYPERLINK("https://www.suredividend.com/sure-analysis-research-database/","Inhibrx Inc")</f>
        <v>Inhibrx Inc</v>
      </c>
      <c r="C780">
        <v>0.29068047337278102</v>
      </c>
      <c r="D780">
        <v>0.97175141242937813</v>
      </c>
      <c r="E780">
        <v>0.39099242726185701</v>
      </c>
      <c r="F780">
        <v>-8.1578947368421001E-2</v>
      </c>
      <c r="G780">
        <v>0.47506339814032111</v>
      </c>
      <c r="H780">
        <v>8.3850931677018001E-2</v>
      </c>
      <c r="I780">
        <v>0.69171110033931105</v>
      </c>
    </row>
    <row r="781" spans="1:9" x14ac:dyDescent="0.25">
      <c r="A781" s="1" t="s">
        <v>793</v>
      </c>
      <c r="B781" t="str">
        <f>HYPERLINK("https://www.suredividend.com/sure-analysis-INDB/","Independent Bank Corp.")</f>
        <v>Independent Bank Corp.</v>
      </c>
      <c r="C781">
        <v>-2.1102927160057999E-2</v>
      </c>
      <c r="D781">
        <v>0.347639318802203</v>
      </c>
      <c r="E781">
        <v>0.30764927865348601</v>
      </c>
      <c r="F781">
        <v>-4.8017018690168001E-2</v>
      </c>
      <c r="G781">
        <v>-0.17592571887820599</v>
      </c>
      <c r="H781">
        <v>-0.19946844193430899</v>
      </c>
      <c r="I781">
        <v>3.8591163106058E-2</v>
      </c>
    </row>
    <row r="782" spans="1:9" x14ac:dyDescent="0.25">
      <c r="A782" s="1" t="s">
        <v>794</v>
      </c>
      <c r="B782" t="str">
        <f>HYPERLINK("https://www.suredividend.com/sure-analysis-research-database/","Indie Semiconductor Inc")</f>
        <v>Indie Semiconductor Inc</v>
      </c>
      <c r="C782">
        <v>-0.115628970775095</v>
      </c>
      <c r="D782">
        <v>0.42915811088295602</v>
      </c>
      <c r="E782">
        <v>-0.27725856697819301</v>
      </c>
      <c r="F782">
        <v>-0.14180024660912399</v>
      </c>
      <c r="G782">
        <v>-1.8335684062059002E-2</v>
      </c>
      <c r="H782">
        <v>-0.27950310559006197</v>
      </c>
      <c r="I782">
        <v>-0.35315985130111499</v>
      </c>
    </row>
    <row r="783" spans="1:9" x14ac:dyDescent="0.25">
      <c r="A783" s="1" t="s">
        <v>795</v>
      </c>
      <c r="B783" t="str">
        <f>HYPERLINK("https://www.suredividend.com/sure-analysis-research-database/","INDUS Realty Trust Inc")</f>
        <v>INDUS Realty Trust Inc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s="1" t="s">
        <v>796</v>
      </c>
      <c r="B784" t="str">
        <f>HYPERLINK("https://www.suredividend.com/sure-analysis-research-database/","Infinera Corp.")</f>
        <v>Infinera Corp.</v>
      </c>
      <c r="C784">
        <v>3.6402569593146999E-2</v>
      </c>
      <c r="D784">
        <v>0.41107871720116601</v>
      </c>
      <c r="E784">
        <v>-4.3478260869565001E-2</v>
      </c>
      <c r="F784">
        <v>1.8947368421052001E-2</v>
      </c>
      <c r="G784">
        <v>-0.32117812061710999</v>
      </c>
      <c r="H784">
        <v>-0.46987951807228912</v>
      </c>
      <c r="I784">
        <v>0.128205128205128</v>
      </c>
    </row>
    <row r="785" spans="1:9" x14ac:dyDescent="0.25">
      <c r="A785" s="1" t="s">
        <v>797</v>
      </c>
      <c r="B785" t="str">
        <f>HYPERLINK("https://www.suredividend.com/sure-analysis-research-database/","Inogen Inc")</f>
        <v>Inogen Inc</v>
      </c>
      <c r="C785">
        <v>-2.2875816993463E-2</v>
      </c>
      <c r="D785">
        <v>0.29718004338394799</v>
      </c>
      <c r="E785">
        <v>-0.41715399610136411</v>
      </c>
      <c r="F785">
        <v>8.9253187613843002E-2</v>
      </c>
      <c r="G785">
        <v>-0.74312714776632305</v>
      </c>
      <c r="H785">
        <v>-0.80684754521963808</v>
      </c>
      <c r="I785">
        <v>-0.95596789632574908</v>
      </c>
    </row>
    <row r="786" spans="1:9" x14ac:dyDescent="0.25">
      <c r="A786" s="1" t="s">
        <v>798</v>
      </c>
      <c r="B786" t="str">
        <f>HYPERLINK("https://www.suredividend.com/sure-analysis-research-database/","Summit Hotel Properties Inc")</f>
        <v>Summit Hotel Properties Inc</v>
      </c>
      <c r="C786">
        <v>-1.6516516516515999E-2</v>
      </c>
      <c r="D786">
        <v>0.14801507317500601</v>
      </c>
      <c r="E786">
        <v>1.7175513246575E-2</v>
      </c>
      <c r="F786">
        <v>-2.5297619047618999E-2</v>
      </c>
      <c r="G786">
        <v>-0.10018820490981201</v>
      </c>
      <c r="H786">
        <v>-0.311938652240138</v>
      </c>
      <c r="I786">
        <v>-0.29294673891923401</v>
      </c>
    </row>
    <row r="787" spans="1:9" x14ac:dyDescent="0.25">
      <c r="A787" s="1" t="s">
        <v>799</v>
      </c>
      <c r="B787" t="str">
        <f>HYPERLINK("https://www.suredividend.com/sure-analysis-research-database/","InnovAge Holding Corp")</f>
        <v>InnovAge Holding Corp</v>
      </c>
      <c r="C787">
        <v>3.1802120141341997E-2</v>
      </c>
      <c r="D787">
        <v>0</v>
      </c>
      <c r="E787">
        <v>-0.16571428571428501</v>
      </c>
      <c r="F787">
        <v>-2.6666666666665999E-2</v>
      </c>
      <c r="G787">
        <v>-0.227513227513227</v>
      </c>
      <c r="H787">
        <v>0.20412371134020599</v>
      </c>
      <c r="I787">
        <v>-0.75867768595041307</v>
      </c>
    </row>
    <row r="788" spans="1:9" x14ac:dyDescent="0.25">
      <c r="A788" s="1" t="s">
        <v>800</v>
      </c>
      <c r="B788" t="str">
        <f>HYPERLINK("https://www.suredividend.com/sure-analysis-research-database/","Inovio Pharmaceuticals Inc")</f>
        <v>Inovio Pharmaceuticals Inc</v>
      </c>
      <c r="C788">
        <v>1.0375760783276</v>
      </c>
      <c r="D788">
        <v>0.50156006240249607</v>
      </c>
      <c r="E788">
        <v>0.37035059619149302</v>
      </c>
      <c r="F788">
        <v>0.50980392156862708</v>
      </c>
      <c r="G788">
        <v>-0.59473684210526301</v>
      </c>
      <c r="H788">
        <v>-0.83297180043383912</v>
      </c>
      <c r="I788">
        <v>-0.84090909090909005</v>
      </c>
    </row>
    <row r="789" spans="1:9" x14ac:dyDescent="0.25">
      <c r="A789" s="1" t="s">
        <v>801</v>
      </c>
      <c r="B789" t="str">
        <f>HYPERLINK("https://www.suredividend.com/sure-analysis-research-database/","Inspired Entertainment Inc")</f>
        <v>Inspired Entertainment Inc</v>
      </c>
      <c r="C789">
        <v>2.6345933562427998E-2</v>
      </c>
      <c r="D789">
        <v>-0.189873417721519</v>
      </c>
      <c r="E789">
        <v>-0.35353535353535298</v>
      </c>
      <c r="F789">
        <v>-9.3117408906882013E-2</v>
      </c>
      <c r="G789">
        <v>-0.33727810650887502</v>
      </c>
      <c r="H789">
        <v>-0.30917501927524998</v>
      </c>
      <c r="I789">
        <v>0.59105034182722105</v>
      </c>
    </row>
    <row r="790" spans="1:9" x14ac:dyDescent="0.25">
      <c r="A790" s="1" t="s">
        <v>802</v>
      </c>
      <c r="B790" t="str">
        <f>HYPERLINK("https://www.suredividend.com/sure-analysis-research-database/","Inseego Corp")</f>
        <v>Inseego Corp</v>
      </c>
      <c r="C790">
        <v>-0.21608448415921999</v>
      </c>
      <c r="D790">
        <v>-0.51139240506329109</v>
      </c>
      <c r="E790">
        <v>-0.76289926289926202</v>
      </c>
      <c r="F790">
        <v>-0.121929026387625</v>
      </c>
      <c r="G790">
        <v>-0.83070175438596405</v>
      </c>
      <c r="H790">
        <v>-0.96170634920634912</v>
      </c>
      <c r="I790">
        <v>-0.96528776978417208</v>
      </c>
    </row>
    <row r="791" spans="1:9" x14ac:dyDescent="0.25">
      <c r="A791" s="1" t="s">
        <v>803</v>
      </c>
      <c r="B791" t="str">
        <f>HYPERLINK("https://www.suredividend.com/sure-analysis-research-database/","Insmed Inc")</f>
        <v>Insmed Inc</v>
      </c>
      <c r="C791">
        <v>-8.7077673284570011E-3</v>
      </c>
      <c r="D791">
        <v>0.149434571890145</v>
      </c>
      <c r="E791">
        <v>0.35717691940867902</v>
      </c>
      <c r="F791">
        <v>-8.1639238464020006E-2</v>
      </c>
      <c r="G791">
        <v>0.46323907455012803</v>
      </c>
      <c r="H791">
        <v>0.202365863962822</v>
      </c>
      <c r="I791">
        <v>0.25374449339207</v>
      </c>
    </row>
    <row r="792" spans="1:9" x14ac:dyDescent="0.25">
      <c r="A792" s="1" t="s">
        <v>804</v>
      </c>
      <c r="B792" t="str">
        <f>HYPERLINK("https://www.suredividend.com/sure-analysis-research-database/","Inspire Medical Systems Inc")</f>
        <v>Inspire Medical Systems Inc</v>
      </c>
      <c r="C792">
        <v>2.7361671549389E-2</v>
      </c>
      <c r="D792">
        <v>0.235196384661394</v>
      </c>
      <c r="E792">
        <v>-0.42536482809794701</v>
      </c>
      <c r="F792">
        <v>-8.6368775500171011E-2</v>
      </c>
      <c r="G792">
        <v>-0.27661230685400601</v>
      </c>
      <c r="H792">
        <v>-0.21095308851623801</v>
      </c>
      <c r="I792">
        <v>2.8923560209424082</v>
      </c>
    </row>
    <row r="793" spans="1:9" x14ac:dyDescent="0.25">
      <c r="A793" s="1" t="s">
        <v>805</v>
      </c>
      <c r="B793" t="str">
        <f>HYPERLINK("https://www.suredividend.com/sure-analysis-research-database/","Instructure Holdings Inc")</f>
        <v>Instructure Holdings Inc</v>
      </c>
      <c r="C793">
        <v>-7.2563176895306003E-2</v>
      </c>
      <c r="D793">
        <v>-6.9578662543480002E-3</v>
      </c>
      <c r="E793">
        <v>-9.3827160493827014E-2</v>
      </c>
      <c r="F793">
        <v>-4.8870788596815998E-2</v>
      </c>
      <c r="G793">
        <v>1.181567546278E-2</v>
      </c>
      <c r="H793">
        <v>0.225083452551263</v>
      </c>
      <c r="I793">
        <v>0.22449952335557599</v>
      </c>
    </row>
    <row r="794" spans="1:9" x14ac:dyDescent="0.25">
      <c r="A794" s="1" t="s">
        <v>806</v>
      </c>
      <c r="B794" t="str">
        <f>HYPERLINK("https://www.suredividend.com/sure-analysis-research-database/","International Seaways Inc")</f>
        <v>International Seaways Inc</v>
      </c>
      <c r="C794">
        <v>0.18310185185185099</v>
      </c>
      <c r="D794">
        <v>0.142636133771816</v>
      </c>
      <c r="E794">
        <v>0.40301850743646411</v>
      </c>
      <c r="F794">
        <v>0.123790677220756</v>
      </c>
      <c r="G794">
        <v>0.39303780907941199</v>
      </c>
      <c r="H794">
        <v>2.5035885905442181</v>
      </c>
      <c r="I794">
        <v>2.3502012349401529</v>
      </c>
    </row>
    <row r="795" spans="1:9" x14ac:dyDescent="0.25">
      <c r="A795" s="1" t="s">
        <v>807</v>
      </c>
      <c r="B795" t="str">
        <f>HYPERLINK("https://www.suredividend.com/sure-analysis-research-database/","Intapp Inc")</f>
        <v>Intapp Inc</v>
      </c>
      <c r="C795">
        <v>0.101171458998934</v>
      </c>
      <c r="D795">
        <v>0.204426324985439</v>
      </c>
      <c r="E795">
        <v>1.7215937038858001E-2</v>
      </c>
      <c r="F795">
        <v>8.7848500789058009E-2</v>
      </c>
      <c r="G795">
        <v>0.53640416047548201</v>
      </c>
      <c r="H795">
        <v>0.89898989898989812</v>
      </c>
      <c r="I795">
        <v>0.47714285714285698</v>
      </c>
    </row>
    <row r="796" spans="1:9" x14ac:dyDescent="0.25">
      <c r="A796" s="1" t="s">
        <v>808</v>
      </c>
      <c r="B796" t="str">
        <f>HYPERLINK("https://www.suredividend.com/sure-analysis-research-database/","Innoviva Inc")</f>
        <v>Innoviva Inc</v>
      </c>
      <c r="C796">
        <v>4.2675159235668003E-2</v>
      </c>
      <c r="D796">
        <v>0.22990232907588201</v>
      </c>
      <c r="E796">
        <v>0.31380417335473498</v>
      </c>
      <c r="F796">
        <v>2.0573566084788001E-2</v>
      </c>
      <c r="G796">
        <v>0.224382946896036</v>
      </c>
      <c r="H796">
        <v>-3.6492054149498999E-2</v>
      </c>
      <c r="I796">
        <v>-0.15575038679731801</v>
      </c>
    </row>
    <row r="797" spans="1:9" x14ac:dyDescent="0.25">
      <c r="A797" s="1" t="s">
        <v>809</v>
      </c>
      <c r="B797" t="str">
        <f>HYPERLINK("https://www.suredividend.com/sure-analysis-research-database/","Identiv Inc")</f>
        <v>Identiv Inc</v>
      </c>
      <c r="C797">
        <v>6.1827956989247007E-2</v>
      </c>
      <c r="D797">
        <v>8.3676268861454003E-2</v>
      </c>
      <c r="E797">
        <v>-8.1395348837209003E-2</v>
      </c>
      <c r="F797">
        <v>-4.1262135922330002E-2</v>
      </c>
      <c r="G797">
        <v>-7.0588235294117008E-2</v>
      </c>
      <c r="H797">
        <v>-0.63992707383773906</v>
      </c>
      <c r="I797">
        <v>0.7594654788418701</v>
      </c>
    </row>
    <row r="798" spans="1:9" x14ac:dyDescent="0.25">
      <c r="A798" s="1" t="s">
        <v>810</v>
      </c>
      <c r="B798" t="str">
        <f>HYPERLINK("https://www.suredividend.com/sure-analysis-research-database/","IonQ Inc")</f>
        <v>IonQ Inc</v>
      </c>
      <c r="C798">
        <v>-0.15115413253909099</v>
      </c>
      <c r="D798">
        <v>-0.202239328201539</v>
      </c>
      <c r="E798">
        <v>-0.21161825726141001</v>
      </c>
      <c r="F798">
        <v>-7.990314769975701E-2</v>
      </c>
      <c r="G798">
        <v>1.5850340136054419</v>
      </c>
      <c r="H798">
        <v>-0.121725731895223</v>
      </c>
      <c r="I798">
        <v>0.47477360931435902</v>
      </c>
    </row>
    <row r="799" spans="1:9" x14ac:dyDescent="0.25">
      <c r="A799" s="1" t="s">
        <v>811</v>
      </c>
      <c r="B799" t="str">
        <f>HYPERLINK("https://www.suredividend.com/sure-analysis-research-database/","Innospec Inc")</f>
        <v>Innospec Inc</v>
      </c>
      <c r="C799">
        <v>2.9055477528089999E-2</v>
      </c>
      <c r="D799">
        <v>0.20314502911132701</v>
      </c>
      <c r="E799">
        <v>0.165834283066115</v>
      </c>
      <c r="F799">
        <v>-4.8766634209672012E-2</v>
      </c>
      <c r="G799">
        <v>9.8096152495140004E-2</v>
      </c>
      <c r="H799">
        <v>0.24468463494524001</v>
      </c>
      <c r="I799">
        <v>1.0313883550831491</v>
      </c>
    </row>
    <row r="800" spans="1:9" x14ac:dyDescent="0.25">
      <c r="A800" s="1" t="s">
        <v>812</v>
      </c>
      <c r="B800" t="str">
        <f>HYPERLINK("https://www.suredividend.com/sure-analysis-research-database/","Iovance Biotherapeutics Inc")</f>
        <v>Iovance Biotherapeutics Inc</v>
      </c>
      <c r="C800">
        <v>0.22585034013605401</v>
      </c>
      <c r="D800">
        <v>1.4820936639118449</v>
      </c>
      <c r="E800">
        <v>0.17317708333333301</v>
      </c>
      <c r="F800">
        <v>0.108241082410823</v>
      </c>
      <c r="G800">
        <v>0.41889763779527511</v>
      </c>
      <c r="H800">
        <v>-0.40801576872536099</v>
      </c>
      <c r="I800">
        <v>-5.2576235541535003E-2</v>
      </c>
    </row>
    <row r="801" spans="1:9" x14ac:dyDescent="0.25">
      <c r="A801" s="1" t="s">
        <v>813</v>
      </c>
      <c r="B801" t="str">
        <f>HYPERLINK("https://www.suredividend.com/sure-analysis-IPAR/","Inter Parfums, Inc.")</f>
        <v>Inter Parfums, Inc.</v>
      </c>
      <c r="C801">
        <v>1.5336639937835E-2</v>
      </c>
      <c r="D801">
        <v>0.149432861342402</v>
      </c>
      <c r="E801">
        <v>6.4172945833558009E-2</v>
      </c>
      <c r="F801">
        <v>-3.0970071522809998E-2</v>
      </c>
      <c r="G801">
        <v>0.291855708372946</v>
      </c>
      <c r="H801">
        <v>0.52137059628351601</v>
      </c>
      <c r="I801">
        <v>1.5308856921079159</v>
      </c>
    </row>
    <row r="802" spans="1:9" x14ac:dyDescent="0.25">
      <c r="A802" s="1" t="s">
        <v>814</v>
      </c>
      <c r="B802" t="str">
        <f>HYPERLINK("https://www.suredividend.com/sure-analysis-research-database/","Intrepid Potash Inc")</f>
        <v>Intrepid Potash Inc</v>
      </c>
      <c r="C802">
        <v>4.4652128764278001E-2</v>
      </c>
      <c r="D802">
        <v>-8.4622383985441002E-2</v>
      </c>
      <c r="E802">
        <v>-0.15956558061821199</v>
      </c>
      <c r="F802">
        <v>-0.157806613645876</v>
      </c>
      <c r="G802">
        <v>-0.37242669993761701</v>
      </c>
      <c r="H802">
        <v>-0.51704272683629304</v>
      </c>
      <c r="I802">
        <v>-0.36329113924050599</v>
      </c>
    </row>
    <row r="803" spans="1:9" x14ac:dyDescent="0.25">
      <c r="A803" s="1" t="s">
        <v>815</v>
      </c>
      <c r="B803" t="str">
        <f>HYPERLINK("https://www.suredividend.com/sure-analysis-research-database/","Century Therapeutics Inc")</f>
        <v>Century Therapeutics Inc</v>
      </c>
      <c r="C803">
        <v>0.44360902255639001</v>
      </c>
      <c r="D803">
        <v>1.348623853211008</v>
      </c>
      <c r="E803">
        <v>0.238709677419354</v>
      </c>
      <c r="F803">
        <v>0.156626506024096</v>
      </c>
      <c r="G803">
        <v>-0.214723926380368</v>
      </c>
      <c r="H803">
        <v>-0.73333333333333306</v>
      </c>
      <c r="I803">
        <v>-0.83180026281208908</v>
      </c>
    </row>
    <row r="804" spans="1:9" x14ac:dyDescent="0.25">
      <c r="A804" s="1" t="s">
        <v>816</v>
      </c>
      <c r="B804" t="str">
        <f>HYPERLINK("https://www.suredividend.com/sure-analysis-research-database/","Irobot Corp")</f>
        <v>Irobot Corp</v>
      </c>
      <c r="C804">
        <v>-0.224320827943078</v>
      </c>
      <c r="D804">
        <v>-0.21661876143193101</v>
      </c>
      <c r="E804">
        <v>-0.36577110217897102</v>
      </c>
      <c r="F804">
        <v>-0.22532299741601999</v>
      </c>
      <c r="G804">
        <v>-0.37515631513130399</v>
      </c>
      <c r="H804">
        <v>-0.57122425629290607</v>
      </c>
      <c r="I804">
        <v>-0.65316982878297003</v>
      </c>
    </row>
    <row r="805" spans="1:9" x14ac:dyDescent="0.25">
      <c r="A805" s="1" t="s">
        <v>817</v>
      </c>
      <c r="B805" t="str">
        <f>HYPERLINK("https://www.suredividend.com/sure-analysis-research-database/","Iridium Communications Inc")</f>
        <v>Iridium Communications Inc</v>
      </c>
      <c r="C805">
        <v>-4.1267507370537013E-2</v>
      </c>
      <c r="D805">
        <v>-9.159619863573501E-2</v>
      </c>
      <c r="E805">
        <v>-0.35700917025001799</v>
      </c>
      <c r="F805">
        <v>-6.8513119533527012E-2</v>
      </c>
      <c r="G805">
        <v>-0.36784205614565002</v>
      </c>
      <c r="H805">
        <v>3.3311772315653E-2</v>
      </c>
      <c r="I805">
        <v>0.84149855907780902</v>
      </c>
    </row>
    <row r="806" spans="1:9" x14ac:dyDescent="0.25">
      <c r="A806" s="1" t="s">
        <v>818</v>
      </c>
      <c r="B806" t="str">
        <f>HYPERLINK("https://www.suredividend.com/sure-analysis-research-database/","Iradimed Corp")</f>
        <v>Iradimed Corp</v>
      </c>
      <c r="C806">
        <v>4.2731265364748E-2</v>
      </c>
      <c r="D806">
        <v>0.19461710280299799</v>
      </c>
      <c r="E806">
        <v>-1.5360806143453001E-2</v>
      </c>
      <c r="F806">
        <v>-4.5713081946492012E-2</v>
      </c>
      <c r="G806">
        <v>0.51212201122241507</v>
      </c>
      <c r="H806">
        <v>6.0504968922288002E-2</v>
      </c>
      <c r="I806">
        <v>0.80966191680348909</v>
      </c>
    </row>
    <row r="807" spans="1:9" x14ac:dyDescent="0.25">
      <c r="A807" s="1" t="s">
        <v>819</v>
      </c>
      <c r="B807" t="str">
        <f>HYPERLINK("https://www.suredividend.com/sure-analysis-research-database/","IronNet Inc")</f>
        <v>IronNet Inc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s="1" t="s">
        <v>820</v>
      </c>
      <c r="B808" t="str">
        <f>HYPERLINK("https://www.suredividend.com/sure-analysis-IRT/","Independence Realty Trust Inc")</f>
        <v>Independence Realty Trust Inc</v>
      </c>
      <c r="C808">
        <v>2.4518388791593002E-2</v>
      </c>
      <c r="D808">
        <v>0.115225281372584</v>
      </c>
      <c r="E808">
        <v>-0.14403412608191599</v>
      </c>
      <c r="F808">
        <v>-5.8823529411760004E-3</v>
      </c>
      <c r="G808">
        <v>-0.10896309314586899</v>
      </c>
      <c r="H808">
        <v>-0.31368390654188699</v>
      </c>
      <c r="I808">
        <v>0.90888554216867412</v>
      </c>
    </row>
    <row r="809" spans="1:9" x14ac:dyDescent="0.25">
      <c r="A809" s="1" t="s">
        <v>821</v>
      </c>
      <c r="B809" t="str">
        <f>HYPERLINK("https://www.suredividend.com/sure-analysis-research-database/","iRhythm Technologies Inc")</f>
        <v>iRhythm Technologies Inc</v>
      </c>
      <c r="C809">
        <v>0.13795243019648401</v>
      </c>
      <c r="D809">
        <v>0.317844311377245</v>
      </c>
      <c r="E809">
        <v>0.112864077669903</v>
      </c>
      <c r="F809">
        <v>2.8026905829596001E-2</v>
      </c>
      <c r="G809">
        <v>8.104921898025301E-2</v>
      </c>
      <c r="H809">
        <v>-0.23113471212968101</v>
      </c>
      <c r="I809">
        <v>0.34326171875</v>
      </c>
    </row>
    <row r="810" spans="1:9" x14ac:dyDescent="0.25">
      <c r="A810" s="1" t="s">
        <v>822</v>
      </c>
      <c r="B810" t="str">
        <f>HYPERLINK("https://www.suredividend.com/sure-analysis-research-database/","Ironwood Pharmaceuticals Inc")</f>
        <v>Ironwood Pharmaceuticals Inc</v>
      </c>
      <c r="C810">
        <v>0.136576239476146</v>
      </c>
      <c r="D810">
        <v>0.29946524064171098</v>
      </c>
      <c r="E810">
        <v>0.17618586640851799</v>
      </c>
      <c r="F810">
        <v>6.2062937062937001E-2</v>
      </c>
      <c r="G810">
        <v>4.8317515099223003E-2</v>
      </c>
      <c r="H810">
        <v>6.9542253521126002E-2</v>
      </c>
      <c r="I810">
        <v>0.112311410575655</v>
      </c>
    </row>
    <row r="811" spans="1:9" x14ac:dyDescent="0.25">
      <c r="A811" s="1" t="s">
        <v>823</v>
      </c>
      <c r="B811" t="str">
        <f>HYPERLINK("https://www.suredividend.com/sure-analysis-research-database/","IVERIC bio Inc")</f>
        <v>IVERIC bio Inc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s="1" t="s">
        <v>824</v>
      </c>
      <c r="B812" t="str">
        <f>HYPERLINK("https://www.suredividend.com/sure-analysis-research-database/","Inspirato Incorporated")</f>
        <v>Inspirato Incorporated</v>
      </c>
      <c r="C812">
        <v>-2.5252525252524999E-2</v>
      </c>
      <c r="D812">
        <v>-0.44794050343249397</v>
      </c>
      <c r="E812">
        <v>-0.80103092783505103</v>
      </c>
      <c r="F812">
        <v>4.8913043478259997E-2</v>
      </c>
      <c r="G812">
        <v>-0.86312056737588605</v>
      </c>
      <c r="H812">
        <v>-0.6185770750988141</v>
      </c>
      <c r="I812">
        <v>-0.62741312741312705</v>
      </c>
    </row>
    <row r="813" spans="1:9" x14ac:dyDescent="0.25">
      <c r="A813" s="1" t="s">
        <v>825</v>
      </c>
      <c r="B813" t="str">
        <f>HYPERLINK("https://www.suredividend.com/sure-analysis-research-database/","Intra-Cellular Therapies Inc")</f>
        <v>Intra-Cellular Therapies Inc</v>
      </c>
      <c r="C813">
        <v>3.0147723846799999E-4</v>
      </c>
      <c r="D813">
        <v>0.23667536339917999</v>
      </c>
      <c r="E813">
        <v>5.6856187290969001E-2</v>
      </c>
      <c r="F813">
        <v>-7.3443172298240003E-2</v>
      </c>
      <c r="G813">
        <v>0.38163647720174798</v>
      </c>
      <c r="H813">
        <v>0.61972174762020904</v>
      </c>
      <c r="I813">
        <v>4.0007535795026374</v>
      </c>
    </row>
    <row r="814" spans="1:9" x14ac:dyDescent="0.25">
      <c r="A814" s="1" t="s">
        <v>826</v>
      </c>
      <c r="B814" t="str">
        <f>HYPERLINK("https://www.suredividend.com/sure-analysis-research-database/","Integer Holdings Corp")</f>
        <v>Integer Holdings Corp</v>
      </c>
      <c r="C814">
        <v>7.4101018499272003E-2</v>
      </c>
      <c r="D814">
        <v>0.37323943661971798</v>
      </c>
      <c r="E814">
        <v>0.24010079193664399</v>
      </c>
      <c r="F814">
        <v>4.3096487686717012E-2</v>
      </c>
      <c r="G814">
        <v>0.40440277211577602</v>
      </c>
      <c r="H814">
        <v>0.25852411105698903</v>
      </c>
      <c r="I814">
        <v>0.30624368048533801</v>
      </c>
    </row>
    <row r="815" spans="1:9" x14ac:dyDescent="0.25">
      <c r="A815" s="1" t="s">
        <v>827</v>
      </c>
      <c r="B815" t="str">
        <f>HYPERLINK("https://www.suredividend.com/sure-analysis-research-database/","Investors Title Co.")</f>
        <v>Investors Title Co.</v>
      </c>
      <c r="C815">
        <v>7.7936476879931008E-2</v>
      </c>
      <c r="D815">
        <v>0.151732057843039</v>
      </c>
      <c r="E815">
        <v>0.12008826252136399</v>
      </c>
      <c r="F815">
        <v>1.9365980017269E-2</v>
      </c>
      <c r="G815">
        <v>5.8209865911850997E-2</v>
      </c>
      <c r="H815">
        <v>-0.17407614510234801</v>
      </c>
      <c r="I815">
        <v>6.4654164538281003E-2</v>
      </c>
    </row>
    <row r="816" spans="1:9" x14ac:dyDescent="0.25">
      <c r="A816" s="1" t="s">
        <v>828</v>
      </c>
      <c r="B816" t="str">
        <f>HYPERLINK("https://www.suredividend.com/sure-analysis-research-database/","ITeos Therapeutics Inc")</f>
        <v>ITeos Therapeutics Inc</v>
      </c>
      <c r="C816">
        <v>3.1876138433515E-2</v>
      </c>
      <c r="D816">
        <v>0.25331858407079599</v>
      </c>
      <c r="E816">
        <v>-0.18547807332853999</v>
      </c>
      <c r="F816">
        <v>3.4703196347032013E-2</v>
      </c>
      <c r="G816">
        <v>-0.40587309910854702</v>
      </c>
      <c r="H816">
        <v>-0.70985915492957707</v>
      </c>
      <c r="I816">
        <v>-0.40524934383202099</v>
      </c>
    </row>
    <row r="817" spans="1:9" x14ac:dyDescent="0.25">
      <c r="A817" s="1" t="s">
        <v>829</v>
      </c>
      <c r="B817" t="str">
        <f>HYPERLINK("https://www.suredividend.com/sure-analysis-research-database/","Itron Inc.")</f>
        <v>Itron Inc.</v>
      </c>
      <c r="C817">
        <v>-1.1038430089942E-2</v>
      </c>
      <c r="D817">
        <v>0.261209593326381</v>
      </c>
      <c r="E817">
        <v>8.0566745381300004E-3</v>
      </c>
      <c r="F817">
        <v>-3.8935240365513997E-2</v>
      </c>
      <c r="G817">
        <v>0.24327565530238099</v>
      </c>
      <c r="H817">
        <v>0.14445671029806001</v>
      </c>
      <c r="I817">
        <v>0.39236377590176502</v>
      </c>
    </row>
    <row r="818" spans="1:9" x14ac:dyDescent="0.25">
      <c r="A818" s="1" t="s">
        <v>830</v>
      </c>
      <c r="B818" t="str">
        <f>HYPERLINK("https://www.suredividend.com/sure-analysis-research-database/","Invesco Mortgage Capital Inc")</f>
        <v>Invesco Mortgage Capital Inc</v>
      </c>
      <c r="C818">
        <v>9.6168788476480013E-2</v>
      </c>
      <c r="D818">
        <v>0.15434484321303099</v>
      </c>
      <c r="E818">
        <v>-0.134652587077352</v>
      </c>
      <c r="F818">
        <v>3.4988713318284001E-2</v>
      </c>
      <c r="G818">
        <v>-0.233604399461767</v>
      </c>
      <c r="H818">
        <v>-0.52648483408896107</v>
      </c>
      <c r="I818">
        <v>-0.84135469595290102</v>
      </c>
    </row>
    <row r="819" spans="1:9" x14ac:dyDescent="0.25">
      <c r="A819" s="1" t="s">
        <v>831</v>
      </c>
      <c r="B819" t="str">
        <f>HYPERLINK("https://www.suredividend.com/sure-analysis-research-database/","InvenTrust Properties Corp")</f>
        <v>InvenTrust Properties Corp</v>
      </c>
      <c r="C819">
        <v>-3.0148970034236E-2</v>
      </c>
      <c r="D819">
        <v>7.2102140073960009E-3</v>
      </c>
      <c r="E819">
        <v>7.0259751746911001E-2</v>
      </c>
      <c r="F819">
        <v>2.7624309392260001E-3</v>
      </c>
      <c r="G819">
        <v>5.9420966612187001E-2</v>
      </c>
      <c r="H819">
        <v>-2.0008639042299999E-2</v>
      </c>
      <c r="I819">
        <v>3.0333333333333332</v>
      </c>
    </row>
    <row r="820" spans="1:9" x14ac:dyDescent="0.25">
      <c r="A820" s="1" t="s">
        <v>832</v>
      </c>
      <c r="B820" t="str">
        <f>HYPERLINK("https://www.suredividend.com/sure-analysis-research-database/","Invivyd Inc")</f>
        <v>Invivyd Inc</v>
      </c>
      <c r="C820">
        <v>1.5389221556886219</v>
      </c>
      <c r="D820">
        <v>1.5696969696969689</v>
      </c>
      <c r="E820">
        <v>2.0724637681159419</v>
      </c>
      <c r="F820">
        <v>7.6142131979695007E-2</v>
      </c>
      <c r="G820">
        <v>0.90990990990991005</v>
      </c>
      <c r="H820">
        <v>-0.19391634980988501</v>
      </c>
      <c r="I820">
        <v>-0.79693486590038309</v>
      </c>
    </row>
    <row r="821" spans="1:9" x14ac:dyDescent="0.25">
      <c r="A821" s="1" t="s">
        <v>833</v>
      </c>
      <c r="B821" t="str">
        <f>HYPERLINK("https://www.suredividend.com/sure-analysis-JACK/","Jack In The Box, Inc.")</f>
        <v>Jack In The Box, Inc.</v>
      </c>
      <c r="C821">
        <v>-8.7464977463759003E-2</v>
      </c>
      <c r="D821">
        <v>0.18744362773459899</v>
      </c>
      <c r="E821">
        <v>-0.21033490401947999</v>
      </c>
      <c r="F821">
        <v>-8.2322675486953004E-2</v>
      </c>
      <c r="G821">
        <v>2.3921574523748001E-2</v>
      </c>
      <c r="H821">
        <v>-0.108060319936179</v>
      </c>
      <c r="I821">
        <v>3.0196261258101001E-2</v>
      </c>
    </row>
    <row r="822" spans="1:9" x14ac:dyDescent="0.25">
      <c r="A822" s="1" t="s">
        <v>834</v>
      </c>
      <c r="B822" t="str">
        <f>HYPERLINK("https://www.suredividend.com/sure-analysis-research-database/","Janux Therapeutics Inc")</f>
        <v>Janux Therapeutics Inc</v>
      </c>
      <c r="C822">
        <v>2.9644268774699999E-3</v>
      </c>
      <c r="D822">
        <v>0.161327231121281</v>
      </c>
      <c r="E822">
        <v>-0.193163751987281</v>
      </c>
      <c r="F822">
        <v>-5.4054054054054002E-2</v>
      </c>
      <c r="G822">
        <v>-0.506562955760816</v>
      </c>
      <c r="H822">
        <v>-0.36323713927227003</v>
      </c>
      <c r="I822">
        <v>-0.59642147117296207</v>
      </c>
    </row>
    <row r="823" spans="1:9" x14ac:dyDescent="0.25">
      <c r="A823" s="1" t="s">
        <v>835</v>
      </c>
      <c r="B823" t="str">
        <f>HYPERLINK("https://www.suredividend.com/sure-analysis-research-database/","Janus International Group Inc")</f>
        <v>Janus International Group Inc</v>
      </c>
      <c r="C823">
        <v>0.32790028763183099</v>
      </c>
      <c r="D823">
        <v>0.339458413926499</v>
      </c>
      <c r="E823">
        <v>0.274149034038638</v>
      </c>
      <c r="F823">
        <v>6.1302681992337002E-2</v>
      </c>
      <c r="G823">
        <v>0.35917566241413101</v>
      </c>
      <c r="H823">
        <v>0.20855148342059299</v>
      </c>
      <c r="I823">
        <v>0.41760491299897601</v>
      </c>
    </row>
    <row r="824" spans="1:9" x14ac:dyDescent="0.25">
      <c r="A824" s="1" t="s">
        <v>836</v>
      </c>
      <c r="B824" t="str">
        <f>HYPERLINK("https://www.suredividend.com/sure-analysis-research-database/","Sanfilippo (John B.) &amp; Son, Inc")</f>
        <v>Sanfilippo (John B.) &amp; Son, Inc</v>
      </c>
      <c r="C824">
        <v>1.4335193380796E-2</v>
      </c>
      <c r="D824">
        <v>6.2374042724707007E-2</v>
      </c>
      <c r="E824">
        <v>-9.007569441376E-3</v>
      </c>
      <c r="F824">
        <v>2.3194875776396999E-2</v>
      </c>
      <c r="G824">
        <v>0.29685141745872201</v>
      </c>
      <c r="H824">
        <v>0.27368759317381702</v>
      </c>
      <c r="I824">
        <v>1.021497706809013</v>
      </c>
    </row>
    <row r="825" spans="1:9" x14ac:dyDescent="0.25">
      <c r="A825" s="1" t="s">
        <v>837</v>
      </c>
      <c r="B825" t="str">
        <f>HYPERLINK("https://www.suredividend.com/sure-analysis-research-database/","John Bean Technologies Corp")</f>
        <v>John Bean Technologies Corp</v>
      </c>
      <c r="C825">
        <v>-0.113291092004787</v>
      </c>
      <c r="D825">
        <v>-6.6877429488900006E-2</v>
      </c>
      <c r="E825">
        <v>-0.227526587208182</v>
      </c>
      <c r="F825">
        <v>-5.6209150326797012E-2</v>
      </c>
      <c r="G825">
        <v>-7.4125222935968002E-2</v>
      </c>
      <c r="H825">
        <v>-0.37181507028094901</v>
      </c>
      <c r="I825">
        <v>0.22194766949869599</v>
      </c>
    </row>
    <row r="826" spans="1:9" x14ac:dyDescent="0.25">
      <c r="A826" s="1" t="s">
        <v>838</v>
      </c>
      <c r="B826" t="str">
        <f>HYPERLINK("https://www.suredividend.com/sure-analysis-research-database/","JELD-WEN Holding Inc.")</f>
        <v>JELD-WEN Holding Inc.</v>
      </c>
      <c r="C826">
        <v>2.3046655424395001E-2</v>
      </c>
      <c r="D826">
        <v>0.48450244698205502</v>
      </c>
      <c r="E826">
        <v>1.6192071468453001E-2</v>
      </c>
      <c r="F826">
        <v>-3.6016949152541999E-2</v>
      </c>
      <c r="G826">
        <v>0.59929701230228405</v>
      </c>
      <c r="H826">
        <v>-0.288228392647634</v>
      </c>
      <c r="I826">
        <v>0.111789859499083</v>
      </c>
    </row>
    <row r="827" spans="1:9" x14ac:dyDescent="0.25">
      <c r="A827" s="1" t="s">
        <v>839</v>
      </c>
      <c r="B827" t="str">
        <f>HYPERLINK("https://www.suredividend.com/sure-analysis-JJSF/","J&amp;J Snack Foods Corp.")</f>
        <v>J&amp;J Snack Foods Corp.</v>
      </c>
      <c r="C827">
        <v>-5.7992877720218002E-2</v>
      </c>
      <c r="D827">
        <v>6.8348403257428011E-2</v>
      </c>
      <c r="E827">
        <v>3.9164145270945E-2</v>
      </c>
      <c r="F827">
        <v>-3.2368074667943003E-2</v>
      </c>
      <c r="G827">
        <v>8.008727249413701E-2</v>
      </c>
      <c r="H827">
        <v>0.102133940655269</v>
      </c>
      <c r="I827">
        <v>0.193965281766356</v>
      </c>
    </row>
    <row r="828" spans="1:9" x14ac:dyDescent="0.25">
      <c r="A828" s="1" t="s">
        <v>840</v>
      </c>
      <c r="B828" t="str">
        <f>HYPERLINK("https://www.suredividend.com/sure-analysis-research-database/","John Marshall Bancorp Inc")</f>
        <v>John Marshall Bancorp Inc</v>
      </c>
      <c r="C828">
        <v>7.3492143943233001E-2</v>
      </c>
      <c r="D828">
        <v>0.176666666666666</v>
      </c>
      <c r="E828">
        <v>1.3882240306366001E-2</v>
      </c>
      <c r="F828">
        <v>-6.1170212765957008E-2</v>
      </c>
      <c r="G828">
        <v>-0.126691571212983</v>
      </c>
      <c r="H828">
        <v>-2.7891883952871999E-2</v>
      </c>
      <c r="I828">
        <v>-2.7891883952871999E-2</v>
      </c>
    </row>
    <row r="829" spans="1:9" x14ac:dyDescent="0.25">
      <c r="A829" s="1" t="s">
        <v>841</v>
      </c>
      <c r="B829" t="str">
        <f>HYPERLINK("https://www.suredividend.com/sure-analysis-research-database/","JOANN Inc")</f>
        <v>JOANN Inc</v>
      </c>
      <c r="C829">
        <v>-0.14563636363636301</v>
      </c>
      <c r="D829">
        <v>-0.34745174281349811</v>
      </c>
      <c r="E829">
        <v>-0.59837606837606805</v>
      </c>
      <c r="F829">
        <v>5.3587443946188001E-2</v>
      </c>
      <c r="G829">
        <v>-0.87857881136950911</v>
      </c>
      <c r="H829">
        <v>-0.95451201332016811</v>
      </c>
      <c r="I829">
        <v>-0.95923660811103806</v>
      </c>
    </row>
    <row r="830" spans="1:9" x14ac:dyDescent="0.25">
      <c r="A830" s="1" t="s">
        <v>842</v>
      </c>
      <c r="B830" t="str">
        <f>HYPERLINK("https://www.suredividend.com/sure-analysis-research-database/","Joby Aviation Inc")</f>
        <v>Joby Aviation Inc</v>
      </c>
      <c r="C830">
        <v>-0.127407407407407</v>
      </c>
      <c r="D830">
        <v>-5.3054662379420997E-2</v>
      </c>
      <c r="E830">
        <v>-0.44223484848484801</v>
      </c>
      <c r="F830">
        <v>-0.114285714285714</v>
      </c>
      <c r="G830">
        <v>0.39904988123515411</v>
      </c>
      <c r="H830">
        <v>1.2027491408934001E-2</v>
      </c>
      <c r="I830">
        <v>-0.43904761904761902</v>
      </c>
    </row>
    <row r="831" spans="1:9" x14ac:dyDescent="0.25">
      <c r="A831" s="1" t="s">
        <v>843</v>
      </c>
      <c r="B831" t="str">
        <f>HYPERLINK("https://www.suredividend.com/sure-analysis-research-database/","St. Joe Co.")</f>
        <v>St. Joe Co.</v>
      </c>
      <c r="C831">
        <v>-7.0459749867880003E-3</v>
      </c>
      <c r="D831">
        <v>0.11060542476667801</v>
      </c>
      <c r="E831">
        <v>6.399845977870601E-2</v>
      </c>
      <c r="F831">
        <v>-6.3310069790628004E-2</v>
      </c>
      <c r="G831">
        <v>0.35404556242013102</v>
      </c>
      <c r="H831">
        <v>0.117563208637571</v>
      </c>
      <c r="I831">
        <v>3.0362308463411138</v>
      </c>
    </row>
    <row r="832" spans="1:9" x14ac:dyDescent="0.25">
      <c r="A832" s="1" t="s">
        <v>844</v>
      </c>
      <c r="B832" t="str">
        <f>HYPERLINK("https://www.suredividend.com/sure-analysis-research-database/","Johnson Outdoors Inc")</f>
        <v>Johnson Outdoors Inc</v>
      </c>
      <c r="C832">
        <v>5.2570151531197012E-2</v>
      </c>
      <c r="D832">
        <v>-5.3554805395708997E-2</v>
      </c>
      <c r="E832">
        <v>-0.12988013071451601</v>
      </c>
      <c r="F832">
        <v>-7.5699630849236005E-2</v>
      </c>
      <c r="G832">
        <v>-0.26122124527454599</v>
      </c>
      <c r="H832">
        <v>-0.42645153692144611</v>
      </c>
      <c r="I832">
        <v>-0.185272674346628</v>
      </c>
    </row>
    <row r="833" spans="1:9" x14ac:dyDescent="0.25">
      <c r="A833" s="1" t="s">
        <v>845</v>
      </c>
      <c r="B833" t="str">
        <f>HYPERLINK("https://www.suredividend.com/sure-analysis-research-database/","James River Group Holdings Ltd")</f>
        <v>James River Group Holdings Ltd</v>
      </c>
      <c r="C833">
        <v>-8.6150490730643001E-2</v>
      </c>
      <c r="D833">
        <v>-0.41015822963004611</v>
      </c>
      <c r="E833">
        <v>-0.521490118599644</v>
      </c>
      <c r="F833">
        <v>-9.3073593073592004E-2</v>
      </c>
      <c r="G833">
        <v>-0.60014123889413706</v>
      </c>
      <c r="H833">
        <v>-0.70181862174731402</v>
      </c>
      <c r="I833">
        <v>-0.73550484486948808</v>
      </c>
    </row>
    <row r="834" spans="1:9" x14ac:dyDescent="0.25">
      <c r="A834" s="1" t="s">
        <v>846</v>
      </c>
      <c r="B834" t="str">
        <f>HYPERLINK("https://www.suredividend.com/sure-analysis-JXN/","Jackson Financial Inc")</f>
        <v>Jackson Financial Inc</v>
      </c>
      <c r="C834">
        <v>-8.3449235048670013E-3</v>
      </c>
      <c r="D834">
        <v>0.28982072758190203</v>
      </c>
      <c r="E834">
        <v>0.55185065419630808</v>
      </c>
      <c r="F834">
        <v>-2.5195312500000001E-2</v>
      </c>
      <c r="G834">
        <v>0.48309932397295802</v>
      </c>
      <c r="H834">
        <v>0.29588230864899501</v>
      </c>
      <c r="I834">
        <v>0.58696343402225704</v>
      </c>
    </row>
    <row r="835" spans="1:9" x14ac:dyDescent="0.25">
      <c r="A835" s="1" t="s">
        <v>847</v>
      </c>
      <c r="B835" t="str">
        <f>HYPERLINK("https://www.suredividend.com/sure-analysis-research-database/","Joint Corp")</f>
        <v>Joint Corp</v>
      </c>
      <c r="C835">
        <v>-8.2150101419878011E-2</v>
      </c>
      <c r="D835">
        <v>0.113161131611316</v>
      </c>
      <c r="E835">
        <v>-0.32913269088213398</v>
      </c>
      <c r="F835">
        <v>-5.8272632674296998E-2</v>
      </c>
      <c r="G835">
        <v>-0.50734893848666307</v>
      </c>
      <c r="H835">
        <v>-0.84356093344857308</v>
      </c>
      <c r="I835">
        <v>0.121437422552664</v>
      </c>
    </row>
    <row r="836" spans="1:9" x14ac:dyDescent="0.25">
      <c r="A836" s="1" t="s">
        <v>848</v>
      </c>
      <c r="B836" t="str">
        <f>HYPERLINK("https://www.suredividend.com/sure-analysis-research-database/","Kadant, Inc.")</f>
        <v>Kadant, Inc.</v>
      </c>
      <c r="C836">
        <v>-3.8435494910527002E-2</v>
      </c>
      <c r="D836">
        <v>0.15920120089908499</v>
      </c>
      <c r="E836">
        <v>0.22550425924656001</v>
      </c>
      <c r="F836">
        <v>-6.1796240042455007E-2</v>
      </c>
      <c r="G836">
        <v>0.31251114742681102</v>
      </c>
      <c r="H836">
        <v>0.227895680981755</v>
      </c>
      <c r="I836">
        <v>2.2770668935286928</v>
      </c>
    </row>
    <row r="837" spans="1:9" x14ac:dyDescent="0.25">
      <c r="A837" s="1" t="s">
        <v>849</v>
      </c>
      <c r="B837" t="str">
        <f>HYPERLINK("https://www.suredividend.com/sure-analysis-KALU/","Kaiser Aluminum Corp")</f>
        <v>Kaiser Aluminum Corp</v>
      </c>
      <c r="C837">
        <v>-1.5420200462605E-2</v>
      </c>
      <c r="D837">
        <v>-2.4885651234354999E-2</v>
      </c>
      <c r="E837">
        <v>-0.13337477570897599</v>
      </c>
      <c r="F837">
        <v>-0.10310436859109399</v>
      </c>
      <c r="G837">
        <v>-0.22720527896860601</v>
      </c>
      <c r="H837">
        <v>-0.29991952089715501</v>
      </c>
      <c r="I837">
        <v>-0.19514338044822299</v>
      </c>
    </row>
    <row r="838" spans="1:9" x14ac:dyDescent="0.25">
      <c r="A838" s="1" t="s">
        <v>850</v>
      </c>
      <c r="B838" t="str">
        <f>HYPERLINK("https://www.suredividend.com/sure-analysis-research-database/","KalVista Pharmaceuticals Inc")</f>
        <v>KalVista Pharmaceuticals Inc</v>
      </c>
      <c r="C838">
        <v>0.30909090909090903</v>
      </c>
      <c r="D838">
        <v>0.42731277533039602</v>
      </c>
      <c r="E838">
        <v>0.32786885245901598</v>
      </c>
      <c r="F838">
        <v>5.7959183673469007E-2</v>
      </c>
      <c r="G838">
        <v>0.82535211267605602</v>
      </c>
      <c r="H838">
        <v>8.1803005008347002E-2</v>
      </c>
      <c r="I838">
        <v>-0.34412955465586997</v>
      </c>
    </row>
    <row r="839" spans="1:9" x14ac:dyDescent="0.25">
      <c r="A839" s="1" t="s">
        <v>851</v>
      </c>
      <c r="B839" t="str">
        <f>HYPERLINK("https://www.suredividend.com/sure-analysis-research-database/","Kaman Corp.")</f>
        <v>Kaman Corp.</v>
      </c>
      <c r="C839">
        <v>-6.5755239131459996E-3</v>
      </c>
      <c r="D839">
        <v>0.206411213879473</v>
      </c>
      <c r="E839">
        <v>-3.0845136604684999E-2</v>
      </c>
      <c r="F839">
        <v>-3.5490605427973998E-2</v>
      </c>
      <c r="G839">
        <v>2.0381118973787998E-2</v>
      </c>
      <c r="H839">
        <v>-0.44312659106688201</v>
      </c>
      <c r="I839">
        <v>-0.54811941384632501</v>
      </c>
    </row>
    <row r="840" spans="1:9" x14ac:dyDescent="0.25">
      <c r="A840" s="1" t="s">
        <v>852</v>
      </c>
      <c r="B840" t="str">
        <f>HYPERLINK("https://www.suredividend.com/sure-analysis-research-database/","Openlane Inc.")</f>
        <v>Openlane Inc.</v>
      </c>
      <c r="C840">
        <v>-6.266666666666601E-2</v>
      </c>
      <c r="D840">
        <v>-7.7628793225120009E-3</v>
      </c>
      <c r="E840">
        <v>-0.125077784691972</v>
      </c>
      <c r="F840">
        <v>-5.0641458474004003E-2</v>
      </c>
      <c r="G840">
        <v>4.2253521126760001E-2</v>
      </c>
      <c r="H840">
        <v>-0.15606242496998801</v>
      </c>
      <c r="I840">
        <v>-0.216175986887951</v>
      </c>
    </row>
    <row r="841" spans="1:9" x14ac:dyDescent="0.25">
      <c r="A841" s="1" t="s">
        <v>853</v>
      </c>
      <c r="B841" t="str">
        <f>HYPERLINK("https://www.suredividend.com/sure-analysis-research-database/","KB Home")</f>
        <v>KB Home</v>
      </c>
      <c r="C841">
        <v>4.7512093987559997E-2</v>
      </c>
      <c r="D841">
        <v>0.38773492271669202</v>
      </c>
      <c r="E841">
        <v>0.15348833669759401</v>
      </c>
      <c r="F841">
        <v>-2.9298751200768001E-2</v>
      </c>
      <c r="G841">
        <v>0.75322929046697806</v>
      </c>
      <c r="H841">
        <v>0.26922521368326502</v>
      </c>
      <c r="I841">
        <v>2.098695205531961</v>
      </c>
    </row>
    <row r="842" spans="1:9" x14ac:dyDescent="0.25">
      <c r="A842" s="1" t="s">
        <v>854</v>
      </c>
      <c r="B842" t="str">
        <f>HYPERLINK("https://www.suredividend.com/sure-analysis-research-database/","Chinook Therapeutics Inc")</f>
        <v>Chinook Therapeutics Inc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 s="1" t="s">
        <v>855</v>
      </c>
      <c r="B843" t="str">
        <f>HYPERLINK("https://www.suredividend.com/sure-analysis-research-database/","Kimball Electronics Inc")</f>
        <v>Kimball Electronics Inc</v>
      </c>
      <c r="C843">
        <v>-2.9168309026409E-2</v>
      </c>
      <c r="D843">
        <v>-5.0867052023121001E-2</v>
      </c>
      <c r="E843">
        <v>-0.14863463532665</v>
      </c>
      <c r="F843">
        <v>-8.6085343228200009E-2</v>
      </c>
      <c r="G843">
        <v>1.3163307280954E-2</v>
      </c>
      <c r="H843">
        <v>0.121074192080109</v>
      </c>
      <c r="I843">
        <v>0.55394321766561505</v>
      </c>
    </row>
    <row r="844" spans="1:9" x14ac:dyDescent="0.25">
      <c r="A844" s="1" t="s">
        <v>856</v>
      </c>
      <c r="B844" t="str">
        <f>HYPERLINK("https://www.suredividend.com/sure-analysis-research-database/","Kelly Services, Inc.")</f>
        <v>Kelly Services, Inc.</v>
      </c>
      <c r="C844">
        <v>-4.9203373945641997E-2</v>
      </c>
      <c r="D844">
        <v>0.113678652388453</v>
      </c>
      <c r="E844">
        <v>0.167588345983645</v>
      </c>
      <c r="F844">
        <v>-6.1517113783533008E-2</v>
      </c>
      <c r="G844">
        <v>0.19791236169986601</v>
      </c>
      <c r="H844">
        <v>0.156066070685833</v>
      </c>
      <c r="I844">
        <v>-3.3211035402868003E-2</v>
      </c>
    </row>
    <row r="845" spans="1:9" x14ac:dyDescent="0.25">
      <c r="A845" s="1" t="s">
        <v>857</v>
      </c>
      <c r="B845" t="str">
        <f>HYPERLINK("https://www.suredividend.com/sure-analysis-research-database/","Kforce Inc.")</f>
        <v>Kforce Inc.</v>
      </c>
      <c r="C845">
        <v>-5.7125074889047008E-2</v>
      </c>
      <c r="D845">
        <v>0.10919896128067599</v>
      </c>
      <c r="E845">
        <v>7.7303683667484011E-2</v>
      </c>
      <c r="F845">
        <v>-4.0260509177026997E-2</v>
      </c>
      <c r="G845">
        <v>0.159594463848516</v>
      </c>
      <c r="H845">
        <v>-4.7126389484883013E-2</v>
      </c>
      <c r="I845">
        <v>1.2316450293927339</v>
      </c>
    </row>
    <row r="846" spans="1:9" x14ac:dyDescent="0.25">
      <c r="A846" s="1" t="s">
        <v>858</v>
      </c>
      <c r="B846" t="str">
        <f>HYPERLINK("https://www.suredividend.com/sure-analysis-research-database/","Korn Ferry")</f>
        <v>Korn Ferry</v>
      </c>
      <c r="C846">
        <v>-8.2774825772300006E-4</v>
      </c>
      <c r="D846">
        <v>0.15520449157007299</v>
      </c>
      <c r="E846">
        <v>8.616145549118101E-2</v>
      </c>
      <c r="F846">
        <v>-5.4254422914910998E-2</v>
      </c>
      <c r="G846">
        <v>7.4669730040206009E-2</v>
      </c>
      <c r="H846">
        <v>-0.21220499792981001</v>
      </c>
      <c r="I846">
        <v>0.368757315645727</v>
      </c>
    </row>
    <row r="847" spans="1:9" x14ac:dyDescent="0.25">
      <c r="A847" s="1" t="s">
        <v>859</v>
      </c>
      <c r="B847" t="str">
        <f>HYPERLINK("https://www.suredividend.com/sure-analysis-research-database/","OrthoPediatrics corp")</f>
        <v>OrthoPediatrics corp</v>
      </c>
      <c r="C847">
        <v>-7.6377699000966012E-2</v>
      </c>
      <c r="D847">
        <v>0.18380834365964399</v>
      </c>
      <c r="E847">
        <v>-0.34039125431530498</v>
      </c>
      <c r="F847">
        <v>-0.11842509996924</v>
      </c>
      <c r="G847">
        <v>-0.36508639787328301</v>
      </c>
      <c r="H847">
        <v>-0.46279287722586598</v>
      </c>
      <c r="I847">
        <v>-0.12139791538933099</v>
      </c>
    </row>
    <row r="848" spans="1:9" x14ac:dyDescent="0.25">
      <c r="A848" s="1" t="s">
        <v>860</v>
      </c>
      <c r="B848" t="str">
        <f>HYPERLINK("https://www.suredividend.com/sure-analysis-KLIC/","Kulicke &amp; Soffa Industries, Inc.")</f>
        <v>Kulicke &amp; Soffa Industries, Inc.</v>
      </c>
      <c r="C848">
        <v>-4.9481860412630002E-2</v>
      </c>
      <c r="D848">
        <v>0.12632238136731999</v>
      </c>
      <c r="E848">
        <v>-0.126596803627716</v>
      </c>
      <c r="F848">
        <v>-7.6388888888888007E-2</v>
      </c>
      <c r="G848">
        <v>8.1083507036210003E-3</v>
      </c>
      <c r="H848">
        <v>-9.5388701845199014E-2</v>
      </c>
      <c r="I848">
        <v>1.568663725629714</v>
      </c>
    </row>
    <row r="849" spans="1:9" x14ac:dyDescent="0.25">
      <c r="A849" s="1" t="s">
        <v>861</v>
      </c>
      <c r="B849" t="str">
        <f>HYPERLINK("https://www.suredividend.com/sure-analysis-research-database/","Kaleyra Inc")</f>
        <v>Kaleyra Inc</v>
      </c>
      <c r="C849">
        <v>5.8479532163742007E-2</v>
      </c>
      <c r="D849">
        <v>6.3142437591775999E-2</v>
      </c>
      <c r="E849">
        <v>3.1849710982658959</v>
      </c>
      <c r="F849">
        <v>1.7394150365129211</v>
      </c>
      <c r="G849">
        <v>1.090914341824063</v>
      </c>
      <c r="H849">
        <v>-0.81074369363481902</v>
      </c>
      <c r="I849">
        <v>-0.27600000000000002</v>
      </c>
    </row>
    <row r="850" spans="1:9" x14ac:dyDescent="0.25">
      <c r="A850" s="1" t="s">
        <v>862</v>
      </c>
      <c r="B850" t="str">
        <f>HYPERLINK("https://www.suredividend.com/sure-analysis-research-database/","Kennametal Inc.")</f>
        <v>Kennametal Inc.</v>
      </c>
      <c r="C850">
        <v>-3.2193958664546003E-2</v>
      </c>
      <c r="D850">
        <v>1.8858292920713001E-2</v>
      </c>
      <c r="E850">
        <v>-0.15954494622468199</v>
      </c>
      <c r="F850">
        <v>-5.5835595191934012E-2</v>
      </c>
      <c r="G850">
        <v>-8.1395524302464009E-2</v>
      </c>
      <c r="H850">
        <v>-0.29665746207438298</v>
      </c>
      <c r="I850">
        <v>-0.229649783289569</v>
      </c>
    </row>
    <row r="851" spans="1:9" x14ac:dyDescent="0.25">
      <c r="A851" s="1" t="s">
        <v>863</v>
      </c>
      <c r="B851" t="str">
        <f>HYPERLINK("https://www.suredividend.com/sure-analysis-research-database/","Knowles Corp")</f>
        <v>Knowles Corp</v>
      </c>
      <c r="C851">
        <v>-4.1273584905660004E-3</v>
      </c>
      <c r="D851">
        <v>0.226579520697167</v>
      </c>
      <c r="E851">
        <v>-7.2487644151565001E-2</v>
      </c>
      <c r="F851">
        <v>-5.6951423785594008E-2</v>
      </c>
      <c r="G851">
        <v>-3.4857142857141997E-2</v>
      </c>
      <c r="H851">
        <v>-0.26724511930585598</v>
      </c>
      <c r="I851">
        <v>0.239178283198826</v>
      </c>
    </row>
    <row r="852" spans="1:9" x14ac:dyDescent="0.25">
      <c r="A852" s="1" t="s">
        <v>864</v>
      </c>
      <c r="B852" t="str">
        <f>HYPERLINK("https://www.suredividend.com/sure-analysis-research-database/","Kiniksa Pharmaceuticals Ltd")</f>
        <v>Kiniksa Pharmaceuticals Ltd</v>
      </c>
      <c r="C852">
        <v>7.4601366742596001E-2</v>
      </c>
      <c r="D852">
        <v>0.156958920907418</v>
      </c>
      <c r="E852">
        <v>0.35657800143781399</v>
      </c>
      <c r="F852">
        <v>7.5826681870011001E-2</v>
      </c>
      <c r="G852">
        <v>0.29690721649484503</v>
      </c>
      <c r="H852">
        <v>0.73278236914600503</v>
      </c>
      <c r="I852">
        <v>-0.148465703971119</v>
      </c>
    </row>
    <row r="853" spans="1:9" x14ac:dyDescent="0.25">
      <c r="A853" s="1" t="s">
        <v>865</v>
      </c>
      <c r="B853" t="str">
        <f>HYPERLINK("https://www.suredividend.com/sure-analysis-research-database/","Kinsale Capital Group Inc")</f>
        <v>Kinsale Capital Group Inc</v>
      </c>
      <c r="C853">
        <v>9.8054965861495008E-2</v>
      </c>
      <c r="D853">
        <v>-0.12799790588273299</v>
      </c>
      <c r="E853">
        <v>5.7054310321496007E-2</v>
      </c>
      <c r="F853">
        <v>0.14287420501030099</v>
      </c>
      <c r="G853">
        <v>0.31748786497160603</v>
      </c>
      <c r="H853">
        <v>0.78742795020643008</v>
      </c>
      <c r="I853">
        <v>5.7517366194748334</v>
      </c>
    </row>
    <row r="854" spans="1:9" x14ac:dyDescent="0.25">
      <c r="A854" s="1" t="s">
        <v>866</v>
      </c>
      <c r="B854" t="str">
        <f>HYPERLINK("https://www.suredividend.com/sure-analysis-research-database/","Kinnate Biopharma Inc")</f>
        <v>Kinnate Biopharma Inc</v>
      </c>
      <c r="C854">
        <v>0.10267857142857099</v>
      </c>
      <c r="D854">
        <v>0.78985507246376807</v>
      </c>
      <c r="E854">
        <v>-0.23410852713178201</v>
      </c>
      <c r="F854">
        <v>4.2194092827004002E-2</v>
      </c>
      <c r="G854">
        <v>-0.61406249999999996</v>
      </c>
      <c r="H854">
        <v>-0.8315143246930421</v>
      </c>
      <c r="I854">
        <v>-0.93671534716884408</v>
      </c>
    </row>
    <row r="855" spans="1:9" x14ac:dyDescent="0.25">
      <c r="A855" s="1" t="s">
        <v>867</v>
      </c>
      <c r="B855" t="str">
        <f>HYPERLINK("https://www.suredividend.com/sure-analysis-research-database/","Kinetik Holdings Inc")</f>
        <v>Kinetik Holdings Inc</v>
      </c>
      <c r="C855">
        <v>-1.4294222751637E-2</v>
      </c>
      <c r="D855">
        <v>-5.5976864303090998E-2</v>
      </c>
      <c r="E855">
        <v>-5.7028414497262002E-2</v>
      </c>
      <c r="F855">
        <v>-8.982035928143001E-3</v>
      </c>
      <c r="G855">
        <v>0.12163467240473699</v>
      </c>
      <c r="H855">
        <v>-0.47964156579154199</v>
      </c>
      <c r="I855">
        <v>-0.78541356834545406</v>
      </c>
    </row>
    <row r="856" spans="1:9" x14ac:dyDescent="0.25">
      <c r="A856" s="1" t="s">
        <v>868</v>
      </c>
      <c r="B856" t="str">
        <f>HYPERLINK("https://www.suredividend.com/sure-analysis-research-database/","Kodiak Sciences Inc")</f>
        <v>Kodiak Sciences Inc</v>
      </c>
      <c r="C856">
        <v>0.13793103448275801</v>
      </c>
      <c r="D856">
        <v>0.92982456140350811</v>
      </c>
      <c r="E856">
        <v>-0.54356846473029008</v>
      </c>
      <c r="F856">
        <v>8.5526315789473006E-2</v>
      </c>
      <c r="G856">
        <v>-0.60144927536231807</v>
      </c>
      <c r="H856">
        <v>-0.94746895893027605</v>
      </c>
      <c r="I856">
        <v>-0.63333333333333308</v>
      </c>
    </row>
    <row r="857" spans="1:9" x14ac:dyDescent="0.25">
      <c r="A857" s="1" t="s">
        <v>869</v>
      </c>
      <c r="B857" t="str">
        <f>HYPERLINK("https://www.suredividend.com/sure-analysis-research-database/","Eastman Kodak Co.")</f>
        <v>Eastman Kodak Co.</v>
      </c>
      <c r="C857">
        <v>-5.1490514905149012E-2</v>
      </c>
      <c r="D857">
        <v>-0.10485933503836301</v>
      </c>
      <c r="E857">
        <v>-0.41956882255389699</v>
      </c>
      <c r="F857">
        <v>-0.10256410256410201</v>
      </c>
      <c r="G857">
        <v>-3.3149171270718002E-2</v>
      </c>
      <c r="H857">
        <v>-0.22222222222222199</v>
      </c>
      <c r="I857">
        <v>0.121794871794871</v>
      </c>
    </row>
    <row r="858" spans="1:9" x14ac:dyDescent="0.25">
      <c r="A858" s="1" t="s">
        <v>870</v>
      </c>
      <c r="B858" t="str">
        <f>HYPERLINK("https://www.suredividend.com/sure-analysis-research-database/","Koppers Holdings Inc")</f>
        <v>Koppers Holdings Inc</v>
      </c>
      <c r="C858">
        <v>0.117342342342342</v>
      </c>
      <c r="D858">
        <v>0.32514190317195302</v>
      </c>
      <c r="E858">
        <v>0.39069933030020099</v>
      </c>
      <c r="F858">
        <v>-3.1433033971104002E-2</v>
      </c>
      <c r="G858">
        <v>0.55767250257466505</v>
      </c>
      <c r="H858">
        <v>0.59915158899773302</v>
      </c>
      <c r="I858">
        <v>1.4082991902755391</v>
      </c>
    </row>
    <row r="859" spans="1:9" x14ac:dyDescent="0.25">
      <c r="A859" s="1" t="s">
        <v>871</v>
      </c>
      <c r="B859" t="str">
        <f>HYPERLINK("https://www.suredividend.com/sure-analysis-research-database/","Kore Group Holdings Inc")</f>
        <v>Kore Group Holdings Inc</v>
      </c>
      <c r="C859">
        <v>0.76215819416406605</v>
      </c>
      <c r="D859">
        <v>0.65551724137931</v>
      </c>
      <c r="E859">
        <v>-0.359866666666666</v>
      </c>
      <c r="F859">
        <v>-2.0403999183838999E-2</v>
      </c>
      <c r="G859">
        <v>-0.38051612903225801</v>
      </c>
      <c r="H859">
        <v>-0.8473449920508741</v>
      </c>
      <c r="I859">
        <v>-0.86626740947075209</v>
      </c>
    </row>
    <row r="860" spans="1:9" x14ac:dyDescent="0.25">
      <c r="A860" s="1" t="s">
        <v>872</v>
      </c>
      <c r="B860" t="str">
        <f>HYPERLINK("https://www.suredividend.com/sure-analysis-research-database/","Kosmos Energy Ltd")</f>
        <v>Kosmos Energy Ltd</v>
      </c>
      <c r="C860">
        <v>2.2012578616351999E-2</v>
      </c>
      <c r="D860">
        <v>-0.156939040207522</v>
      </c>
      <c r="E860">
        <v>-1.9607843137254E-2</v>
      </c>
      <c r="F860">
        <v>-3.1296572280178001E-2</v>
      </c>
      <c r="G860">
        <v>-0.14698162729658701</v>
      </c>
      <c r="H860">
        <v>0.44766146993318401</v>
      </c>
      <c r="I860">
        <v>0.29510450497120799</v>
      </c>
    </row>
    <row r="861" spans="1:9" x14ac:dyDescent="0.25">
      <c r="A861" s="1" t="s">
        <v>873</v>
      </c>
      <c r="B861" t="str">
        <f>HYPERLINK("https://www.suredividend.com/sure-analysis-research-database/","Karyopharm Therapeutics Inc")</f>
        <v>Karyopharm Therapeutics Inc</v>
      </c>
      <c r="C861">
        <v>-4.1355320793609013E-2</v>
      </c>
      <c r="D861">
        <v>-0.37470588235294111</v>
      </c>
      <c r="E861">
        <v>-0.54628048780487803</v>
      </c>
      <c r="F861">
        <v>-0.13976878612716701</v>
      </c>
      <c r="G861">
        <v>-0.77451515151515105</v>
      </c>
      <c r="H861">
        <v>-0.90733499377335003</v>
      </c>
      <c r="I861">
        <v>-0.92625371655104005</v>
      </c>
    </row>
    <row r="862" spans="1:9" x14ac:dyDescent="0.25">
      <c r="A862" s="1" t="s">
        <v>874</v>
      </c>
      <c r="B862" t="str">
        <f>HYPERLINK("https://www.suredividend.com/sure-analysis-KREF/","KKR Real Estate Finance Trust Inc")</f>
        <v>KKR Real Estate Finance Trust Inc</v>
      </c>
      <c r="C862">
        <v>-9.0617679694240012E-3</v>
      </c>
      <c r="D862">
        <v>0.180487983990893</v>
      </c>
      <c r="E862">
        <v>6.6511859346491009E-2</v>
      </c>
      <c r="F862">
        <v>-2.7966742252456E-2</v>
      </c>
      <c r="G862">
        <v>-4.3816406801840013E-2</v>
      </c>
      <c r="H862">
        <v>-0.26155612977318399</v>
      </c>
      <c r="I862">
        <v>7.2336877214925002E-2</v>
      </c>
    </row>
    <row r="863" spans="1:9" x14ac:dyDescent="0.25">
      <c r="A863" s="1" t="s">
        <v>875</v>
      </c>
      <c r="B863" t="str">
        <f>HYPERLINK("https://www.suredividend.com/sure-analysis-KRG/","Kite Realty Group Trust")</f>
        <v>Kite Realty Group Trust</v>
      </c>
      <c r="C863">
        <v>-1.7962693208534001E-2</v>
      </c>
      <c r="D863">
        <v>0.103828563181494</v>
      </c>
      <c r="E863">
        <v>-1.2897311057508E-2</v>
      </c>
      <c r="F863">
        <v>-1.8818512390843999E-2</v>
      </c>
      <c r="G863">
        <v>0.116092769550493</v>
      </c>
      <c r="H863">
        <v>6.7182455481940004E-2</v>
      </c>
      <c r="I863">
        <v>0.82862984673476603</v>
      </c>
    </row>
    <row r="864" spans="1:9" x14ac:dyDescent="0.25">
      <c r="A864" s="1" t="s">
        <v>876</v>
      </c>
      <c r="B864" t="str">
        <f>HYPERLINK("https://www.suredividend.com/sure-analysis-research-database/","Kearny Financial Corp.")</f>
        <v>Kearny Financial Corp.</v>
      </c>
      <c r="C864">
        <v>-0.10176991150442399</v>
      </c>
      <c r="D864">
        <v>0.25700486083160401</v>
      </c>
      <c r="E864">
        <v>0.13658632177150601</v>
      </c>
      <c r="F864">
        <v>-9.4760312151616011E-2</v>
      </c>
      <c r="G864">
        <v>-0.14615295639281101</v>
      </c>
      <c r="H864">
        <v>-0.33293353159118311</v>
      </c>
      <c r="I864">
        <v>-0.24210604915110201</v>
      </c>
    </row>
    <row r="865" spans="1:9" x14ac:dyDescent="0.25">
      <c r="A865" s="1" t="s">
        <v>877</v>
      </c>
      <c r="B865" t="str">
        <f>HYPERLINK("https://www.suredividend.com/sure-analysis-KRO/","Kronos Worldwide, Inc.")</f>
        <v>Kronos Worldwide, Inc.</v>
      </c>
      <c r="C865">
        <v>4.4067796610168998E-2</v>
      </c>
      <c r="D865">
        <v>0.34733158355205601</v>
      </c>
      <c r="E865">
        <v>1.3480163648528E-2</v>
      </c>
      <c r="F865">
        <v>-7.0422535211267012E-2</v>
      </c>
      <c r="G865">
        <v>-8.6974565720045013E-2</v>
      </c>
      <c r="H865">
        <v>-0.30394431554524298</v>
      </c>
      <c r="I865">
        <v>-1.6801625895146E-2</v>
      </c>
    </row>
    <row r="866" spans="1:9" x14ac:dyDescent="0.25">
      <c r="A866" s="1" t="s">
        <v>878</v>
      </c>
      <c r="B866" t="str">
        <f>HYPERLINK("https://www.suredividend.com/sure-analysis-research-database/","Kronos Bio Inc")</f>
        <v>Kronos Bio Inc</v>
      </c>
      <c r="C866">
        <v>-0.14492753623188401</v>
      </c>
      <c r="D866">
        <v>0.188916876574307</v>
      </c>
      <c r="E866">
        <v>-0.42718446601941701</v>
      </c>
      <c r="F866">
        <v>-5.6000000000000001E-2</v>
      </c>
      <c r="G866">
        <v>-0.54961832061068705</v>
      </c>
      <c r="H866">
        <v>-0.88351431391905211</v>
      </c>
      <c r="I866">
        <v>-0.95640930919837408</v>
      </c>
    </row>
    <row r="867" spans="1:9" x14ac:dyDescent="0.25">
      <c r="A867" s="1" t="s">
        <v>879</v>
      </c>
      <c r="B867" t="str">
        <f>HYPERLINK("https://www.suredividend.com/sure-analysis-research-database/","Keros Therapeutics Inc")</f>
        <v>Keros Therapeutics Inc</v>
      </c>
      <c r="C867">
        <v>0.7208841966347731</v>
      </c>
      <c r="D867">
        <v>0.85556741373176703</v>
      </c>
      <c r="E867">
        <v>0.29493545183713898</v>
      </c>
      <c r="F867">
        <v>0.31187122736418499</v>
      </c>
      <c r="G867">
        <v>6.1025223759153008E-2</v>
      </c>
      <c r="H867">
        <v>4.4244244244244002E-2</v>
      </c>
      <c r="I867">
        <v>1.597609561752988</v>
      </c>
    </row>
    <row r="868" spans="1:9" x14ac:dyDescent="0.25">
      <c r="A868" s="1" t="s">
        <v>880</v>
      </c>
      <c r="B868" t="str">
        <f>HYPERLINK("https://www.suredividend.com/sure-analysis-research-database/","Karat Packaging Inc")</f>
        <v>Karat Packaging Inc</v>
      </c>
      <c r="C868">
        <v>6.4021641118124001E-2</v>
      </c>
      <c r="D868">
        <v>0.101871781343816</v>
      </c>
      <c r="E868">
        <v>0.29948791366114103</v>
      </c>
      <c r="F868">
        <v>-5.0301810865190998E-2</v>
      </c>
      <c r="G868">
        <v>0.66667843699461105</v>
      </c>
      <c r="H868">
        <v>0.40910665026689402</v>
      </c>
      <c r="I868">
        <v>0.40455289391459598</v>
      </c>
    </row>
    <row r="869" spans="1:9" x14ac:dyDescent="0.25">
      <c r="A869" s="1" t="s">
        <v>881</v>
      </c>
      <c r="B869" t="str">
        <f>HYPERLINK("https://www.suredividend.com/sure-analysis-research-database/","Karuna Therapeutics Inc")</f>
        <v>Karuna Therapeutics Inc</v>
      </c>
      <c r="C869">
        <v>0.45391535848710102</v>
      </c>
      <c r="D869">
        <v>0.85223086369218104</v>
      </c>
      <c r="E869">
        <v>0.51831080433323706</v>
      </c>
      <c r="F869">
        <v>7.5826988088800002E-4</v>
      </c>
      <c r="G869">
        <v>0.57783312577833101</v>
      </c>
      <c r="H869">
        <v>1.5918500941003191</v>
      </c>
      <c r="I869">
        <v>14.82167832167832</v>
      </c>
    </row>
    <row r="870" spans="1:9" x14ac:dyDescent="0.25">
      <c r="A870" s="1" t="s">
        <v>882</v>
      </c>
      <c r="B870" t="str">
        <f>HYPERLINK("https://www.suredividend.com/sure-analysis-research-database/","Kura Sushi USA Inc")</f>
        <v>Kura Sushi USA Inc</v>
      </c>
      <c r="C870">
        <v>0.35688017162120711</v>
      </c>
      <c r="D870">
        <v>0.44241733181299803</v>
      </c>
      <c r="E870">
        <v>-0.18701799485861101</v>
      </c>
      <c r="F870">
        <v>0.16513157894736799</v>
      </c>
      <c r="G870">
        <v>0.54107205012182302</v>
      </c>
      <c r="H870">
        <v>0.62090426505583007</v>
      </c>
      <c r="I870">
        <v>3.5155532891381949</v>
      </c>
    </row>
    <row r="871" spans="1:9" x14ac:dyDescent="0.25">
      <c r="A871" s="1" t="s">
        <v>883</v>
      </c>
      <c r="B871" t="str">
        <f>HYPERLINK("https://www.suredividend.com/sure-analysis-research-database/","Krystal Biotech Inc")</f>
        <v>Krystal Biotech Inc</v>
      </c>
      <c r="C871">
        <v>0.119874367475135</v>
      </c>
      <c r="D871">
        <v>0.128142028476006</v>
      </c>
      <c r="E871">
        <v>2.3522845068176E-2</v>
      </c>
      <c r="F871">
        <v>3.4660648073511997E-2</v>
      </c>
      <c r="G871">
        <v>0.54743821579264607</v>
      </c>
      <c r="H871">
        <v>1.126221633261554</v>
      </c>
      <c r="I871">
        <v>3.916124090386826</v>
      </c>
    </row>
    <row r="872" spans="1:9" x14ac:dyDescent="0.25">
      <c r="A872" s="1" t="s">
        <v>884</v>
      </c>
      <c r="B872" t="str">
        <f>HYPERLINK("https://www.suredividend.com/sure-analysis-KTB/","Kontoor Brands Inc")</f>
        <v>Kontoor Brands Inc</v>
      </c>
      <c r="C872">
        <v>1.374449339207E-2</v>
      </c>
      <c r="D872">
        <v>0.34912036320487011</v>
      </c>
      <c r="E872">
        <v>0.46339850327884602</v>
      </c>
      <c r="F872">
        <v>-7.8340275552707006E-2</v>
      </c>
      <c r="G872">
        <v>0.308201671805786</v>
      </c>
      <c r="H872">
        <v>0.20692729694858999</v>
      </c>
      <c r="I872">
        <v>0.42049382716049299</v>
      </c>
    </row>
    <row r="873" spans="1:9" x14ac:dyDescent="0.25">
      <c r="A873" s="1" t="s">
        <v>885</v>
      </c>
      <c r="B873" t="str">
        <f>HYPERLINK("https://www.suredividend.com/sure-analysis-research-database/","Kratos Defense &amp; Security Solutions Inc")</f>
        <v>Kratos Defense &amp; Security Solutions Inc</v>
      </c>
      <c r="C873">
        <v>-0.103969754253308</v>
      </c>
      <c r="D873">
        <v>0.11858407079645999</v>
      </c>
      <c r="E873">
        <v>0.41810022438294703</v>
      </c>
      <c r="F873">
        <v>-6.5549531789058008E-2</v>
      </c>
      <c r="G873">
        <v>0.74746543778801811</v>
      </c>
      <c r="H873">
        <v>9.658762290341201E-2</v>
      </c>
      <c r="I873">
        <v>0.28194726166328599</v>
      </c>
    </row>
    <row r="874" spans="1:9" x14ac:dyDescent="0.25">
      <c r="A874" s="1" t="s">
        <v>886</v>
      </c>
      <c r="B874" t="str">
        <f>HYPERLINK("https://www.suredividend.com/sure-analysis-research-database/","Kura Oncology Inc")</f>
        <v>Kura Oncology Inc</v>
      </c>
      <c r="C874">
        <v>0.32500000000000001</v>
      </c>
      <c r="D874">
        <v>0.82109004739336411</v>
      </c>
      <c r="E874">
        <v>0.53240279162512405</v>
      </c>
      <c r="F874">
        <v>6.8845618915159001E-2</v>
      </c>
      <c r="G874">
        <v>7.4825174825174007E-2</v>
      </c>
      <c r="H874">
        <v>0.182307692307692</v>
      </c>
      <c r="I874">
        <v>-8.2935560859188004E-2</v>
      </c>
    </row>
    <row r="875" spans="1:9" x14ac:dyDescent="0.25">
      <c r="A875" s="1" t="s">
        <v>887</v>
      </c>
      <c r="B875" t="str">
        <f>HYPERLINK("https://www.suredividend.com/sure-analysis-research-database/","Kennedy-Wilson Holdings Inc")</f>
        <v>Kennedy-Wilson Holdings Inc</v>
      </c>
      <c r="C875">
        <v>-3.6753320837747003E-2</v>
      </c>
      <c r="D875">
        <v>-0.115904739109621</v>
      </c>
      <c r="E875">
        <v>-0.28916792956628401</v>
      </c>
      <c r="F875">
        <v>-4.5234248788368001E-2</v>
      </c>
      <c r="G875">
        <v>-0.22687492641575999</v>
      </c>
      <c r="H875">
        <v>-0.44342945397698302</v>
      </c>
      <c r="I875">
        <v>-0.19350436681222699</v>
      </c>
    </row>
    <row r="876" spans="1:9" x14ac:dyDescent="0.25">
      <c r="A876" s="1" t="s">
        <v>888</v>
      </c>
      <c r="B876" t="str">
        <f>HYPERLINK("https://www.suredividend.com/sure-analysis-KWR/","Quaker Houghton")</f>
        <v>Quaker Houghton</v>
      </c>
      <c r="C876">
        <v>1.3036887316826E-2</v>
      </c>
      <c r="D876">
        <v>0.38812532456292098</v>
      </c>
      <c r="E876">
        <v>1.7951757982578E-2</v>
      </c>
      <c r="F876">
        <v>-6.0631618405022007E-2</v>
      </c>
      <c r="G876">
        <v>4.3504693376805001E-2</v>
      </c>
      <c r="H876">
        <v>-7.5880329083956005E-2</v>
      </c>
      <c r="I876">
        <v>0.13526583726421701</v>
      </c>
    </row>
    <row r="877" spans="1:9" x14ac:dyDescent="0.25">
      <c r="A877" s="1" t="s">
        <v>889</v>
      </c>
      <c r="B877" t="str">
        <f>HYPERLINK("https://www.suredividend.com/sure-analysis-research-database/","Kymera Therapeutics Inc")</f>
        <v>Kymera Therapeutics Inc</v>
      </c>
      <c r="C877">
        <v>0.157201646090535</v>
      </c>
      <c r="D877">
        <v>1.2299762093576521</v>
      </c>
      <c r="E877">
        <v>0.26155226558994998</v>
      </c>
      <c r="F877">
        <v>0.104477611940298</v>
      </c>
      <c r="G877">
        <v>-0.18587145338737601</v>
      </c>
      <c r="H877">
        <v>-0.34114339268978411</v>
      </c>
      <c r="I877">
        <v>-0.15453998797354099</v>
      </c>
    </row>
    <row r="878" spans="1:9" x14ac:dyDescent="0.25">
      <c r="A878" s="1" t="s">
        <v>890</v>
      </c>
      <c r="B878" t="str">
        <f>HYPERLINK("https://www.suredividend.com/sure-analysis-research-database/","Kezar Life Sciences Inc")</f>
        <v>Kezar Life Sciences Inc</v>
      </c>
      <c r="C878">
        <v>9.1764705882352013E-2</v>
      </c>
      <c r="D878">
        <v>-2.9897553836503998E-2</v>
      </c>
      <c r="E878">
        <v>-0.62429149797570804</v>
      </c>
      <c r="F878">
        <v>-2.0477095207937002E-2</v>
      </c>
      <c r="G878">
        <v>-0.86432748538011606</v>
      </c>
      <c r="H878">
        <v>-0.93033033033033008</v>
      </c>
      <c r="I878">
        <v>-0.96052743513398509</v>
      </c>
    </row>
    <row r="879" spans="1:9" x14ac:dyDescent="0.25">
      <c r="A879" s="1" t="s">
        <v>891</v>
      </c>
      <c r="B879" t="str">
        <f>HYPERLINK("https://www.suredividend.com/sure-analysis-LADR/","Ladder Capital Corp")</f>
        <v>Ladder Capital Corp</v>
      </c>
      <c r="C879">
        <v>-9.3096785526080011E-3</v>
      </c>
      <c r="D879">
        <v>0.164158771440956</v>
      </c>
      <c r="E879">
        <v>6.0948081264108007E-2</v>
      </c>
      <c r="F879">
        <v>-1.9982623805385999E-2</v>
      </c>
      <c r="G879">
        <v>0.117030757956863</v>
      </c>
      <c r="H879">
        <v>9.3595486010121007E-2</v>
      </c>
      <c r="I879">
        <v>2.2480058013052001E-2</v>
      </c>
    </row>
    <row r="880" spans="1:9" x14ac:dyDescent="0.25">
      <c r="A880" s="1" t="s">
        <v>892</v>
      </c>
      <c r="B880" t="str">
        <f>HYPERLINK("https://www.suredividend.com/sure-analysis-LANC/","Lancaster Colony Corp.")</f>
        <v>Lancaster Colony Corp.</v>
      </c>
      <c r="C880">
        <v>-1.2764489420423001E-2</v>
      </c>
      <c r="D880">
        <v>-1.9355310359479998E-2</v>
      </c>
      <c r="E880">
        <v>-6.6389139011775011E-2</v>
      </c>
      <c r="F880">
        <v>3.1912975539394997E-2</v>
      </c>
      <c r="G880">
        <v>-0.10467576174259099</v>
      </c>
      <c r="H880">
        <v>9.4454551133400011E-2</v>
      </c>
      <c r="I880">
        <v>0.107952088976876</v>
      </c>
    </row>
    <row r="881" spans="1:9" x14ac:dyDescent="0.25">
      <c r="A881" s="1" t="s">
        <v>893</v>
      </c>
      <c r="B881" t="str">
        <f>HYPERLINK("https://www.suredividend.com/sure-analysis-LAND/","Gladstone Land Corp")</f>
        <v>Gladstone Land Corp</v>
      </c>
      <c r="C881">
        <v>-1.6598809896648001E-2</v>
      </c>
      <c r="D881">
        <v>2.0297640967873998E-2</v>
      </c>
      <c r="E881">
        <v>-0.11752582470428</v>
      </c>
      <c r="F881">
        <v>-2.2145328719722999E-2</v>
      </c>
      <c r="G881">
        <v>-0.25212374626194101</v>
      </c>
      <c r="H881">
        <v>-0.54579352731667807</v>
      </c>
      <c r="I881">
        <v>0.35682734780103698</v>
      </c>
    </row>
    <row r="882" spans="1:9" x14ac:dyDescent="0.25">
      <c r="A882" s="1" t="s">
        <v>894</v>
      </c>
      <c r="B882" t="str">
        <f>HYPERLINK("https://www.suredividend.com/sure-analysis-research-database/","nLIGHT Inc")</f>
        <v>nLIGHT Inc</v>
      </c>
      <c r="C882">
        <v>-6.5677966101694005E-2</v>
      </c>
      <c r="D882">
        <v>0.42718446601941701</v>
      </c>
      <c r="E882">
        <v>-0.13245901639344199</v>
      </c>
      <c r="F882">
        <v>-0.02</v>
      </c>
      <c r="G882">
        <v>0.10434056761268699</v>
      </c>
      <c r="H882">
        <v>-0.43267581475128603</v>
      </c>
      <c r="I882">
        <v>-0.25169683257918501</v>
      </c>
    </row>
    <row r="883" spans="1:9" x14ac:dyDescent="0.25">
      <c r="A883" s="1" t="s">
        <v>895</v>
      </c>
      <c r="B883" t="str">
        <f>HYPERLINK("https://www.suredividend.com/sure-analysis-research-database/","Laureate Education Inc")</f>
        <v>Laureate Education Inc</v>
      </c>
      <c r="C883">
        <v>-4.2553191489361E-2</v>
      </c>
      <c r="D883">
        <v>2.2286631937643998E-2</v>
      </c>
      <c r="E883">
        <v>0.17567567567567499</v>
      </c>
      <c r="F883">
        <v>-4.8140043763675998E-2</v>
      </c>
      <c r="G883">
        <v>0.44095401093137498</v>
      </c>
      <c r="H883">
        <v>0.29703619774584</v>
      </c>
      <c r="I883">
        <v>0.44369586140519701</v>
      </c>
    </row>
    <row r="884" spans="1:9" x14ac:dyDescent="0.25">
      <c r="A884" s="1" t="s">
        <v>896</v>
      </c>
      <c r="B884" t="str">
        <f>HYPERLINK("https://www.suredividend.com/sure-analysis-research-database/","CS Disco Inc")</f>
        <v>CS Disco Inc</v>
      </c>
      <c r="C884">
        <v>8.2079343365253007E-2</v>
      </c>
      <c r="D884">
        <v>0.40998217468805698</v>
      </c>
      <c r="E884">
        <v>-0.15940488841657799</v>
      </c>
      <c r="F884">
        <v>4.2160737812911013E-2</v>
      </c>
      <c r="G884">
        <v>0.27170418006430802</v>
      </c>
      <c r="H884">
        <v>-0.73331085637221805</v>
      </c>
      <c r="I884">
        <v>-0.80707317073170703</v>
      </c>
    </row>
    <row r="885" spans="1:9" x14ac:dyDescent="0.25">
      <c r="A885" s="1" t="s">
        <v>897</v>
      </c>
      <c r="B885" t="str">
        <f>HYPERLINK("https://www.suredividend.com/sure-analysis-research-database/","Luminar Technologies Inc")</f>
        <v>Luminar Technologies Inc</v>
      </c>
      <c r="C885">
        <v>-0.121052631578947</v>
      </c>
      <c r="D885">
        <v>-0.39199029126213503</v>
      </c>
      <c r="E885">
        <v>-0.66865079365079305</v>
      </c>
      <c r="F885">
        <v>-0.25667655786350102</v>
      </c>
      <c r="G885">
        <v>-0.58388704318936802</v>
      </c>
      <c r="H885">
        <v>-0.84115409004438801</v>
      </c>
      <c r="I885">
        <v>-0.74438775510204003</v>
      </c>
    </row>
    <row r="886" spans="1:9" x14ac:dyDescent="0.25">
      <c r="A886" s="1" t="s">
        <v>898</v>
      </c>
      <c r="B886" t="str">
        <f>HYPERLINK("https://www.suredividend.com/sure-analysis-LBAI/","Lakeland Bancorp, Inc.")</f>
        <v>Lakeland Bancorp, Inc.</v>
      </c>
      <c r="C886">
        <v>-3.2707028531662997E-2</v>
      </c>
      <c r="D886">
        <v>0.21164574616457399</v>
      </c>
      <c r="E886">
        <v>2.5156908008761001E-2</v>
      </c>
      <c r="F886">
        <v>-6.0175794455713007E-2</v>
      </c>
      <c r="G886">
        <v>-0.18893686544520899</v>
      </c>
      <c r="H886">
        <v>-0.24059484915700499</v>
      </c>
      <c r="I886">
        <v>0.125633675072478</v>
      </c>
    </row>
    <row r="887" spans="1:9" x14ac:dyDescent="0.25">
      <c r="A887" s="1" t="s">
        <v>899</v>
      </c>
      <c r="B887" t="str">
        <f>HYPERLINK("https://www.suredividend.com/sure-analysis-research-database/","Luther Burbank Corp")</f>
        <v>Luther Burbank Corp</v>
      </c>
      <c r="C887">
        <v>1.5105740181268E-2</v>
      </c>
      <c r="D887">
        <v>0.214457831325301</v>
      </c>
      <c r="E887">
        <v>8.5037674919268003E-2</v>
      </c>
      <c r="F887">
        <v>-5.8823529411763997E-2</v>
      </c>
      <c r="G887">
        <v>-0.164871582435791</v>
      </c>
      <c r="H887">
        <v>-0.266834441324934</v>
      </c>
      <c r="I887">
        <v>0.158527474800878</v>
      </c>
    </row>
    <row r="888" spans="1:9" x14ac:dyDescent="0.25">
      <c r="A888" s="1" t="s">
        <v>900</v>
      </c>
      <c r="B888" t="str">
        <f>HYPERLINK("https://www.suredividend.com/sure-analysis-research-database/","Liberty Energy Inc")</f>
        <v>Liberty Energy Inc</v>
      </c>
      <c r="C888">
        <v>-3.3259423503325003E-2</v>
      </c>
      <c r="D888">
        <v>-7.3006086055226002E-2</v>
      </c>
      <c r="E888">
        <v>0.14289459025525</v>
      </c>
      <c r="F888">
        <v>-3.8588754134508997E-2</v>
      </c>
      <c r="G888">
        <v>6.1388934533481002E-2</v>
      </c>
      <c r="H888">
        <v>0.46097912408269898</v>
      </c>
      <c r="I888">
        <v>0.36983073479165801</v>
      </c>
    </row>
    <row r="889" spans="1:9" x14ac:dyDescent="0.25">
      <c r="A889" s="1" t="s">
        <v>901</v>
      </c>
      <c r="B889" t="str">
        <f>HYPERLINK("https://www.suredividend.com/sure-analysis-research-database/","LendingClub Corp")</f>
        <v>LendingClub Corp</v>
      </c>
      <c r="C889">
        <v>0.12330623306233</v>
      </c>
      <c r="D889">
        <v>0.53518518518518499</v>
      </c>
      <c r="E889">
        <v>-0.18083003952569099</v>
      </c>
      <c r="F889">
        <v>-5.1487414187643001E-2</v>
      </c>
      <c r="G889">
        <v>-0.13465553235908101</v>
      </c>
      <c r="H889">
        <v>-0.66066311911584108</v>
      </c>
      <c r="I889">
        <v>-0.45099337748344298</v>
      </c>
    </row>
    <row r="890" spans="1:9" x14ac:dyDescent="0.25">
      <c r="A890" s="1" t="s">
        <v>902</v>
      </c>
      <c r="B890" t="str">
        <f>HYPERLINK("https://www.suredividend.com/sure-analysis-research-database/","LCI Industries")</f>
        <v>LCI Industries</v>
      </c>
      <c r="C890">
        <v>1.9262049482064999E-2</v>
      </c>
      <c r="D890">
        <v>7.1390648143648011E-2</v>
      </c>
      <c r="E890">
        <v>-6.364994066217701E-2</v>
      </c>
      <c r="F890">
        <v>-5.2899530665818012E-2</v>
      </c>
      <c r="G890">
        <v>0.12202941628271401</v>
      </c>
      <c r="H890">
        <v>-0.13644853034506499</v>
      </c>
      <c r="I890">
        <v>0.8155146753848781</v>
      </c>
    </row>
    <row r="891" spans="1:9" x14ac:dyDescent="0.25">
      <c r="A891" s="1" t="s">
        <v>903</v>
      </c>
      <c r="B891" t="str">
        <f>HYPERLINK("https://www.suredividend.com/sure-analysis-research-database/","Lifetime Brands, Inc.")</f>
        <v>Lifetime Brands, Inc.</v>
      </c>
      <c r="C891">
        <v>0.31766612641815201</v>
      </c>
      <c r="D891">
        <v>0.6863021654359911</v>
      </c>
      <c r="E891">
        <v>0.47461592875410302</v>
      </c>
      <c r="F891">
        <v>0.21162444113263801</v>
      </c>
      <c r="G891">
        <v>8.930126616198801E-2</v>
      </c>
      <c r="H891">
        <v>-0.43676608126363903</v>
      </c>
      <c r="I891">
        <v>-0.14399427223719599</v>
      </c>
    </row>
    <row r="892" spans="1:9" x14ac:dyDescent="0.25">
      <c r="A892" s="1" t="s">
        <v>904</v>
      </c>
      <c r="B892" t="str">
        <f>HYPERLINK("https://www.suredividend.com/sure-analysis-research-database/","Lands` End, Inc.")</f>
        <v>Lands` End, Inc.</v>
      </c>
      <c r="C892">
        <v>8.6357947434292009E-2</v>
      </c>
      <c r="D892">
        <v>0.27086383601756903</v>
      </c>
      <c r="E892">
        <v>-1.0262257696693E-2</v>
      </c>
      <c r="F892">
        <v>-9.2050209205021008E-2</v>
      </c>
      <c r="G892">
        <v>4.7044632086851002E-2</v>
      </c>
      <c r="H892">
        <v>-0.55464340687531999</v>
      </c>
      <c r="I892">
        <v>-0.42210386151797602</v>
      </c>
    </row>
    <row r="893" spans="1:9" x14ac:dyDescent="0.25">
      <c r="A893" s="1" t="s">
        <v>905</v>
      </c>
      <c r="B893" t="str">
        <f>HYPERLINK("https://www.suredividend.com/sure-analysis-research-database/","Legacy Housing Corp")</f>
        <v>Legacy Housing Corp</v>
      </c>
      <c r="C893">
        <v>3.7859007832898001E-2</v>
      </c>
      <c r="D893">
        <v>0.26996805111820998</v>
      </c>
      <c r="E893">
        <v>2.3605150214591999E-2</v>
      </c>
      <c r="F893">
        <v>-5.4321966693100007E-2</v>
      </c>
      <c r="G893">
        <v>0.160019455252918</v>
      </c>
      <c r="H893">
        <v>-5.9542586750788003E-2</v>
      </c>
      <c r="I893">
        <v>0.90800000000000003</v>
      </c>
    </row>
    <row r="894" spans="1:9" x14ac:dyDescent="0.25">
      <c r="A894" s="1" t="s">
        <v>906</v>
      </c>
      <c r="B894" t="str">
        <f>HYPERLINK("https://www.suredividend.com/sure-analysis-research-database/","Centrus Energy Corp")</f>
        <v>Centrus Energy Corp</v>
      </c>
      <c r="C894">
        <v>3.1598864711447003E-2</v>
      </c>
      <c r="D894">
        <v>3.2184778492995003E-2</v>
      </c>
      <c r="E894">
        <v>0.64712990936555803</v>
      </c>
      <c r="F894">
        <v>2.021687189854E-3</v>
      </c>
      <c r="G894">
        <v>0.47510822510822498</v>
      </c>
      <c r="H894">
        <v>0.184959791349706</v>
      </c>
      <c r="I894">
        <v>23.66968325791856</v>
      </c>
    </row>
    <row r="895" spans="1:9" x14ac:dyDescent="0.25">
      <c r="A895" s="1" t="s">
        <v>907</v>
      </c>
      <c r="B895" t="str">
        <f>HYPERLINK("https://www.suredividend.com/sure-analysis-research-database/","Lifecore Biomedical Inc")</f>
        <v>Lifecore Biomedical Inc</v>
      </c>
      <c r="C895">
        <v>0.13930348258706399</v>
      </c>
      <c r="D895">
        <v>-3.3755274261602998E-2</v>
      </c>
      <c r="E895">
        <v>-0.30606060606060598</v>
      </c>
      <c r="F895">
        <v>0.109854604200323</v>
      </c>
      <c r="G895">
        <v>-1.8571428571428E-2</v>
      </c>
      <c r="H895">
        <v>-0.35794392523364399</v>
      </c>
      <c r="I895">
        <v>-0.41131105398457501</v>
      </c>
    </row>
    <row r="896" spans="1:9" x14ac:dyDescent="0.25">
      <c r="A896" s="1" t="s">
        <v>908</v>
      </c>
      <c r="B896" t="str">
        <f>HYPERLINK("https://www.suredividend.com/sure-analysis-research-database/","LifeStance Health Group Inc")</f>
        <v>LifeStance Health Group Inc</v>
      </c>
      <c r="C896">
        <v>-2.8368794326240999E-2</v>
      </c>
      <c r="D896">
        <v>0.112012987012986</v>
      </c>
      <c r="E896">
        <v>-0.21981776765375799</v>
      </c>
      <c r="F896">
        <v>-0.12515964240102101</v>
      </c>
      <c r="G896">
        <v>0.28517823639774798</v>
      </c>
      <c r="H896">
        <v>-0.19976635514018701</v>
      </c>
      <c r="I896">
        <v>-0.68721461187214605</v>
      </c>
    </row>
    <row r="897" spans="1:9" x14ac:dyDescent="0.25">
      <c r="A897" s="1" t="s">
        <v>909</v>
      </c>
      <c r="B897" t="str">
        <f>HYPERLINK("https://www.suredividend.com/sure-analysis-research-database/","LGI Homes Inc")</f>
        <v>LGI Homes Inc</v>
      </c>
      <c r="C897">
        <v>-3.2203526286099998E-4</v>
      </c>
      <c r="D897">
        <v>0.32660256410256411</v>
      </c>
      <c r="E897">
        <v>-7.7968367119625001E-2</v>
      </c>
      <c r="F897">
        <v>-6.7512766596575E-2</v>
      </c>
      <c r="G897">
        <v>0.15797817774876399</v>
      </c>
      <c r="H897">
        <v>-0.10604751619870401</v>
      </c>
      <c r="I897">
        <v>1.1408620689655169</v>
      </c>
    </row>
    <row r="898" spans="1:9" x14ac:dyDescent="0.25">
      <c r="A898" s="1" t="s">
        <v>910</v>
      </c>
      <c r="B898" t="str">
        <f>HYPERLINK("https://www.suredividend.com/sure-analysis-research-database/","Ligand Pharmaceuticals, Inc.")</f>
        <v>Ligand Pharmaceuticals, Inc.</v>
      </c>
      <c r="C898">
        <v>7.9072532699167003E-2</v>
      </c>
      <c r="D898">
        <v>0.32024004364429798</v>
      </c>
      <c r="E898">
        <v>6.0318387615013007E-2</v>
      </c>
      <c r="F898">
        <v>1.6521982637915999E-2</v>
      </c>
      <c r="G898">
        <v>1.8518518518518001E-2</v>
      </c>
      <c r="H898">
        <v>-0.42072927471475302</v>
      </c>
      <c r="I898">
        <v>-0.46098448288662802</v>
      </c>
    </row>
    <row r="899" spans="1:9" x14ac:dyDescent="0.25">
      <c r="A899" s="1" t="s">
        <v>911</v>
      </c>
      <c r="B899" t="str">
        <f>HYPERLINK("https://www.suredividend.com/sure-analysis-research-database/","Li-Cycle Holdings Corp")</f>
        <v>Li-Cycle Holdings Corp</v>
      </c>
      <c r="C899">
        <v>-0.28234510326449003</v>
      </c>
      <c r="D899">
        <v>-0.80695340501792101</v>
      </c>
      <c r="E899">
        <v>-0.91097520661157005</v>
      </c>
      <c r="F899">
        <v>-7.9001367989056007E-2</v>
      </c>
      <c r="G899">
        <v>-0.90697754749568205</v>
      </c>
      <c r="H899">
        <v>-0.94360209424083707</v>
      </c>
      <c r="I899">
        <v>-0.94455710535796999</v>
      </c>
    </row>
    <row r="900" spans="1:9" x14ac:dyDescent="0.25">
      <c r="A900" s="1" t="s">
        <v>912</v>
      </c>
      <c r="B900" t="str">
        <f>HYPERLINK("https://www.suredividend.com/sure-analysis-research-database/","AEye Inc")</f>
        <v>AEye Inc</v>
      </c>
      <c r="C900">
        <v>-0.44208439535542299</v>
      </c>
      <c r="D900">
        <v>-0.67491749174917404</v>
      </c>
      <c r="E900">
        <v>-0.70684523809523803</v>
      </c>
      <c r="F900">
        <v>-0.13973799126637501</v>
      </c>
      <c r="G900">
        <v>-0.89515141838309609</v>
      </c>
      <c r="H900">
        <v>-0.98230008984725903</v>
      </c>
      <c r="I900">
        <v>-0.81554307116104807</v>
      </c>
    </row>
    <row r="901" spans="1:9" x14ac:dyDescent="0.25">
      <c r="A901" s="1" t="s">
        <v>913</v>
      </c>
      <c r="B901" t="str">
        <f>HYPERLINK("https://www.suredividend.com/sure-analysis-research-database/","Liberty Latin America Ltd")</f>
        <v>Liberty Latin America Ltd</v>
      </c>
      <c r="C901">
        <v>2.0028612303289998E-2</v>
      </c>
      <c r="D901">
        <v>-4.1666666666666012E-2</v>
      </c>
      <c r="E901">
        <v>-0.17093023255813899</v>
      </c>
      <c r="F901">
        <v>-2.4623803009575E-2</v>
      </c>
      <c r="G901">
        <v>-0.20865704772474999</v>
      </c>
      <c r="H901">
        <v>-0.36958443854995499</v>
      </c>
      <c r="I901">
        <v>-0.54734469733041302</v>
      </c>
    </row>
    <row r="902" spans="1:9" x14ac:dyDescent="0.25">
      <c r="A902" s="1" t="s">
        <v>914</v>
      </c>
      <c r="B902" t="str">
        <f>HYPERLINK("https://www.suredividend.com/sure-analysis-research-database/","Liberty Latin America Ltd")</f>
        <v>Liberty Latin America Ltd</v>
      </c>
      <c r="C902">
        <v>2.7142857142857E-2</v>
      </c>
      <c r="D902">
        <v>-3.2301480484521999E-2</v>
      </c>
      <c r="E902">
        <v>-0.155111633372502</v>
      </c>
      <c r="F902">
        <v>-2.0435967302452E-2</v>
      </c>
      <c r="G902">
        <v>-0.20640176600441501</v>
      </c>
      <c r="H902">
        <v>-0.353998203054806</v>
      </c>
      <c r="I902">
        <v>-0.550315842141472</v>
      </c>
    </row>
    <row r="903" spans="1:9" x14ac:dyDescent="0.25">
      <c r="A903" s="1" t="s">
        <v>915</v>
      </c>
      <c r="B903" t="str">
        <f>HYPERLINK("https://www.suredividend.com/sure-analysis-research-database/","Lindblad Expeditions Holdings Inc")</f>
        <v>Lindblad Expeditions Holdings Inc</v>
      </c>
      <c r="C903">
        <v>-4.0041067761807013E-2</v>
      </c>
      <c r="D903">
        <v>0.41238670694863999</v>
      </c>
      <c r="E903">
        <v>-8.0629301868239009E-2</v>
      </c>
      <c r="F903">
        <v>-0.17036379769299001</v>
      </c>
      <c r="G903">
        <v>-0.17109929078014099</v>
      </c>
      <c r="H903">
        <v>-0.48199445983379502</v>
      </c>
      <c r="I903">
        <v>-0.26724137931034397</v>
      </c>
    </row>
    <row r="904" spans="1:9" x14ac:dyDescent="0.25">
      <c r="A904" s="1" t="s">
        <v>916</v>
      </c>
      <c r="B904" t="str">
        <f>HYPERLINK("https://www.suredividend.com/sure-analysis-research-database/","LivaNova PLC")</f>
        <v>LivaNova PLC</v>
      </c>
      <c r="C904">
        <v>1.6077808654227001E-2</v>
      </c>
      <c r="D904">
        <v>6.7793074676678999E-2</v>
      </c>
      <c r="E904">
        <v>-2.1597859327217001E-2</v>
      </c>
      <c r="F904">
        <v>-1.0630073444143E-2</v>
      </c>
      <c r="G904">
        <v>-0.11236344719958299</v>
      </c>
      <c r="H904">
        <v>-0.39677115248644801</v>
      </c>
      <c r="I904">
        <v>-0.43586070090368001</v>
      </c>
    </row>
    <row r="905" spans="1:9" x14ac:dyDescent="0.25">
      <c r="A905" s="1" t="s">
        <v>917</v>
      </c>
      <c r="B905" t="str">
        <f>HYPERLINK("https://www.suredividend.com/sure-analysis-research-database/","Lakeland Financial Corp.")</f>
        <v>Lakeland Financial Corp.</v>
      </c>
      <c r="C905">
        <v>-3.3872209391839013E-2</v>
      </c>
      <c r="D905">
        <v>0.31331375745868001</v>
      </c>
      <c r="E905">
        <v>0.270155495370764</v>
      </c>
      <c r="F905">
        <v>-3.6985880908532012E-2</v>
      </c>
      <c r="G905">
        <v>-0.13175587327371599</v>
      </c>
      <c r="H905">
        <v>-0.19607041782558501</v>
      </c>
      <c r="I905">
        <v>0.69925720119476009</v>
      </c>
    </row>
    <row r="906" spans="1:9" x14ac:dyDescent="0.25">
      <c r="A906" s="1" t="s">
        <v>918</v>
      </c>
      <c r="B906" t="str">
        <f>HYPERLINK("https://www.suredividend.com/sure-analysis-research-database/","LL Flooring Holdings Inc")</f>
        <v>LL Flooring Holdings Inc</v>
      </c>
      <c r="C906">
        <v>-2.4615384615384001E-2</v>
      </c>
      <c r="D906">
        <v>-0.19338422391857499</v>
      </c>
      <c r="E906">
        <v>-0.18717948717948699</v>
      </c>
      <c r="F906">
        <v>-0.18717948717948699</v>
      </c>
      <c r="G906">
        <v>-0.49361022364217211</v>
      </c>
      <c r="H906">
        <v>-0.8126477541371151</v>
      </c>
      <c r="I906">
        <v>-0.71076642335766405</v>
      </c>
    </row>
    <row r="907" spans="1:9" x14ac:dyDescent="0.25">
      <c r="A907" s="1" t="s">
        <v>919</v>
      </c>
      <c r="B907" t="str">
        <f>HYPERLINK("https://www.suredividend.com/sure-analysis-research-database/","Terran Orbital Corp")</f>
        <v>Terran Orbital Corp</v>
      </c>
      <c r="C907">
        <v>-3.1702127659574003E-2</v>
      </c>
      <c r="D907">
        <v>0.27693602693602698</v>
      </c>
      <c r="E907">
        <v>-0.47387283236994199</v>
      </c>
      <c r="F907">
        <v>-0.20157894736842</v>
      </c>
      <c r="G907">
        <v>-0.50800000000000001</v>
      </c>
      <c r="H907">
        <v>-0.90796764408493402</v>
      </c>
      <c r="I907">
        <v>-0.90740590030518808</v>
      </c>
    </row>
    <row r="908" spans="1:9" x14ac:dyDescent="0.25">
      <c r="A908" s="1" t="s">
        <v>920</v>
      </c>
      <c r="B908" t="str">
        <f>HYPERLINK("https://www.suredividend.com/sure-analysis-LMAT/","Lemaitre Vascular Inc")</f>
        <v>Lemaitre Vascular Inc</v>
      </c>
      <c r="C908">
        <v>2.7870062753782999E-2</v>
      </c>
      <c r="D908">
        <v>0.197155546383597</v>
      </c>
      <c r="E908">
        <v>-0.135681948339575</v>
      </c>
      <c r="F908">
        <v>-1.8851303735024E-2</v>
      </c>
      <c r="G908">
        <v>0.22553981849070801</v>
      </c>
      <c r="H908">
        <v>0.225596457676318</v>
      </c>
      <c r="I908">
        <v>1.602227009144475</v>
      </c>
    </row>
    <row r="909" spans="1:9" x14ac:dyDescent="0.25">
      <c r="A909" s="1" t="s">
        <v>921</v>
      </c>
      <c r="B909" t="str">
        <f>HYPERLINK("https://www.suredividend.com/sure-analysis-research-database/","Lemonade Inc")</f>
        <v>Lemonade Inc</v>
      </c>
      <c r="C909">
        <v>-0.106451612903225</v>
      </c>
      <c r="D909">
        <v>0.32747603833865802</v>
      </c>
      <c r="E909">
        <v>-0.157627977698935</v>
      </c>
      <c r="F909">
        <v>3.0378177309361001E-2</v>
      </c>
      <c r="G909">
        <v>1.4032946918852001E-2</v>
      </c>
      <c r="H909">
        <v>-0.53288364249578402</v>
      </c>
      <c r="I909">
        <v>-0.76055323440426403</v>
      </c>
    </row>
    <row r="910" spans="1:9" x14ac:dyDescent="0.25">
      <c r="A910" s="1" t="s">
        <v>922</v>
      </c>
      <c r="B910" t="str">
        <f>HYPERLINK("https://www.suredividend.com/sure-analysis-LNN/","Lindsay Corporation")</f>
        <v>Lindsay Corporation</v>
      </c>
      <c r="C910">
        <v>8.0311890838200006E-3</v>
      </c>
      <c r="D910">
        <v>0.16754464313936501</v>
      </c>
      <c r="E910">
        <v>5.1091092393248001E-2</v>
      </c>
      <c r="F910">
        <v>9.2908021059100003E-4</v>
      </c>
      <c r="G910">
        <v>-0.17891811283270601</v>
      </c>
      <c r="H910">
        <v>-5.9456219025640002E-2</v>
      </c>
      <c r="I910">
        <v>0.58889738289133109</v>
      </c>
    </row>
    <row r="911" spans="1:9" x14ac:dyDescent="0.25">
      <c r="A911" s="1" t="s">
        <v>923</v>
      </c>
      <c r="B911" t="str">
        <f>HYPERLINK("https://www.suredividend.com/sure-analysis-research-database/","Lantheus Holdings Inc")</f>
        <v>Lantheus Holdings Inc</v>
      </c>
      <c r="C911">
        <v>-0.26541274817136801</v>
      </c>
      <c r="D911">
        <v>-0.166444345635097</v>
      </c>
      <c r="E911">
        <v>-0.33380715470267702</v>
      </c>
      <c r="F911">
        <v>-9.2903225806451009E-2</v>
      </c>
      <c r="G911">
        <v>5.9532780708364007E-2</v>
      </c>
      <c r="H911">
        <v>1.1222641509433959</v>
      </c>
      <c r="I911">
        <v>2.460923076923077</v>
      </c>
    </row>
    <row r="912" spans="1:9" x14ac:dyDescent="0.25">
      <c r="A912" s="1" t="s">
        <v>924</v>
      </c>
      <c r="B912" t="str">
        <f>HYPERLINK("https://www.suredividend.com/sure-analysis-research-database/","Light &amp; Wonder Inc")</f>
        <v>Light &amp; Wonder Inc</v>
      </c>
      <c r="C912">
        <v>-5.3379098118120007E-2</v>
      </c>
      <c r="D912">
        <v>4.8918032786885002E-2</v>
      </c>
      <c r="E912">
        <v>0.18541574032903499</v>
      </c>
      <c r="F912">
        <v>-2.5940811107051001E-2</v>
      </c>
      <c r="G912">
        <v>0.28896051571313403</v>
      </c>
      <c r="H912">
        <v>0.30027637782474398</v>
      </c>
      <c r="I912">
        <v>2.8049476688867738</v>
      </c>
    </row>
    <row r="913" spans="1:9" x14ac:dyDescent="0.25">
      <c r="A913" s="1" t="s">
        <v>925</v>
      </c>
      <c r="B913" t="str">
        <f>HYPERLINK("https://www.suredividend.com/sure-analysis-research-database/","Live Oak Bancshares Inc")</f>
        <v>Live Oak Bancshares Inc</v>
      </c>
      <c r="C913">
        <v>3.6569987389658998E-2</v>
      </c>
      <c r="D913">
        <v>0.45981771813796801</v>
      </c>
      <c r="E913">
        <v>0.43820948168469898</v>
      </c>
      <c r="F913">
        <v>-9.6703296703296013E-2</v>
      </c>
      <c r="G913">
        <v>0.28433486453548301</v>
      </c>
      <c r="H913">
        <v>-0.50953307787683899</v>
      </c>
      <c r="I913">
        <v>1.682592520070491</v>
      </c>
    </row>
    <row r="914" spans="1:9" x14ac:dyDescent="0.25">
      <c r="A914" s="1" t="s">
        <v>926</v>
      </c>
      <c r="B914" t="str">
        <f>HYPERLINK("https://www.suredividend.com/sure-analysis-research-database/","Local Bounti Corp")</f>
        <v>Local Bounti Corp</v>
      </c>
      <c r="C914">
        <v>-0.33200000000000002</v>
      </c>
      <c r="D914">
        <v>7.0512820512819999E-2</v>
      </c>
      <c r="E914">
        <v>-0.42413793103448211</v>
      </c>
      <c r="F914">
        <v>-0.19323671497584499</v>
      </c>
      <c r="G914">
        <v>-0.88829431438127004</v>
      </c>
      <c r="H914">
        <v>-0.97495876443244811</v>
      </c>
      <c r="I914">
        <v>-0.82871794871794802</v>
      </c>
    </row>
    <row r="915" spans="1:9" x14ac:dyDescent="0.25">
      <c r="A915" s="1" t="s">
        <v>927</v>
      </c>
      <c r="B915" t="str">
        <f>HYPERLINK("https://www.suredividend.com/sure-analysis-research-database/","El Pollo Loco Holdings Inc")</f>
        <v>El Pollo Loco Holdings Inc</v>
      </c>
      <c r="C915">
        <v>-5.0111358574610007E-2</v>
      </c>
      <c r="D915">
        <v>3.8976857490864013E-2</v>
      </c>
      <c r="E915">
        <v>-0.15124378109452699</v>
      </c>
      <c r="F915">
        <v>-3.2879818594104E-2</v>
      </c>
      <c r="G915">
        <v>-0.222424794895168</v>
      </c>
      <c r="H915">
        <v>-0.29749717928234298</v>
      </c>
      <c r="I915">
        <v>-0.39687051453379402</v>
      </c>
    </row>
    <row r="916" spans="1:9" x14ac:dyDescent="0.25">
      <c r="A916" s="1" t="s">
        <v>928</v>
      </c>
      <c r="B916" t="str">
        <f>HYPERLINK("https://www.suredividend.com/sure-analysis-research-database/","Lovesac Company")</f>
        <v>Lovesac Company</v>
      </c>
      <c r="C916">
        <v>-0.111740279350698</v>
      </c>
      <c r="D916">
        <v>0.40393794749403311</v>
      </c>
      <c r="E916">
        <v>-0.18184979137691201</v>
      </c>
      <c r="F916">
        <v>-7.9060665362035001E-2</v>
      </c>
      <c r="G916">
        <v>-0.115080857465212</v>
      </c>
      <c r="H916">
        <v>-0.5796713111825651</v>
      </c>
      <c r="I916">
        <v>-4.8139158576051007E-2</v>
      </c>
    </row>
    <row r="917" spans="1:9" x14ac:dyDescent="0.25">
      <c r="A917" s="1" t="s">
        <v>929</v>
      </c>
      <c r="B917" t="str">
        <f>HYPERLINK("https://www.suredividend.com/sure-analysis-research-database/","Dorian LPG Ltd")</f>
        <v>Dorian LPG Ltd</v>
      </c>
      <c r="C917">
        <v>7.7254305977710006E-2</v>
      </c>
      <c r="D917">
        <v>0.44114776762720598</v>
      </c>
      <c r="E917">
        <v>0.7722457891973431</v>
      </c>
      <c r="F917">
        <v>-3.0544791429222E-2</v>
      </c>
      <c r="G917">
        <v>1.7965360564436059</v>
      </c>
      <c r="H917">
        <v>3.8690853721364209</v>
      </c>
      <c r="I917">
        <v>10.95267269967961</v>
      </c>
    </row>
    <row r="918" spans="1:9" x14ac:dyDescent="0.25">
      <c r="A918" s="1" t="s">
        <v>930</v>
      </c>
      <c r="B918" t="str">
        <f>HYPERLINK("https://www.suredividend.com/sure-analysis-research-database/","Open Lending Corp")</f>
        <v>Open Lending Corp</v>
      </c>
      <c r="C918">
        <v>6.2146892655367013E-2</v>
      </c>
      <c r="D918">
        <v>0.15160796324655401</v>
      </c>
      <c r="E918">
        <v>-0.29522024367385102</v>
      </c>
      <c r="F918">
        <v>-0.116333725029377</v>
      </c>
      <c r="G918">
        <v>-6.8153655514250011E-2</v>
      </c>
      <c r="H918">
        <v>-0.63441905687894995</v>
      </c>
      <c r="I918">
        <v>-0.48947725729803099</v>
      </c>
    </row>
    <row r="919" spans="1:9" x14ac:dyDescent="0.25">
      <c r="A919" s="1" t="s">
        <v>931</v>
      </c>
      <c r="B919" t="str">
        <f>HYPERLINK("https://www.suredividend.com/sure-analysis-research-database/","Liveperson Inc")</f>
        <v>Liveperson Inc</v>
      </c>
      <c r="C919">
        <v>3.6144578313252997E-2</v>
      </c>
      <c r="D919">
        <v>0.23297491039426499</v>
      </c>
      <c r="E919">
        <v>-0.35459662288930499</v>
      </c>
      <c r="F919">
        <v>-9.2348284960422009E-2</v>
      </c>
      <c r="G919">
        <v>-0.6912028725314181</v>
      </c>
      <c r="H919">
        <v>-0.89578915480157506</v>
      </c>
      <c r="I919">
        <v>-0.82774161241862709</v>
      </c>
    </row>
    <row r="920" spans="1:9" x14ac:dyDescent="0.25">
      <c r="A920" s="1" t="s">
        <v>932</v>
      </c>
      <c r="B920" t="str">
        <f>HYPERLINK("https://www.suredividend.com/sure-analysis-research-database/","Liquidia Corp")</f>
        <v>Liquidia Corp</v>
      </c>
      <c r="C920">
        <v>0.7398601398601391</v>
      </c>
      <c r="D920">
        <v>1.019480519480519</v>
      </c>
      <c r="E920">
        <v>0.55499999999999905</v>
      </c>
      <c r="F920">
        <v>3.4081463009143012E-2</v>
      </c>
      <c r="G920">
        <v>0.92868217054263502</v>
      </c>
      <c r="H920">
        <v>1.1710296684118671</v>
      </c>
      <c r="I920">
        <v>2.6588235294117641</v>
      </c>
    </row>
    <row r="921" spans="1:9" x14ac:dyDescent="0.25">
      <c r="A921" s="1" t="s">
        <v>933</v>
      </c>
      <c r="B921" t="str">
        <f>HYPERLINK("https://www.suredividend.com/sure-analysis-research-database/","Liquidity Services Inc")</f>
        <v>Liquidity Services Inc</v>
      </c>
      <c r="C921">
        <v>-2.8895184135977001E-2</v>
      </c>
      <c r="D921">
        <v>-0.139989964877069</v>
      </c>
      <c r="E921">
        <v>1.6607354685646E-2</v>
      </c>
      <c r="F921">
        <v>-4.0674026728640001E-3</v>
      </c>
      <c r="G921">
        <v>0.15654520917678799</v>
      </c>
      <c r="H921">
        <v>-0.196060037523452</v>
      </c>
      <c r="I921">
        <v>1.1451814768460571</v>
      </c>
    </row>
    <row r="922" spans="1:9" x14ac:dyDescent="0.25">
      <c r="A922" s="1" t="s">
        <v>934</v>
      </c>
      <c r="B922" t="str">
        <f>HYPERLINK("https://www.suredividend.com/sure-analysis-research-database/","Stride Inc")</f>
        <v>Stride Inc</v>
      </c>
      <c r="C922">
        <v>-6.0221615545205998E-2</v>
      </c>
      <c r="D922">
        <v>0.29126213592233002</v>
      </c>
      <c r="E922">
        <v>0.58119427181842709</v>
      </c>
      <c r="F922">
        <v>-1.4316995115378E-2</v>
      </c>
      <c r="G922">
        <v>0.77011494252873502</v>
      </c>
      <c r="H922">
        <v>0.93967517401392109</v>
      </c>
      <c r="I922">
        <v>1.3807973962571189</v>
      </c>
    </row>
    <row r="923" spans="1:9" x14ac:dyDescent="0.25">
      <c r="A923" s="1" t="s">
        <v>935</v>
      </c>
      <c r="B923" t="str">
        <f>HYPERLINK("https://www.suredividend.com/sure-analysis-research-database/","Landsea Homes Corporation")</f>
        <v>Landsea Homes Corporation</v>
      </c>
      <c r="C923">
        <v>4.6798029556650002E-2</v>
      </c>
      <c r="D923">
        <v>0.70682730923694703</v>
      </c>
      <c r="E923">
        <v>0.214285714285714</v>
      </c>
      <c r="F923">
        <v>-2.9680365296802999E-2</v>
      </c>
      <c r="G923">
        <v>1.007874015748031</v>
      </c>
      <c r="H923">
        <v>0.64941785252263906</v>
      </c>
      <c r="I923">
        <v>0.30102040816326497</v>
      </c>
    </row>
    <row r="924" spans="1:9" x14ac:dyDescent="0.25">
      <c r="A924" s="1" t="s">
        <v>936</v>
      </c>
      <c r="B924" t="str">
        <f>HYPERLINK("https://www.suredividend.com/sure-analysis-LTC/","LTC Properties, Inc.")</f>
        <v>LTC Properties, Inc.</v>
      </c>
      <c r="C924">
        <v>-1.6910922283750001E-2</v>
      </c>
      <c r="D924">
        <v>3.7537116748902997E-2</v>
      </c>
      <c r="E924">
        <v>-5.1566718233300008E-4</v>
      </c>
      <c r="F924">
        <v>2.5840597758406001E-2</v>
      </c>
      <c r="G924">
        <v>-5.2807083105757012E-2</v>
      </c>
      <c r="H924">
        <v>3.1408663206726001E-2</v>
      </c>
      <c r="I924">
        <v>3.1964271173276E-2</v>
      </c>
    </row>
    <row r="925" spans="1:9" x14ac:dyDescent="0.25">
      <c r="A925" s="1" t="s">
        <v>937</v>
      </c>
      <c r="B925" t="str">
        <f>HYPERLINK("https://www.suredividend.com/sure-analysis-research-database/","Latch Inc")</f>
        <v>Latch Inc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s="1" t="s">
        <v>938</v>
      </c>
      <c r="B926" t="str">
        <f>HYPERLINK("https://www.suredividend.com/sure-analysis-research-database/","Life Time Group Holdings Inc")</f>
        <v>Life Time Group Holdings Inc</v>
      </c>
      <c r="C926">
        <v>-2.6333558406482001E-2</v>
      </c>
      <c r="D926">
        <v>-5.5172413793100001E-3</v>
      </c>
      <c r="E926">
        <v>-0.338532110091743</v>
      </c>
      <c r="F926">
        <v>-4.3766578249335997E-2</v>
      </c>
      <c r="G926">
        <v>-0.16887608069164201</v>
      </c>
      <c r="H926">
        <v>-0.16743648960738999</v>
      </c>
      <c r="I926">
        <v>-0.187605633802816</v>
      </c>
    </row>
    <row r="927" spans="1:9" x14ac:dyDescent="0.25">
      <c r="A927" s="1" t="s">
        <v>939</v>
      </c>
      <c r="B927" t="str">
        <f>HYPERLINK("https://www.suredividend.com/sure-analysis-research-database/","Livent Corp")</f>
        <v>Livent Corp</v>
      </c>
      <c r="C927">
        <v>0.152932960893854</v>
      </c>
      <c r="D927">
        <v>-1.8430439952437001E-2</v>
      </c>
      <c r="E927">
        <v>-0.41474654377880099</v>
      </c>
      <c r="F927">
        <v>-8.1757508342602009E-2</v>
      </c>
      <c r="G927">
        <v>-0.130136986301369</v>
      </c>
      <c r="H927">
        <v>-0.35305642633228801</v>
      </c>
      <c r="I927">
        <v>0.21486387049300901</v>
      </c>
    </row>
    <row r="928" spans="1:9" x14ac:dyDescent="0.25">
      <c r="A928" s="1" t="s">
        <v>940</v>
      </c>
      <c r="B928" t="str">
        <f>HYPERLINK("https://www.suredividend.com/sure-analysis-research-database/","Pulmonx Corp")</f>
        <v>Pulmonx Corp</v>
      </c>
      <c r="C928">
        <v>1.031746031746E-2</v>
      </c>
      <c r="D928">
        <v>0.593241551939925</v>
      </c>
      <c r="E928">
        <v>-3.7065052950075013E-2</v>
      </c>
      <c r="F928">
        <v>-1.56862745098E-3</v>
      </c>
      <c r="G928">
        <v>0.42713004484304901</v>
      </c>
      <c r="H928">
        <v>-0.5590578455143741</v>
      </c>
      <c r="I928">
        <v>-0.67616382599847302</v>
      </c>
    </row>
    <row r="929" spans="1:9" x14ac:dyDescent="0.25">
      <c r="A929" s="1" t="s">
        <v>941</v>
      </c>
      <c r="B929" t="str">
        <f>HYPERLINK("https://www.suredividend.com/sure-analysis-research-database/","Lulus Fashion Lounge Holdings Inc")</f>
        <v>Lulus Fashion Lounge Holdings Inc</v>
      </c>
      <c r="C929">
        <v>2.4509803921567999E-2</v>
      </c>
      <c r="D929">
        <v>-4.1284403669724003E-2</v>
      </c>
      <c r="E929">
        <v>-0.22304832713754599</v>
      </c>
      <c r="F929">
        <v>0.123655913978494</v>
      </c>
      <c r="G929">
        <v>-0.253571428571428</v>
      </c>
      <c r="H929">
        <v>-0.77282608695652111</v>
      </c>
      <c r="I929">
        <v>-0.83996937212863709</v>
      </c>
    </row>
    <row r="930" spans="1:9" x14ac:dyDescent="0.25">
      <c r="A930" s="1" t="s">
        <v>942</v>
      </c>
      <c r="B930" t="str">
        <f>HYPERLINK("https://www.suredividend.com/sure-analysis-research-database/","LiveVox Holdings Inc")</f>
        <v>LiveVox Holdings Inc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 s="1" t="s">
        <v>943</v>
      </c>
      <c r="B931" t="str">
        <f>HYPERLINK("https://www.suredividend.com/sure-analysis-research-database/","Lightwave Logic Inc")</f>
        <v>Lightwave Logic Inc</v>
      </c>
      <c r="C931">
        <v>-0.19132149901380599</v>
      </c>
      <c r="D931">
        <v>-0.100877192982456</v>
      </c>
      <c r="E931">
        <v>-0.47704081632653011</v>
      </c>
      <c r="F931">
        <v>-0.17670682730923701</v>
      </c>
      <c r="G931">
        <v>-0.33224755700325698</v>
      </c>
      <c r="H931">
        <v>-0.61574507966260505</v>
      </c>
      <c r="I931">
        <v>3.4808743169398899</v>
      </c>
    </row>
    <row r="932" spans="1:9" x14ac:dyDescent="0.25">
      <c r="A932" s="1" t="s">
        <v>944</v>
      </c>
      <c r="B932" t="str">
        <f>HYPERLINK("https://www.suredividend.com/sure-analysis-research-database/","Luxfer Holdings PLC")</f>
        <v>Luxfer Holdings PLC</v>
      </c>
      <c r="C932">
        <v>-9.8060344827586007E-2</v>
      </c>
      <c r="D932">
        <v>-0.12172088142707201</v>
      </c>
      <c r="E932">
        <v>-0.37074292931571101</v>
      </c>
      <c r="F932">
        <v>-6.3758389261744999E-2</v>
      </c>
      <c r="G932">
        <v>-0.45251535508009499</v>
      </c>
      <c r="H932">
        <v>-0.51484729572288901</v>
      </c>
      <c r="I932">
        <v>-0.50227751150648703</v>
      </c>
    </row>
    <row r="933" spans="1:9" x14ac:dyDescent="0.25">
      <c r="A933" s="1" t="s">
        <v>945</v>
      </c>
      <c r="B933" t="str">
        <f>HYPERLINK("https://www.suredividend.com/sure-analysis-LXP/","LXP Industrial Trust")</f>
        <v>LXP Industrial Trust</v>
      </c>
      <c r="C933">
        <v>1.4116846670635E-2</v>
      </c>
      <c r="D933">
        <v>0.15053426276562301</v>
      </c>
      <c r="E933">
        <v>-4.9450494704222997E-2</v>
      </c>
      <c r="F933">
        <v>-3.8306451612902997E-2</v>
      </c>
      <c r="G933">
        <v>-0.109567944446</v>
      </c>
      <c r="H933">
        <v>-0.25859147924211501</v>
      </c>
      <c r="I933">
        <v>0.34915359703582111</v>
      </c>
    </row>
    <row r="934" spans="1:9" x14ac:dyDescent="0.25">
      <c r="A934" s="1" t="s">
        <v>946</v>
      </c>
      <c r="B934" t="str">
        <f>HYPERLINK("https://www.suredividend.com/sure-analysis-research-database/","Lexicon Pharmaceuticals Inc")</f>
        <v>Lexicon Pharmaceuticals Inc</v>
      </c>
      <c r="C934">
        <v>7.03125E-2</v>
      </c>
      <c r="D934">
        <v>0.15126050420168</v>
      </c>
      <c r="E934">
        <v>-0.40434782608695602</v>
      </c>
      <c r="F934">
        <v>-0.10457516339869199</v>
      </c>
      <c r="G934">
        <v>-0.41949152542372797</v>
      </c>
      <c r="H934">
        <v>-0.59587020648967504</v>
      </c>
      <c r="I934">
        <v>-0.81830238726790405</v>
      </c>
    </row>
    <row r="935" spans="1:9" x14ac:dyDescent="0.25">
      <c r="A935" s="1" t="s">
        <v>947</v>
      </c>
      <c r="B935" t="str">
        <f>HYPERLINK("https://www.suredividend.com/sure-analysis-research-database/","LSB Industries, Inc.")</f>
        <v>LSB Industries, Inc.</v>
      </c>
      <c r="C935">
        <v>-0.156549520766773</v>
      </c>
      <c r="D935">
        <v>-0.17842323651452199</v>
      </c>
      <c r="E935">
        <v>-0.23106796116504799</v>
      </c>
      <c r="F935">
        <v>-0.14930182599355499</v>
      </c>
      <c r="G935">
        <v>-0.38604651162790699</v>
      </c>
      <c r="H935">
        <v>-0.27138914443422202</v>
      </c>
      <c r="I935">
        <v>0.61632653061224407</v>
      </c>
    </row>
    <row r="936" spans="1:9" x14ac:dyDescent="0.25">
      <c r="A936" s="1" t="s">
        <v>948</v>
      </c>
      <c r="B936" t="str">
        <f>HYPERLINK("https://www.suredividend.com/sure-analysis-research-database/","Lyell Immunopharma Inc")</f>
        <v>Lyell Immunopharma Inc</v>
      </c>
      <c r="C936">
        <v>6.7307692307691999E-2</v>
      </c>
      <c r="D936">
        <v>0.353658536585365</v>
      </c>
      <c r="E936">
        <v>-0.29073482428114999</v>
      </c>
      <c r="F936">
        <v>0.14432989690721601</v>
      </c>
      <c r="G936">
        <v>-0.312693498452012</v>
      </c>
      <c r="H936">
        <v>-0.63725490196078405</v>
      </c>
      <c r="I936">
        <v>-0.86856127886323209</v>
      </c>
    </row>
    <row r="937" spans="1:9" x14ac:dyDescent="0.25">
      <c r="A937" s="1" t="s">
        <v>949</v>
      </c>
      <c r="B937" t="str">
        <f>HYPERLINK("https://www.suredividend.com/sure-analysis-research-database/","LegalZoom.com Inc.")</f>
        <v>LegalZoom.com Inc.</v>
      </c>
      <c r="C937">
        <v>-4.3478260869565001E-2</v>
      </c>
      <c r="D937">
        <v>9.1093117408906008E-2</v>
      </c>
      <c r="E937">
        <v>-0.180851063829787</v>
      </c>
      <c r="F937">
        <v>-4.6017699115043997E-2</v>
      </c>
      <c r="G937">
        <v>0.303506650544135</v>
      </c>
      <c r="H937">
        <v>-0.30181347150259002</v>
      </c>
      <c r="I937">
        <v>-0.71519154557463605</v>
      </c>
    </row>
    <row r="938" spans="1:9" x14ac:dyDescent="0.25">
      <c r="A938" s="1" t="s">
        <v>950</v>
      </c>
      <c r="B938" t="str">
        <f>HYPERLINK("https://www.suredividend.com/sure-analysis-research-database/","La-Z-Boy Inc.")</f>
        <v>La-Z-Boy Inc.</v>
      </c>
      <c r="C938">
        <v>5.8414464534069996E-3</v>
      </c>
      <c r="D938">
        <v>0.233031327043145</v>
      </c>
      <c r="E938">
        <v>0.225102402433942</v>
      </c>
      <c r="F938">
        <v>-2.0585048754061998E-2</v>
      </c>
      <c r="G938">
        <v>0.39054995173837898</v>
      </c>
      <c r="H938">
        <v>3.4650490715040998E-2</v>
      </c>
      <c r="I938">
        <v>0.31290392854549398</v>
      </c>
    </row>
    <row r="939" spans="1:9" x14ac:dyDescent="0.25">
      <c r="A939" s="1" t="s">
        <v>951</v>
      </c>
      <c r="B939" t="str">
        <f>HYPERLINK("https://www.suredividend.com/sure-analysis-MAC/","Macerich Co.")</f>
        <v>Macerich Co.</v>
      </c>
      <c r="C939">
        <v>7.6131687242798007E-2</v>
      </c>
      <c r="D939">
        <v>0.46837243689929098</v>
      </c>
      <c r="E939">
        <v>0.35260952775047799</v>
      </c>
      <c r="F939">
        <v>1.6850291639662E-2</v>
      </c>
      <c r="G939">
        <v>0.32178630700150701</v>
      </c>
      <c r="H939">
        <v>-2.9468527315914001E-2</v>
      </c>
      <c r="I939">
        <v>-0.52984678818534003</v>
      </c>
    </row>
    <row r="940" spans="1:9" x14ac:dyDescent="0.25">
      <c r="A940" s="1" t="s">
        <v>952</v>
      </c>
      <c r="B940" t="str">
        <f>HYPERLINK("https://www.suredividend.com/sure-analysis-research-database/","WM Technology Inc")</f>
        <v>WM Technology Inc</v>
      </c>
      <c r="C940">
        <v>7.5358851674641E-2</v>
      </c>
      <c r="D940">
        <v>-0.26311475409835999</v>
      </c>
      <c r="E940">
        <v>-9.1827457318921002E-2</v>
      </c>
      <c r="F940">
        <v>0.24809107316395901</v>
      </c>
      <c r="G940">
        <v>-0.19009009009009001</v>
      </c>
      <c r="H940">
        <v>-0.83069679849340805</v>
      </c>
      <c r="I940">
        <v>-0.90835881753312908</v>
      </c>
    </row>
    <row r="941" spans="1:9" x14ac:dyDescent="0.25">
      <c r="A941" s="1" t="s">
        <v>953</v>
      </c>
      <c r="B941" t="str">
        <f>HYPERLINK("https://www.suredividend.com/sure-analysis-research-database/","Marathon Digital Holdings Inc")</f>
        <v>Marathon Digital Holdings Inc</v>
      </c>
      <c r="C941">
        <v>0.13245823389021399</v>
      </c>
      <c r="D941">
        <v>1.4617380025940341</v>
      </c>
      <c r="E941">
        <v>-1.6580310880829001E-2</v>
      </c>
      <c r="F941">
        <v>-0.191996594295444</v>
      </c>
      <c r="G941">
        <v>1.471354166666667</v>
      </c>
      <c r="H941">
        <v>-0.32455516014234798</v>
      </c>
      <c r="I941">
        <v>11.16666666666667</v>
      </c>
    </row>
    <row r="942" spans="1:9" x14ac:dyDescent="0.25">
      <c r="A942" s="1" t="s">
        <v>954</v>
      </c>
      <c r="B942" t="str">
        <f>HYPERLINK("https://www.suredividend.com/sure-analysis-research-database/","908 Devices Inc")</f>
        <v>908 Devices Inc</v>
      </c>
      <c r="C942">
        <v>0.119769119769119</v>
      </c>
      <c r="D942">
        <v>0.37833037300177602</v>
      </c>
      <c r="E942">
        <v>-0.03</v>
      </c>
      <c r="F942">
        <v>-0.30837789661318998</v>
      </c>
      <c r="G942">
        <v>-0.121177802944507</v>
      </c>
      <c r="H942">
        <v>-0.55884025014212602</v>
      </c>
      <c r="I942">
        <v>-0.84163265306122403</v>
      </c>
    </row>
    <row r="943" spans="1:9" x14ac:dyDescent="0.25">
      <c r="A943" s="1" t="s">
        <v>955</v>
      </c>
      <c r="B943" t="str">
        <f>HYPERLINK("https://www.suredividend.com/sure-analysis-research-database/","Mativ Holdings Inc")</f>
        <v>Mativ Holdings Inc</v>
      </c>
      <c r="C943">
        <v>6.9230769230760004E-3</v>
      </c>
      <c r="D943">
        <v>-6.7456312742330002E-3</v>
      </c>
      <c r="E943">
        <v>-0.17267619342565099</v>
      </c>
      <c r="F943">
        <v>-0.14500326583931999</v>
      </c>
      <c r="G943">
        <v>-0.45309301179046202</v>
      </c>
      <c r="H943">
        <v>-0.57290055663227601</v>
      </c>
      <c r="I943">
        <v>-0.46035305854901298</v>
      </c>
    </row>
    <row r="944" spans="1:9" x14ac:dyDescent="0.25">
      <c r="A944" s="1" t="s">
        <v>956</v>
      </c>
      <c r="B944" t="str">
        <f>HYPERLINK("https://www.suredividend.com/sure-analysis-MATW/","Matthews International Corp.")</f>
        <v>Matthews International Corp.</v>
      </c>
      <c r="C944">
        <v>-1.4484521442771001E-2</v>
      </c>
      <c r="D944">
        <v>-9.536236342448301E-2</v>
      </c>
      <c r="E944">
        <v>-0.248907994476118</v>
      </c>
      <c r="F944">
        <v>-5.3206002728512003E-2</v>
      </c>
      <c r="G944">
        <v>-2.5445149693870999E-2</v>
      </c>
      <c r="H944">
        <v>1.0839579467429999E-2</v>
      </c>
      <c r="I944">
        <v>-9.8260968992650008E-2</v>
      </c>
    </row>
    <row r="945" spans="1:9" x14ac:dyDescent="0.25">
      <c r="A945" s="1" t="s">
        <v>957</v>
      </c>
      <c r="B945" t="str">
        <f>HYPERLINK("https://www.suredividend.com/sure-analysis-research-database/","Matson Inc")</f>
        <v>Matson Inc</v>
      </c>
      <c r="C945">
        <v>0.15059445178335501</v>
      </c>
      <c r="D945">
        <v>0.28414064192288802</v>
      </c>
      <c r="E945">
        <v>0.43876207757091501</v>
      </c>
      <c r="F945">
        <v>3.3120437956204E-2</v>
      </c>
      <c r="G945">
        <v>0.81283731534211401</v>
      </c>
      <c r="H945">
        <v>0.31804096950451499</v>
      </c>
      <c r="I945">
        <v>2.7291484841997802</v>
      </c>
    </row>
    <row r="946" spans="1:9" x14ac:dyDescent="0.25">
      <c r="A946" s="1" t="s">
        <v>958</v>
      </c>
      <c r="B946" t="str">
        <f>HYPERLINK("https://www.suredividend.com/sure-analysis-research-database/","MediaAlpha Inc")</f>
        <v>MediaAlpha Inc</v>
      </c>
      <c r="C946">
        <v>-1.9102196752620001E-3</v>
      </c>
      <c r="D946">
        <v>0.10816542948038101</v>
      </c>
      <c r="E946">
        <v>4.2914171656686012E-2</v>
      </c>
      <c r="F946">
        <v>-6.2780269058296007E-2</v>
      </c>
      <c r="G946">
        <v>-7.1111111111111E-2</v>
      </c>
      <c r="H946">
        <v>-0.31565160445317603</v>
      </c>
      <c r="I946">
        <v>-0.67200251098556107</v>
      </c>
    </row>
    <row r="947" spans="1:9" x14ac:dyDescent="0.25">
      <c r="A947" s="1" t="s">
        <v>959</v>
      </c>
      <c r="B947" t="str">
        <f>HYPERLINK("https://www.suredividend.com/sure-analysis-research-database/","MBIA Inc.")</f>
        <v>MBIA Inc.</v>
      </c>
      <c r="C947">
        <v>-9.1713555841250002E-2</v>
      </c>
      <c r="D947">
        <v>1.0113880056200539</v>
      </c>
      <c r="E947">
        <v>0.45856235085931801</v>
      </c>
      <c r="F947">
        <v>-0.11111111111111099</v>
      </c>
      <c r="G947">
        <v>-6.0935611945451003E-2</v>
      </c>
      <c r="H947">
        <v>-0.234460533907487</v>
      </c>
      <c r="I947">
        <v>0.33091941087243698</v>
      </c>
    </row>
    <row r="948" spans="1:9" x14ac:dyDescent="0.25">
      <c r="A948" s="1" t="s">
        <v>960</v>
      </c>
      <c r="B948" t="str">
        <f>HYPERLINK("https://www.suredividend.com/sure-analysis-research-database/","Merchants Bancorp")</f>
        <v>Merchants Bancorp</v>
      </c>
      <c r="C948">
        <v>6.0443890031082997E-2</v>
      </c>
      <c r="D948">
        <v>0.53533138854307905</v>
      </c>
      <c r="E948">
        <v>0.51232297054420206</v>
      </c>
      <c r="F948">
        <v>-2.9708783466415999E-2</v>
      </c>
      <c r="G948">
        <v>0.65954353013006406</v>
      </c>
      <c r="H948">
        <v>0.30360016407408502</v>
      </c>
      <c r="I948">
        <v>2.1883778360858162</v>
      </c>
    </row>
    <row r="949" spans="1:9" x14ac:dyDescent="0.25">
      <c r="A949" s="1" t="s">
        <v>961</v>
      </c>
      <c r="B949" t="str">
        <f>HYPERLINK("https://www.suredividend.com/sure-analysis-research-database/","Malibu Boats Inc")</f>
        <v>Malibu Boats Inc</v>
      </c>
      <c r="C949">
        <v>6.537580678742401E-2</v>
      </c>
      <c r="D949">
        <v>4.6207319566549998E-2</v>
      </c>
      <c r="E949">
        <v>-0.11516513920110601</v>
      </c>
      <c r="F949">
        <v>-6.6581539584093005E-2</v>
      </c>
      <c r="G949">
        <v>-0.12931767908797001</v>
      </c>
      <c r="H949">
        <v>-0.22516656571774599</v>
      </c>
      <c r="I949">
        <v>0.31610082304526699</v>
      </c>
    </row>
    <row r="950" spans="1:9" x14ac:dyDescent="0.25">
      <c r="A950" s="1" t="s">
        <v>962</v>
      </c>
      <c r="B950" t="str">
        <f>HYPERLINK("https://www.suredividend.com/sure-analysis-research-database/","Mercantile Bank Corp.")</f>
        <v>Mercantile Bank Corp.</v>
      </c>
      <c r="C950">
        <v>-4.9949799196787013E-2</v>
      </c>
      <c r="D950">
        <v>0.262672595834681</v>
      </c>
      <c r="E950">
        <v>0.340487321150304</v>
      </c>
      <c r="F950">
        <v>-6.2654779593857998E-2</v>
      </c>
      <c r="G950">
        <v>0.16238360808785601</v>
      </c>
      <c r="H950">
        <v>0.12390245061213299</v>
      </c>
      <c r="I950">
        <v>0.52749696316653905</v>
      </c>
    </row>
    <row r="951" spans="1:9" x14ac:dyDescent="0.25">
      <c r="A951" s="1" t="s">
        <v>963</v>
      </c>
      <c r="B951" t="str">
        <f>HYPERLINK("https://www.suredividend.com/sure-analysis-research-database/","Moelis &amp; Co")</f>
        <v>Moelis &amp; Co</v>
      </c>
      <c r="C951">
        <v>-2.5462538926542998E-2</v>
      </c>
      <c r="D951">
        <v>0.23768710711577001</v>
      </c>
      <c r="E951">
        <v>0.12709715280852699</v>
      </c>
      <c r="F951">
        <v>-5.2200249420987013E-2</v>
      </c>
      <c r="G951">
        <v>0.24795916452417999</v>
      </c>
      <c r="H951">
        <v>-3.7863608615370001E-3</v>
      </c>
      <c r="I951">
        <v>1.041333159385144</v>
      </c>
    </row>
    <row r="952" spans="1:9" x14ac:dyDescent="0.25">
      <c r="A952" s="1" t="s">
        <v>964</v>
      </c>
      <c r="B952" t="str">
        <f>HYPERLINK("https://www.suredividend.com/sure-analysis-research-database/","Metropolitan Bank Holding Corp")</f>
        <v>Metropolitan Bank Holding Corp</v>
      </c>
      <c r="C952">
        <v>9.726443768997001E-3</v>
      </c>
      <c r="D952">
        <v>0.64672835426305308</v>
      </c>
      <c r="E952">
        <v>0.204787234042553</v>
      </c>
      <c r="F952">
        <v>-0.100216684723727</v>
      </c>
      <c r="G952">
        <v>-0.15969645868465401</v>
      </c>
      <c r="H952">
        <v>-0.556001069232825</v>
      </c>
      <c r="I952">
        <v>0.52245646196150308</v>
      </c>
    </row>
    <row r="953" spans="1:9" x14ac:dyDescent="0.25">
      <c r="A953" s="1" t="s">
        <v>965</v>
      </c>
      <c r="B953" t="str">
        <f>HYPERLINK("https://www.suredividend.com/sure-analysis-research-database/","Macatawa Bank Corp.")</f>
        <v>Macatawa Bank Corp.</v>
      </c>
      <c r="C953">
        <v>-1.858736059479E-3</v>
      </c>
      <c r="D953">
        <v>0.23567582493441899</v>
      </c>
      <c r="E953">
        <v>0.17829049139321301</v>
      </c>
      <c r="F953">
        <v>-4.7872340425531013E-2</v>
      </c>
      <c r="G953">
        <v>1.6564126833885001E-2</v>
      </c>
      <c r="H953">
        <v>0.23858289510102401</v>
      </c>
      <c r="I953">
        <v>0.32740081572117102</v>
      </c>
    </row>
    <row r="954" spans="1:9" x14ac:dyDescent="0.25">
      <c r="A954" s="1" t="s">
        <v>966</v>
      </c>
      <c r="B954" t="str">
        <f>HYPERLINK("https://www.suredividend.com/sure-analysis-research-database/","MetroCity Bankshares Inc")</f>
        <v>MetroCity Bankshares Inc</v>
      </c>
      <c r="C954">
        <v>-1.2679628064243E-2</v>
      </c>
      <c r="D954">
        <v>0.19076140424208701</v>
      </c>
      <c r="E954">
        <v>0.29096435479414201</v>
      </c>
      <c r="F954">
        <v>-2.7477102414653998E-2</v>
      </c>
      <c r="G954">
        <v>0.17608558842038999</v>
      </c>
      <c r="H954">
        <v>-8.0304098079898009E-2</v>
      </c>
      <c r="I954">
        <v>1.0236496729761331</v>
      </c>
    </row>
    <row r="955" spans="1:9" x14ac:dyDescent="0.25">
      <c r="A955" s="1" t="s">
        <v>967</v>
      </c>
      <c r="B955" t="str">
        <f>HYPERLINK("https://www.suredividend.com/sure-analysis-research-database/","MasterCraft Boat Holdings Inc")</f>
        <v>MasterCraft Boat Holdings Inc</v>
      </c>
      <c r="C955">
        <v>-5.1764705882349996E-3</v>
      </c>
      <c r="D955">
        <v>-5.2442850739578002E-2</v>
      </c>
      <c r="E955">
        <v>-0.28941176470588198</v>
      </c>
      <c r="F955">
        <v>-6.6254416961130005E-2</v>
      </c>
      <c r="G955">
        <v>-0.26367119470567701</v>
      </c>
      <c r="H955">
        <v>-0.21295606850335</v>
      </c>
      <c r="I955">
        <v>2.7710257656781E-2</v>
      </c>
    </row>
    <row r="956" spans="1:9" x14ac:dyDescent="0.25">
      <c r="A956" s="1" t="s">
        <v>968</v>
      </c>
      <c r="B956" t="str">
        <f>HYPERLINK("https://www.suredividend.com/sure-analysis-research-database/","Seres Therapeutics Inc")</f>
        <v>Seres Therapeutics Inc</v>
      </c>
      <c r="C956">
        <v>0.14285714285714199</v>
      </c>
      <c r="D956">
        <v>-0.2</v>
      </c>
      <c r="E956">
        <v>-0.73969631236442501</v>
      </c>
      <c r="F956">
        <v>-0.14285714285714199</v>
      </c>
      <c r="G956">
        <v>-0.78102189781021902</v>
      </c>
      <c r="H956">
        <v>-0.84575835475578409</v>
      </c>
      <c r="I956">
        <v>-0.81191222570532906</v>
      </c>
    </row>
    <row r="957" spans="1:9" x14ac:dyDescent="0.25">
      <c r="A957" s="1" t="s">
        <v>969</v>
      </c>
      <c r="B957" t="str">
        <f>HYPERLINK("https://www.suredividend.com/sure-analysis-research-database/","Monarch Casino &amp; Resort, Inc.")</f>
        <v>Monarch Casino &amp; Resort, Inc.</v>
      </c>
      <c r="C957">
        <v>-1.3255883229073E-2</v>
      </c>
      <c r="D957">
        <v>8.8885966930738011E-2</v>
      </c>
      <c r="E957">
        <v>-4.7628631230305002E-2</v>
      </c>
      <c r="F957">
        <v>-4.1937816341287001E-2</v>
      </c>
      <c r="G957">
        <v>-9.9351397058923013E-2</v>
      </c>
      <c r="H957">
        <v>5.0670049956387013E-2</v>
      </c>
      <c r="I957">
        <v>0.69251639505504103</v>
      </c>
    </row>
    <row r="958" spans="1:9" x14ac:dyDescent="0.25">
      <c r="A958" s="1" t="s">
        <v>970</v>
      </c>
      <c r="B958" t="str">
        <f>HYPERLINK("https://www.suredividend.com/sure-analysis-research-database/","Marcus Corp.")</f>
        <v>Marcus Corp.</v>
      </c>
      <c r="C958">
        <v>-5.9385665529010007E-2</v>
      </c>
      <c r="D958">
        <v>-0.110106554730384</v>
      </c>
      <c r="E958">
        <v>-9.5652173913043009E-2</v>
      </c>
      <c r="F958">
        <v>-5.4869684499314002E-2</v>
      </c>
      <c r="G958">
        <v>-9.503451083922701E-2</v>
      </c>
      <c r="H958">
        <v>-0.19506054569988199</v>
      </c>
      <c r="I958">
        <v>-0.66134434988191204</v>
      </c>
    </row>
    <row r="959" spans="1:9" x14ac:dyDescent="0.25">
      <c r="A959" s="1" t="s">
        <v>971</v>
      </c>
      <c r="B959" t="str">
        <f>HYPERLINK("https://www.suredividend.com/sure-analysis-MCY/","Mercury General Corp.")</f>
        <v>Mercury General Corp.</v>
      </c>
      <c r="C959">
        <v>-1.1421319796954E-2</v>
      </c>
      <c r="D959">
        <v>0.32067474781724098</v>
      </c>
      <c r="E959">
        <v>0.35895637732583902</v>
      </c>
      <c r="F959">
        <v>4.3956043956044001E-2</v>
      </c>
      <c r="G959">
        <v>0.13250118483756801</v>
      </c>
      <c r="H959">
        <v>-0.23337788073761001</v>
      </c>
      <c r="I959">
        <v>-4.5111436353428007E-2</v>
      </c>
    </row>
    <row r="960" spans="1:9" x14ac:dyDescent="0.25">
      <c r="A960" s="1" t="s">
        <v>972</v>
      </c>
      <c r="B960" t="str">
        <f>HYPERLINK("https://www.suredividend.com/sure-analysis-research-database/","Pediatrix Medical Group Inc")</f>
        <v>Pediatrix Medical Group Inc</v>
      </c>
      <c r="C960">
        <v>8.3857442348000012E-3</v>
      </c>
      <c r="D960">
        <v>-0.18266779949022899</v>
      </c>
      <c r="E960">
        <v>-0.29934450109249799</v>
      </c>
      <c r="F960">
        <v>3.4408602150537003E-2</v>
      </c>
      <c r="G960">
        <v>-0.40617283950617211</v>
      </c>
      <c r="H960">
        <v>-0.64383561643835607</v>
      </c>
      <c r="I960">
        <v>-0.72340425531914909</v>
      </c>
    </row>
    <row r="961" spans="1:9" x14ac:dyDescent="0.25">
      <c r="A961" s="1" t="s">
        <v>973</v>
      </c>
      <c r="B961" t="str">
        <f>HYPERLINK("https://www.suredividend.com/sure-analysis-MDC/","M.D.C. Holdings, Inc.")</f>
        <v>M.D.C. Holdings, Inc.</v>
      </c>
      <c r="C961">
        <v>6.3905325443786007E-2</v>
      </c>
      <c r="D961">
        <v>0.41647671768153599</v>
      </c>
      <c r="E961">
        <v>0.16602572001115401</v>
      </c>
      <c r="F961">
        <v>-2.3710407239819001E-2</v>
      </c>
      <c r="G961">
        <v>0.5930160098994981</v>
      </c>
      <c r="H961">
        <v>8.0918600456895001E-2</v>
      </c>
      <c r="I961">
        <v>1.5013216104170719</v>
      </c>
    </row>
    <row r="962" spans="1:9" x14ac:dyDescent="0.25">
      <c r="A962" s="1" t="s">
        <v>974</v>
      </c>
      <c r="B962" t="str">
        <f>HYPERLINK("https://www.suredividend.com/sure-analysis-research-database/","Madrigal Pharmaceuticals Inc")</f>
        <v>Madrigal Pharmaceuticals Inc</v>
      </c>
      <c r="C962">
        <v>3.7258610830070003E-2</v>
      </c>
      <c r="D962">
        <v>0.67984612096601804</v>
      </c>
      <c r="E962">
        <v>5.0100200400801001E-2</v>
      </c>
      <c r="F962">
        <v>1.9102774656409E-2</v>
      </c>
      <c r="G962">
        <v>-0.213947596506433</v>
      </c>
      <c r="H962">
        <v>2.0683148991541969</v>
      </c>
      <c r="I962">
        <v>1.0504347826086951</v>
      </c>
    </row>
    <row r="963" spans="1:9" x14ac:dyDescent="0.25">
      <c r="A963" s="1" t="s">
        <v>975</v>
      </c>
      <c r="B963" t="str">
        <f>HYPERLINK("https://www.suredividend.com/sure-analysis-research-database/","Veradigm Inc")</f>
        <v>Veradigm Inc</v>
      </c>
      <c r="C963">
        <v>-6.9999999999999007E-2</v>
      </c>
      <c r="D963">
        <v>-0.31162102146558102</v>
      </c>
      <c r="E963">
        <v>-0.28516525749423499</v>
      </c>
      <c r="F963">
        <v>-0.113441372735938</v>
      </c>
      <c r="G963">
        <v>-0.51612903225806406</v>
      </c>
      <c r="H963">
        <v>-0.47398190045248811</v>
      </c>
      <c r="I963">
        <v>-0.184925503943908</v>
      </c>
    </row>
    <row r="964" spans="1:9" x14ac:dyDescent="0.25">
      <c r="A964" s="1" t="s">
        <v>976</v>
      </c>
      <c r="B964" t="str">
        <f>HYPERLINK("https://www.suredividend.com/sure-analysis-research-database/","Mimedx Group Inc")</f>
        <v>Mimedx Group Inc</v>
      </c>
      <c r="C964">
        <v>-3.2490974729242013E-2</v>
      </c>
      <c r="D964">
        <v>0.26813880126182899</v>
      </c>
      <c r="E964">
        <v>0.26614173228346399</v>
      </c>
      <c r="F964">
        <v>-8.3238312428734001E-2</v>
      </c>
      <c r="G964">
        <v>1.371681415929203</v>
      </c>
      <c r="H964">
        <v>0.59523809523809501</v>
      </c>
      <c r="I964">
        <v>1.1967213114754089</v>
      </c>
    </row>
    <row r="965" spans="1:9" x14ac:dyDescent="0.25">
      <c r="A965" s="1" t="s">
        <v>977</v>
      </c>
      <c r="B965" t="str">
        <f>HYPERLINK("https://www.suredividend.com/sure-analysis-research-database/","23andMe Holding Co")</f>
        <v>23andMe Holding Co</v>
      </c>
      <c r="C965">
        <v>-0.19009493308932801</v>
      </c>
      <c r="D965">
        <v>-0.16418791312559</v>
      </c>
      <c r="E965">
        <v>-0.61306010928961707</v>
      </c>
      <c r="F965">
        <v>-0.22484948002189301</v>
      </c>
      <c r="G965">
        <v>-0.70739669421487605</v>
      </c>
      <c r="H965">
        <v>-0.86911275415896405</v>
      </c>
      <c r="I965">
        <v>-0.92774489795918302</v>
      </c>
    </row>
    <row r="966" spans="1:9" x14ac:dyDescent="0.25">
      <c r="A966" s="1" t="s">
        <v>978</v>
      </c>
      <c r="B966" t="str">
        <f>HYPERLINK("https://www.suredividend.com/sure-analysis-MED/","Medifast Inc")</f>
        <v>Medifast Inc</v>
      </c>
      <c r="C966">
        <v>-0.11025454545454499</v>
      </c>
      <c r="D966">
        <v>-0.15720584182970501</v>
      </c>
      <c r="E966">
        <v>-0.325933329439754</v>
      </c>
      <c r="F966">
        <v>-9.0002975304968008E-2</v>
      </c>
      <c r="G966">
        <v>-0.48789602874546611</v>
      </c>
      <c r="H966">
        <v>-0.66576802322849404</v>
      </c>
      <c r="I966">
        <v>-0.33478765839165803</v>
      </c>
    </row>
    <row r="967" spans="1:9" x14ac:dyDescent="0.25">
      <c r="A967" s="1" t="s">
        <v>979</v>
      </c>
      <c r="B967" t="str">
        <f>HYPERLINK("https://www.suredividend.com/sure-analysis-research-database/","Medpace Holdings Inc")</f>
        <v>Medpace Holdings Inc</v>
      </c>
      <c r="C967">
        <v>-3.4969036079698E-2</v>
      </c>
      <c r="D967">
        <v>0.199205353408615</v>
      </c>
      <c r="E967">
        <v>0.19262124615256601</v>
      </c>
      <c r="F967">
        <v>-6.4594003849541004E-2</v>
      </c>
      <c r="G967">
        <v>0.25450647532376602</v>
      </c>
      <c r="H967">
        <v>0.59047037940980707</v>
      </c>
      <c r="I967">
        <v>3.767708679747257</v>
      </c>
    </row>
    <row r="968" spans="1:9" x14ac:dyDescent="0.25">
      <c r="A968" s="1" t="s">
        <v>980</v>
      </c>
      <c r="B968" t="str">
        <f>HYPERLINK("https://www.suredividend.com/sure-analysis-research-database/","Montrose Environmental Group Inc")</f>
        <v>Montrose Environmental Group Inc</v>
      </c>
      <c r="C968">
        <v>-0.126756166094286</v>
      </c>
      <c r="D968">
        <v>0.120144173007609</v>
      </c>
      <c r="E968">
        <v>-0.37872056863616099</v>
      </c>
      <c r="F968">
        <v>-0.12947401182695301</v>
      </c>
      <c r="G968">
        <v>-0.46662852784134201</v>
      </c>
      <c r="H968">
        <v>-0.52967882966201407</v>
      </c>
      <c r="I968">
        <v>0.27136363636363597</v>
      </c>
    </row>
    <row r="969" spans="1:9" x14ac:dyDescent="0.25">
      <c r="A969" s="1" t="s">
        <v>981</v>
      </c>
      <c r="B969" t="str">
        <f>HYPERLINK("https://www.suredividend.com/sure-analysis-research-database/","Methode Electronics, Inc.")</f>
        <v>Methode Electronics, Inc.</v>
      </c>
      <c r="C969">
        <v>-5.6308318672107012E-2</v>
      </c>
      <c r="D969">
        <v>-0.17052258291738001</v>
      </c>
      <c r="E969">
        <v>-0.38624763365363801</v>
      </c>
      <c r="F969">
        <v>-9.2427148343203008E-2</v>
      </c>
      <c r="G969">
        <v>-0.55503823109781103</v>
      </c>
      <c r="H969">
        <v>-0.56113577803622705</v>
      </c>
      <c r="I969">
        <v>-0.13474572334666299</v>
      </c>
    </row>
    <row r="970" spans="1:9" x14ac:dyDescent="0.25">
      <c r="A970" s="1" t="s">
        <v>982</v>
      </c>
      <c r="B970" t="str">
        <f>HYPERLINK("https://www.suredividend.com/sure-analysis-research-database/","Ramaco Resources Inc")</f>
        <v>Ramaco Resources Inc</v>
      </c>
      <c r="C970">
        <v>0.33119795003203001</v>
      </c>
      <c r="D970">
        <v>1.1267667618492021</v>
      </c>
      <c r="E970">
        <v>1.4798911616583521</v>
      </c>
      <c r="F970">
        <v>0.20954598370197899</v>
      </c>
      <c r="G970">
        <v>1.6947117254973161</v>
      </c>
      <c r="H970">
        <v>1.6947117254973161</v>
      </c>
      <c r="I970">
        <v>1.6947117254973161</v>
      </c>
    </row>
    <row r="971" spans="1:9" x14ac:dyDescent="0.25">
      <c r="A971" s="1" t="s">
        <v>983</v>
      </c>
      <c r="B971" t="str">
        <f>HYPERLINK("https://www.suredividend.com/sure-analysis-research-database/","MFA Financial Inc")</f>
        <v>MFA Financial Inc</v>
      </c>
      <c r="C971">
        <v>3.6929397307212002E-2</v>
      </c>
      <c r="D971">
        <v>0.299270565227653</v>
      </c>
      <c r="E971">
        <v>7.1044731868213001E-2</v>
      </c>
      <c r="F971">
        <v>2.5732031943212001E-2</v>
      </c>
      <c r="G971">
        <v>0.18181074670810499</v>
      </c>
      <c r="H971">
        <v>-0.17997900292256599</v>
      </c>
      <c r="I971">
        <v>-0.23192941192104</v>
      </c>
    </row>
    <row r="972" spans="1:9" x14ac:dyDescent="0.25">
      <c r="A972" s="1" t="s">
        <v>984</v>
      </c>
      <c r="B972" t="str">
        <f>HYPERLINK("https://www.suredividend.com/sure-analysis-MGEE/","MGE Energy, Inc.")</f>
        <v>MGE Energy, Inc.</v>
      </c>
      <c r="C972">
        <v>-4.5472837022132007E-2</v>
      </c>
      <c r="D972">
        <v>6.9592829589540002E-3</v>
      </c>
      <c r="E972">
        <v>-6.558623433616001E-2</v>
      </c>
      <c r="F972">
        <v>-1.5903747752730998E-2</v>
      </c>
      <c r="G972">
        <v>2.7125880656516999E-2</v>
      </c>
      <c r="H972">
        <v>-3.5284771300398997E-2</v>
      </c>
      <c r="I972">
        <v>0.35106655654600799</v>
      </c>
    </row>
    <row r="973" spans="1:9" x14ac:dyDescent="0.25">
      <c r="A973" s="1" t="s">
        <v>985</v>
      </c>
      <c r="B973" t="str">
        <f>HYPERLINK("https://www.suredividend.com/sure-analysis-research-database/","Magnite Inc")</f>
        <v>Magnite Inc</v>
      </c>
      <c r="C973">
        <v>2.5784753363228E-2</v>
      </c>
      <c r="D973">
        <v>0.30714285714285711</v>
      </c>
      <c r="E973">
        <v>-0.40891472868216999</v>
      </c>
      <c r="F973">
        <v>-2.03426124197E-2</v>
      </c>
      <c r="G973">
        <v>-7.7620967741935012E-2</v>
      </c>
      <c r="H973">
        <v>-0.39564068692206</v>
      </c>
      <c r="I973">
        <v>1.2704714640198509</v>
      </c>
    </row>
    <row r="974" spans="1:9" x14ac:dyDescent="0.25">
      <c r="A974" s="1" t="s">
        <v>986</v>
      </c>
      <c r="B974" t="str">
        <f>HYPERLINK("https://www.suredividend.com/sure-analysis-research-database/","Macrogenics Inc")</f>
        <v>Macrogenics Inc</v>
      </c>
      <c r="C974">
        <v>0.166848418756815</v>
      </c>
      <c r="D974">
        <v>1.1104536489151871</v>
      </c>
      <c r="E974">
        <v>1.127236580516898</v>
      </c>
      <c r="F974">
        <v>0.11226611226611199</v>
      </c>
      <c r="G974">
        <v>1.0226843100189029</v>
      </c>
      <c r="H974">
        <v>-0.237348538845331</v>
      </c>
      <c r="I974">
        <v>-0.251748251748251</v>
      </c>
    </row>
    <row r="975" spans="1:9" x14ac:dyDescent="0.25">
      <c r="A975" s="1" t="s">
        <v>987</v>
      </c>
      <c r="B975" t="str">
        <f>HYPERLINK("https://www.suredividend.com/sure-analysis-research-database/","MGP Ingredients, Inc.")</f>
        <v>MGP Ingredients, Inc.</v>
      </c>
      <c r="C975">
        <v>-5.8441558441558003E-2</v>
      </c>
      <c r="D975">
        <v>-6.9467533737531006E-2</v>
      </c>
      <c r="E975">
        <v>-0.17699440338175501</v>
      </c>
      <c r="F975">
        <v>-7.2777101096224012E-2</v>
      </c>
      <c r="G975">
        <v>-0.12110897094223599</v>
      </c>
      <c r="H975">
        <v>9.6433321010710005E-2</v>
      </c>
      <c r="I975">
        <v>0.44489927620590097</v>
      </c>
    </row>
    <row r="976" spans="1:9" x14ac:dyDescent="0.25">
      <c r="A976" s="1" t="s">
        <v>988</v>
      </c>
      <c r="B976" t="str">
        <f>HYPERLINK("https://www.suredividend.com/sure-analysis-MGRC/","McGrath Rentcorp")</f>
        <v>McGrath Rentcorp</v>
      </c>
      <c r="C976">
        <v>-2.8637086795120999E-2</v>
      </c>
      <c r="D976">
        <v>7.8332675933066004E-2</v>
      </c>
      <c r="E976">
        <v>0.20916190446850799</v>
      </c>
      <c r="F976">
        <v>-8.125731483029501E-2</v>
      </c>
      <c r="G976">
        <v>0.117736618943347</v>
      </c>
      <c r="H976">
        <v>0.46566946019620498</v>
      </c>
      <c r="I976">
        <v>1.4215635941380089</v>
      </c>
    </row>
    <row r="977" spans="1:9" x14ac:dyDescent="0.25">
      <c r="A977" s="1" t="s">
        <v>989</v>
      </c>
      <c r="B977" t="str">
        <f>HYPERLINK("https://www.suredividend.com/sure-analysis-research-database/","MeiraGTx Holdings plc")</f>
        <v>MeiraGTx Holdings plc</v>
      </c>
      <c r="C977">
        <v>0.33333333333333298</v>
      </c>
      <c r="D977">
        <v>0.47222222222222199</v>
      </c>
      <c r="E977">
        <v>-3.9274924471299003E-2</v>
      </c>
      <c r="F977">
        <v>-9.4017094017093003E-2</v>
      </c>
      <c r="G977">
        <v>-9.012875536480601E-2</v>
      </c>
      <c r="H977">
        <v>-0.66367001586462104</v>
      </c>
      <c r="I977">
        <v>-0.39829706717123903</v>
      </c>
    </row>
    <row r="978" spans="1:9" x14ac:dyDescent="0.25">
      <c r="A978" s="1" t="s">
        <v>990</v>
      </c>
      <c r="B978" t="str">
        <f>HYPERLINK("https://www.suredividend.com/sure-analysis-research-database/","Magnolia Oil &amp; Gas Corp")</f>
        <v>Magnolia Oil &amp; Gas Corp</v>
      </c>
      <c r="C978">
        <v>-2.9033793431699002E-2</v>
      </c>
      <c r="D978">
        <v>-0.127634735532206</v>
      </c>
      <c r="E978">
        <v>-5.0990644814640003E-2</v>
      </c>
      <c r="F978">
        <v>-4.1803663691874E-2</v>
      </c>
      <c r="G978">
        <v>-0.124399634308082</v>
      </c>
      <c r="H978">
        <v>7.4322822785740008E-3</v>
      </c>
      <c r="I978">
        <v>0.75452176381040803</v>
      </c>
    </row>
    <row r="979" spans="1:9" x14ac:dyDescent="0.25">
      <c r="A979" s="1" t="s">
        <v>991</v>
      </c>
      <c r="B979" t="str">
        <f>HYPERLINK("https://www.suredividend.com/sure-analysis-research-database/","MI Homes Inc.")</f>
        <v>MI Homes Inc.</v>
      </c>
      <c r="C979">
        <v>0.13159728270336199</v>
      </c>
      <c r="D979">
        <v>0.62068105276287899</v>
      </c>
      <c r="E979">
        <v>0.43680194625677299</v>
      </c>
      <c r="F979">
        <v>-5.6701030927835003E-2</v>
      </c>
      <c r="G979">
        <v>1.4065567697721799</v>
      </c>
      <c r="H979">
        <v>1.1881104749073761</v>
      </c>
      <c r="I979">
        <v>4.1971999999999996</v>
      </c>
    </row>
    <row r="980" spans="1:9" x14ac:dyDescent="0.25">
      <c r="A980" s="1" t="s">
        <v>992</v>
      </c>
      <c r="B980" t="str">
        <f>HYPERLINK("https://www.suredividend.com/sure-analysis-research-database/","Mirion Technologies Inc.")</f>
        <v>Mirion Technologies Inc.</v>
      </c>
      <c r="C980">
        <v>-3.0938123752493999E-2</v>
      </c>
      <c r="D980">
        <v>0.36568213783403603</v>
      </c>
      <c r="E980">
        <v>0.160095579450418</v>
      </c>
      <c r="F980">
        <v>-5.2682926829268013E-2</v>
      </c>
      <c r="G980">
        <v>0.30862533692722299</v>
      </c>
      <c r="H980">
        <v>5.8887677208287997E-2</v>
      </c>
      <c r="I980">
        <v>-2.4120603015075001E-2</v>
      </c>
    </row>
    <row r="981" spans="1:9" x14ac:dyDescent="0.25">
      <c r="A981" s="1" t="s">
        <v>993</v>
      </c>
      <c r="B981" t="str">
        <f>HYPERLINK("https://www.suredividend.com/sure-analysis-research-database/","Mirum Pharmaceuticals Inc")</f>
        <v>Mirum Pharmaceuticals Inc</v>
      </c>
      <c r="C981">
        <v>-0.19545990566037699</v>
      </c>
      <c r="D981">
        <v>-2.9516358463726002E-2</v>
      </c>
      <c r="E981">
        <v>4.8405685747214003E-2</v>
      </c>
      <c r="F981">
        <v>-7.5542005420054001E-2</v>
      </c>
      <c r="G981">
        <v>0.240454545454545</v>
      </c>
      <c r="H981">
        <v>0.51948775055679208</v>
      </c>
      <c r="I981">
        <v>1.065859197577592</v>
      </c>
    </row>
    <row r="982" spans="1:9" x14ac:dyDescent="0.25">
      <c r="A982" s="1" t="s">
        <v>994</v>
      </c>
      <c r="B982" t="str">
        <f>HYPERLINK("https://www.suredividend.com/sure-analysis-research-database/","Mitek Systems Inc")</f>
        <v>Mitek Systems Inc</v>
      </c>
      <c r="C982">
        <v>8.2850041425000011E-4</v>
      </c>
      <c r="D982">
        <v>0.15487571701720801</v>
      </c>
      <c r="E982">
        <v>0.110294117647058</v>
      </c>
      <c r="F982">
        <v>-7.361963190184001E-2</v>
      </c>
      <c r="G982">
        <v>0.20799999999999999</v>
      </c>
      <c r="H982">
        <v>-0.26475958612294498</v>
      </c>
      <c r="I982">
        <v>0.109274563820018</v>
      </c>
    </row>
    <row r="983" spans="1:9" x14ac:dyDescent="0.25">
      <c r="A983" s="1" t="s">
        <v>995</v>
      </c>
      <c r="B983" t="str">
        <f>HYPERLINK("https://www.suredividend.com/sure-analysis-research-database/","Markforged Holding Corporation")</f>
        <v>Markforged Holding Corporation</v>
      </c>
      <c r="C983">
        <v>6.4558823529411002E-2</v>
      </c>
      <c r="D983">
        <v>-0.41146341463414599</v>
      </c>
      <c r="E983">
        <v>-0.44315384615384601</v>
      </c>
      <c r="F983">
        <v>-0.11719512195121901</v>
      </c>
      <c r="G983">
        <v>-0.47543478260869498</v>
      </c>
      <c r="H983">
        <v>-0.85998065764023202</v>
      </c>
      <c r="I983">
        <v>-0.9301928640308581</v>
      </c>
    </row>
    <row r="984" spans="1:9" x14ac:dyDescent="0.25">
      <c r="A984" s="1" t="s">
        <v>996</v>
      </c>
      <c r="B984" t="str">
        <f>HYPERLINK("https://www.suredividend.com/sure-analysis-research-database/","Marketwise Inc")</f>
        <v>Marketwise Inc</v>
      </c>
      <c r="C984">
        <v>-0.14782731178251901</v>
      </c>
      <c r="D984">
        <v>0.91243875454401702</v>
      </c>
      <c r="E984">
        <v>0.55207798871216007</v>
      </c>
      <c r="F984">
        <v>-0.113553113553113</v>
      </c>
      <c r="G984">
        <v>0.40184209001911603</v>
      </c>
      <c r="H984">
        <v>-0.54405863179908409</v>
      </c>
      <c r="I984">
        <v>-0.75478771912047804</v>
      </c>
    </row>
    <row r="985" spans="1:9" x14ac:dyDescent="0.25">
      <c r="A985" s="1" t="s">
        <v>997</v>
      </c>
      <c r="B985" t="str">
        <f>HYPERLINK("https://www.suredividend.com/sure-analysis-research-database/","MoneyLion Inc")</f>
        <v>MoneyLion Inc</v>
      </c>
      <c r="C985">
        <v>0.15669401640984501</v>
      </c>
      <c r="D985">
        <v>1.879920279023418</v>
      </c>
      <c r="E985">
        <v>3.8368200836820079</v>
      </c>
      <c r="F985">
        <v>-7.8002871271335011E-2</v>
      </c>
      <c r="G985">
        <v>1.3176550783912739</v>
      </c>
      <c r="H985">
        <v>-0.35991140642303399</v>
      </c>
      <c r="I985">
        <v>-0.80340136054421707</v>
      </c>
    </row>
    <row r="986" spans="1:9" x14ac:dyDescent="0.25">
      <c r="A986" s="1" t="s">
        <v>998</v>
      </c>
      <c r="B986" t="str">
        <f>HYPERLINK("https://www.suredividend.com/sure-analysis-research-database/","Mesa Laboratories, Inc.")</f>
        <v>Mesa Laboratories, Inc.</v>
      </c>
      <c r="C986">
        <v>-0.114923445858697</v>
      </c>
      <c r="D986">
        <v>-5.0638859896021002E-2</v>
      </c>
      <c r="E986">
        <v>-0.20717671961518799</v>
      </c>
      <c r="F986">
        <v>-8.4088956762432013E-2</v>
      </c>
      <c r="G986">
        <v>-0.49165678250951811</v>
      </c>
      <c r="H986">
        <v>-0.66952634060345506</v>
      </c>
      <c r="I986">
        <v>-0.54150971162317807</v>
      </c>
    </row>
    <row r="987" spans="1:9" x14ac:dyDescent="0.25">
      <c r="A987" s="1" t="s">
        <v>999</v>
      </c>
      <c r="B987" t="str">
        <f>HYPERLINK("https://www.suredividend.com/sure-analysis-MLI/","Mueller Industries, Inc.")</f>
        <v>Mueller Industries, Inc.</v>
      </c>
      <c r="C987">
        <v>3.7070938215102003E-2</v>
      </c>
      <c r="D987">
        <v>0.25360286348120897</v>
      </c>
      <c r="E987">
        <v>3.8277906582480002E-2</v>
      </c>
      <c r="F987">
        <v>-3.8812301166488997E-2</v>
      </c>
      <c r="G987">
        <v>0.36931253380225898</v>
      </c>
      <c r="H987">
        <v>0.61579572234839408</v>
      </c>
      <c r="I987">
        <v>2.9001049895870978</v>
      </c>
    </row>
    <row r="988" spans="1:9" x14ac:dyDescent="0.25">
      <c r="A988" s="1" t="s">
        <v>1000</v>
      </c>
      <c r="B988" t="str">
        <f>HYPERLINK("https://www.suredividend.com/sure-analysis-research-database/","MillerKnoll Inc")</f>
        <v>MillerKnoll Inc</v>
      </c>
      <c r="C988">
        <v>-0.103169014084507</v>
      </c>
      <c r="D988">
        <v>5.4872417177812001E-2</v>
      </c>
      <c r="E988">
        <v>0.50773401843377908</v>
      </c>
      <c r="F988">
        <v>-4.5352323838080001E-2</v>
      </c>
      <c r="G988">
        <v>0.20166449640491399</v>
      </c>
      <c r="H988">
        <v>-0.23851038639543601</v>
      </c>
      <c r="I988">
        <v>-0.19830028328611901</v>
      </c>
    </row>
    <row r="989" spans="1:9" x14ac:dyDescent="0.25">
      <c r="A989" s="1" t="s">
        <v>1001</v>
      </c>
      <c r="B989" t="str">
        <f>HYPERLINK("https://www.suredividend.com/sure-analysis-research-database/","MeridianLink Inc")</f>
        <v>MeridianLink Inc</v>
      </c>
      <c r="C989">
        <v>4.0304523063143007E-2</v>
      </c>
      <c r="D989">
        <v>0.38109393579072498</v>
      </c>
      <c r="E989">
        <v>6.315789473684201E-2</v>
      </c>
      <c r="F989">
        <v>-6.2171982236576002E-2</v>
      </c>
      <c r="G989">
        <v>0.51335504885993499</v>
      </c>
      <c r="H989">
        <v>0.30286034772854697</v>
      </c>
      <c r="I989">
        <v>-5.5691056910568998E-2</v>
      </c>
    </row>
    <row r="990" spans="1:9" x14ac:dyDescent="0.25">
      <c r="A990" s="1" t="s">
        <v>1002</v>
      </c>
      <c r="B990" t="str">
        <f>HYPERLINK("https://www.suredividend.com/sure-analysis-MLR/","Miller Industries Inc.")</f>
        <v>Miller Industries Inc.</v>
      </c>
      <c r="C990">
        <v>-2.1328757048295999E-2</v>
      </c>
      <c r="D990">
        <v>6.3141326955905006E-2</v>
      </c>
      <c r="E990">
        <v>0.12105545461438399</v>
      </c>
      <c r="F990">
        <v>-5.6041617403640998E-2</v>
      </c>
      <c r="G990">
        <v>0.40677309088346197</v>
      </c>
      <c r="H990">
        <v>0.22581833814407601</v>
      </c>
      <c r="I990">
        <v>0.58881145599923601</v>
      </c>
    </row>
    <row r="991" spans="1:9" x14ac:dyDescent="0.25">
      <c r="A991" s="1" t="s">
        <v>1003</v>
      </c>
      <c r="B991" t="str">
        <f>HYPERLINK("https://www.suredividend.com/sure-analysis-research-database/","Mineralys Therapeutics Inc")</f>
        <v>Mineralys Therapeutics Inc</v>
      </c>
      <c r="C991">
        <v>0.15671641791044699</v>
      </c>
      <c r="D991">
        <v>2.6490066225165001E-2</v>
      </c>
      <c r="E991">
        <v>-0.40154440154440102</v>
      </c>
      <c r="F991">
        <v>8.1395348837209003E-2</v>
      </c>
      <c r="G991">
        <v>-0.49566160520607311</v>
      </c>
      <c r="H991">
        <v>-0.49566160520607311</v>
      </c>
      <c r="I991">
        <v>-0.49566160520607311</v>
      </c>
    </row>
    <row r="992" spans="1:9" x14ac:dyDescent="0.25">
      <c r="A992" s="1" t="s">
        <v>1004</v>
      </c>
      <c r="B992" t="str">
        <f>HYPERLINK("https://www.suredividend.com/sure-analysis-research-database/","Marcus &amp; Millichap Inc")</f>
        <v>Marcus &amp; Millichap Inc</v>
      </c>
      <c r="C992">
        <v>-2.8763928478879999E-2</v>
      </c>
      <c r="D992">
        <v>0.29375215740421101</v>
      </c>
      <c r="E992">
        <v>8.5376377715612004E-2</v>
      </c>
      <c r="F992">
        <v>-0.14194139194139199</v>
      </c>
      <c r="G992">
        <v>1.1638703547752999E-2</v>
      </c>
      <c r="H992">
        <v>-0.21500455540312699</v>
      </c>
      <c r="I992">
        <v>5.3166947192725002E-2</v>
      </c>
    </row>
    <row r="993" spans="1:9" x14ac:dyDescent="0.25">
      <c r="A993" s="1" t="s">
        <v>1005</v>
      </c>
      <c r="B993" t="str">
        <f>HYPERLINK("https://www.suredividend.com/sure-analysis-MMS/","Maximus Inc.")</f>
        <v>Maximus Inc.</v>
      </c>
      <c r="C993">
        <v>-5.5148342059335997E-2</v>
      </c>
      <c r="D993">
        <v>6.0664636153239013E-2</v>
      </c>
      <c r="E993">
        <v>-5.8026320978604003E-2</v>
      </c>
      <c r="F993">
        <v>-3.1600286191270997E-2</v>
      </c>
      <c r="G993">
        <v>0.123009738005879</v>
      </c>
      <c r="H993">
        <v>9.2031304628459001E-2</v>
      </c>
      <c r="I993">
        <v>0.27404423150235502</v>
      </c>
    </row>
    <row r="994" spans="1:9" x14ac:dyDescent="0.25">
      <c r="A994" s="1" t="s">
        <v>1006</v>
      </c>
      <c r="B994" t="str">
        <f>HYPERLINK("https://www.suredividend.com/sure-analysis-research-database/","Merit Medical Systems, Inc.")</f>
        <v>Merit Medical Systems, Inc.</v>
      </c>
      <c r="C994">
        <v>9.844271412680701E-2</v>
      </c>
      <c r="D994">
        <v>0.222342565372118</v>
      </c>
      <c r="E994">
        <v>-6.2425824827913007E-2</v>
      </c>
      <c r="F994">
        <v>4.0021063717745997E-2</v>
      </c>
      <c r="G994">
        <v>0.122956645344705</v>
      </c>
      <c r="H994">
        <v>0.35181382614647511</v>
      </c>
      <c r="I994">
        <v>0.48552087250846099</v>
      </c>
    </row>
    <row r="995" spans="1:9" x14ac:dyDescent="0.25">
      <c r="A995" s="1" t="s">
        <v>1007</v>
      </c>
      <c r="B995" t="str">
        <f>HYPERLINK("https://www.suredividend.com/sure-analysis-research-database/","Mannkind Corp")</f>
        <v>Mannkind Corp</v>
      </c>
      <c r="C995">
        <v>-0.118556701030927</v>
      </c>
      <c r="D995">
        <v>-0.14285714285714199</v>
      </c>
      <c r="E995">
        <v>-0.18957345971563899</v>
      </c>
      <c r="F995">
        <v>-6.0439560439560003E-2</v>
      </c>
      <c r="G995">
        <v>-0.29192546583850898</v>
      </c>
      <c r="H995">
        <v>-9.0425531914893012E-2</v>
      </c>
      <c r="I995">
        <v>1.6307692307692301</v>
      </c>
    </row>
    <row r="996" spans="1:9" x14ac:dyDescent="0.25">
      <c r="A996" s="1" t="s">
        <v>1008</v>
      </c>
      <c r="B996" t="str">
        <f>HYPERLINK("https://www.suredividend.com/sure-analysis-research-database/","Monro Inc")</f>
        <v>Monro Inc</v>
      </c>
      <c r="C996">
        <v>-0.10365659777424401</v>
      </c>
      <c r="D996">
        <v>0.117506679669227</v>
      </c>
      <c r="E996">
        <v>-0.28449052628907101</v>
      </c>
      <c r="F996">
        <v>-3.9195637355146001E-2</v>
      </c>
      <c r="G996">
        <v>-0.38419798286064999</v>
      </c>
      <c r="H996">
        <v>-0.46907988285480201</v>
      </c>
      <c r="I996">
        <v>-0.54337529723530609</v>
      </c>
    </row>
    <row r="997" spans="1:9" x14ac:dyDescent="0.25">
      <c r="A997" s="1" t="s">
        <v>1009</v>
      </c>
      <c r="B997" t="str">
        <f>HYPERLINK("https://www.suredividend.com/sure-analysis-research-database/","Montauk Renewables Inc")</f>
        <v>Montauk Renewables Inc</v>
      </c>
      <c r="C997">
        <v>-8.410138248847901E-2</v>
      </c>
      <c r="D997">
        <v>-0.21442687747035499</v>
      </c>
      <c r="E997">
        <v>-2.3341523341523E-2</v>
      </c>
      <c r="F997">
        <v>-0.107744107744107</v>
      </c>
      <c r="G997">
        <v>-0.31109185441941001</v>
      </c>
      <c r="H997">
        <v>-0.19696969696969699</v>
      </c>
      <c r="I997">
        <v>-0.32225063938618898</v>
      </c>
    </row>
    <row r="998" spans="1:9" x14ac:dyDescent="0.25">
      <c r="A998" s="1" t="s">
        <v>1010</v>
      </c>
      <c r="B998" t="str">
        <f>HYPERLINK("https://www.suredividend.com/sure-analysis-research-database/","Momentus Inc")</f>
        <v>Momentus Inc</v>
      </c>
      <c r="C998">
        <v>-0.55560185185185207</v>
      </c>
      <c r="D998">
        <v>-0.69135048231511209</v>
      </c>
      <c r="E998">
        <v>-0.93756747967479603</v>
      </c>
      <c r="F998">
        <v>-0.44514450867052002</v>
      </c>
      <c r="G998">
        <v>-0.9837305084745761</v>
      </c>
      <c r="H998">
        <v>-0.99535157384987805</v>
      </c>
      <c r="I998">
        <v>-0.90215086646279308</v>
      </c>
    </row>
    <row r="999" spans="1:9" x14ac:dyDescent="0.25">
      <c r="A999" s="1" t="s">
        <v>1011</v>
      </c>
      <c r="B999" t="str">
        <f>HYPERLINK("https://www.suredividend.com/sure-analysis-research-database/","Modine Manufacturing Co.")</f>
        <v>Modine Manufacturing Co.</v>
      </c>
      <c r="C999">
        <v>0.1872804584951</v>
      </c>
      <c r="D999">
        <v>0.43188405797101398</v>
      </c>
      <c r="E999">
        <v>0.75129533678756411</v>
      </c>
      <c r="F999">
        <v>7.5711892797319005E-2</v>
      </c>
      <c r="G999">
        <v>1.766910814304179</v>
      </c>
      <c r="H999">
        <v>4.9573283858998147</v>
      </c>
      <c r="I999">
        <v>4.1915925626515769</v>
      </c>
    </row>
    <row r="1000" spans="1:9" x14ac:dyDescent="0.25">
      <c r="A1000" s="1" t="s">
        <v>1012</v>
      </c>
      <c r="B1000" t="str">
        <f>HYPERLINK("https://www.suredividend.com/sure-analysis-research-database/","Topgolf Callaway Brands Corp")</f>
        <v>Topgolf Callaway Brands Corp</v>
      </c>
      <c r="C1000">
        <v>2.0694752402069E-2</v>
      </c>
      <c r="D1000">
        <v>9.1699604743082003E-2</v>
      </c>
      <c r="E1000">
        <v>-0.320039389463318</v>
      </c>
      <c r="F1000">
        <v>-3.6959553695955001E-2</v>
      </c>
      <c r="G1000">
        <v>-0.38512911843276898</v>
      </c>
      <c r="H1000">
        <v>-0.48121712997746002</v>
      </c>
      <c r="I1000">
        <v>-0.151355005223376</v>
      </c>
    </row>
    <row r="1001" spans="1:9" x14ac:dyDescent="0.25">
      <c r="A1001" s="1" t="s">
        <v>1013</v>
      </c>
      <c r="B1001" t="str">
        <f>HYPERLINK("https://www.suredividend.com/sure-analysis-research-database/","Model N Inc")</f>
        <v>Model N Inc</v>
      </c>
      <c r="C1001">
        <v>0.146672318779143</v>
      </c>
      <c r="D1001">
        <v>0.17864923747276601</v>
      </c>
      <c r="E1001">
        <v>-0.21366279069767399</v>
      </c>
      <c r="F1001">
        <v>4.4559970293350003E-3</v>
      </c>
      <c r="G1001">
        <v>-0.35595238095238002</v>
      </c>
      <c r="H1001">
        <v>-2.4170274170273998E-2</v>
      </c>
      <c r="I1001">
        <v>0.96014492753623204</v>
      </c>
    </row>
    <row r="1002" spans="1:9" x14ac:dyDescent="0.25">
      <c r="A1002" s="1" t="s">
        <v>1014</v>
      </c>
      <c r="B1002" t="str">
        <f>HYPERLINK("https://www.suredividend.com/sure-analysis-research-database/","ModivCare Inc")</f>
        <v>ModivCare Inc</v>
      </c>
      <c r="C1002">
        <v>-4.5977011494252013E-2</v>
      </c>
      <c r="D1002">
        <v>8.662952646239501E-2</v>
      </c>
      <c r="E1002">
        <v>-0.21933159895937501</v>
      </c>
      <c r="F1002">
        <v>-0.113207547169811</v>
      </c>
      <c r="G1002">
        <v>-0.60868692948139203</v>
      </c>
      <c r="H1002">
        <v>-0.69971518743745609</v>
      </c>
      <c r="I1002">
        <v>-0.37593984962406002</v>
      </c>
    </row>
    <row r="1003" spans="1:9" x14ac:dyDescent="0.25">
      <c r="A1003" s="1" t="s">
        <v>1015</v>
      </c>
      <c r="B1003" t="str">
        <f>HYPERLINK("https://www.suredividend.com/sure-analysis-research-database/","MidWestOne Financial Group Inc")</f>
        <v>MidWestOne Financial Group Inc</v>
      </c>
      <c r="C1003">
        <v>-1.4601420678768001E-2</v>
      </c>
      <c r="D1003">
        <v>0.27177345421208099</v>
      </c>
      <c r="E1003">
        <v>0.19266537067198999</v>
      </c>
      <c r="F1003">
        <v>-7.2092159048680007E-2</v>
      </c>
      <c r="G1003">
        <v>-0.18984072599615201</v>
      </c>
      <c r="H1003">
        <v>-0.15438200801254301</v>
      </c>
      <c r="I1003">
        <v>0.192819199755417</v>
      </c>
    </row>
    <row r="1004" spans="1:9" x14ac:dyDescent="0.25">
      <c r="A1004" s="1" t="s">
        <v>1016</v>
      </c>
      <c r="B1004" t="str">
        <f>HYPERLINK("https://www.suredividend.com/sure-analysis-research-database/","Morphic Holding Inc")</f>
        <v>Morphic Holding Inc</v>
      </c>
      <c r="C1004">
        <v>-5.3151618398637003E-2</v>
      </c>
      <c r="D1004">
        <v>0.28478964401294399</v>
      </c>
      <c r="E1004">
        <v>-0.52438815676878303</v>
      </c>
      <c r="F1004">
        <v>-3.7742382271468013E-2</v>
      </c>
      <c r="G1004">
        <v>-0.12389659520807</v>
      </c>
      <c r="H1004">
        <v>-0.33912009512485097</v>
      </c>
      <c r="I1004">
        <v>0.54388888888888809</v>
      </c>
    </row>
    <row r="1005" spans="1:9" x14ac:dyDescent="0.25">
      <c r="A1005" s="1" t="s">
        <v>1017</v>
      </c>
      <c r="B1005" t="str">
        <f>HYPERLINK("https://www.suredividend.com/sure-analysis-research-database/","Movado Group, Inc.")</f>
        <v>Movado Group, Inc.</v>
      </c>
      <c r="C1005">
        <v>-3.0534351145038E-2</v>
      </c>
      <c r="D1005">
        <v>1.9224455550285999E-2</v>
      </c>
      <c r="E1005">
        <v>5.9750348003200997E-2</v>
      </c>
      <c r="F1005">
        <v>-7.3300165837479003E-2</v>
      </c>
      <c r="G1005">
        <v>-0.18297165549125499</v>
      </c>
      <c r="H1005">
        <v>-0.227562259477153</v>
      </c>
      <c r="I1005">
        <v>-2.2266703527048001E-2</v>
      </c>
    </row>
    <row r="1006" spans="1:9" x14ac:dyDescent="0.25">
      <c r="A1006" s="1" t="s">
        <v>1018</v>
      </c>
      <c r="B1006" t="str">
        <f>HYPERLINK("https://www.suredividend.com/sure-analysis-research-database/","Motorcar Parts of America Inc.")</f>
        <v>Motorcar Parts of America Inc.</v>
      </c>
      <c r="C1006">
        <v>2.0902090209020001E-2</v>
      </c>
      <c r="D1006">
        <v>0.22913907284768201</v>
      </c>
      <c r="E1006">
        <v>0.122128174123337</v>
      </c>
      <c r="F1006">
        <v>-6.4239828693790002E-3</v>
      </c>
      <c r="G1006">
        <v>-0.32802317161477201</v>
      </c>
      <c r="H1006">
        <v>-0.47747747747747699</v>
      </c>
      <c r="I1006">
        <v>-0.53343388637506306</v>
      </c>
    </row>
    <row r="1007" spans="1:9" x14ac:dyDescent="0.25">
      <c r="A1007" s="1" t="s">
        <v>1019</v>
      </c>
      <c r="B1007" t="str">
        <f>HYPERLINK("https://www.suredividend.com/sure-analysis-research-database/","Mid Penn Bancorp, Inc.")</f>
        <v>Mid Penn Bancorp, Inc.</v>
      </c>
      <c r="C1007">
        <v>-2.9932546374367E-2</v>
      </c>
      <c r="D1007">
        <v>0.179957642546165</v>
      </c>
      <c r="E1007">
        <v>4.0912709901563003E-2</v>
      </c>
      <c r="F1007">
        <v>-5.2306425041186003E-2</v>
      </c>
      <c r="G1007">
        <v>-0.20399903137648301</v>
      </c>
      <c r="H1007">
        <v>-0.23076408761466599</v>
      </c>
      <c r="I1007">
        <v>0.13649834044570799</v>
      </c>
    </row>
    <row r="1008" spans="1:9" x14ac:dyDescent="0.25">
      <c r="A1008" s="1" t="s">
        <v>1020</v>
      </c>
      <c r="B1008" t="str">
        <f>HYPERLINK("https://www.suredividend.com/sure-analysis-research-database/","MultiPlan Corp")</f>
        <v>MultiPlan Corp</v>
      </c>
      <c r="C1008">
        <v>-9.4202898550724001E-2</v>
      </c>
      <c r="D1008">
        <v>-0.26470588235294101</v>
      </c>
      <c r="E1008">
        <v>-0.36868686868686801</v>
      </c>
      <c r="F1008">
        <v>-0.131944444444444</v>
      </c>
      <c r="G1008">
        <v>4.1666666666666012E-2</v>
      </c>
      <c r="H1008">
        <v>-0.67783505154639101</v>
      </c>
      <c r="I1008">
        <v>-0.87139917695473201</v>
      </c>
    </row>
    <row r="1009" spans="1:9" x14ac:dyDescent="0.25">
      <c r="A1009" s="1" t="s">
        <v>1021</v>
      </c>
      <c r="B1009" t="str">
        <f>HYPERLINK("https://www.suredividend.com/sure-analysis-research-database/","Marine Products Corp")</f>
        <v>Marine Products Corp</v>
      </c>
      <c r="C1009">
        <v>1.1204481792717E-2</v>
      </c>
      <c r="D1009">
        <v>-0.22068950629277001</v>
      </c>
      <c r="E1009">
        <v>-0.36483546130070899</v>
      </c>
      <c r="F1009">
        <v>-0.05</v>
      </c>
      <c r="G1009">
        <v>-0.169306528192187</v>
      </c>
      <c r="H1009">
        <v>-2.0148922887620001E-2</v>
      </c>
      <c r="I1009">
        <v>-0.29450850107484811</v>
      </c>
    </row>
    <row r="1010" spans="1:9" x14ac:dyDescent="0.25">
      <c r="A1010" s="1" t="s">
        <v>1022</v>
      </c>
      <c r="B1010" t="str">
        <f>HYPERLINK("https://www.suredividend.com/sure-analysis-research-database/","Marqeta Inc")</f>
        <v>Marqeta Inc</v>
      </c>
      <c r="C1010">
        <v>-1.4173228346456001E-2</v>
      </c>
      <c r="D1010">
        <v>0.11190053285968</v>
      </c>
      <c r="E1010">
        <v>0.174484052532833</v>
      </c>
      <c r="F1010">
        <v>-0.10315186246418299</v>
      </c>
      <c r="G1010">
        <v>-5.0075872534142002E-2</v>
      </c>
      <c r="H1010">
        <v>-0.56767955801104908</v>
      </c>
      <c r="I1010">
        <v>-0.79488859764089104</v>
      </c>
    </row>
    <row r="1011" spans="1:9" x14ac:dyDescent="0.25">
      <c r="A1011" s="1" t="s">
        <v>1023</v>
      </c>
      <c r="B1011" t="str">
        <f>HYPERLINK("https://www.suredividend.com/sure-analysis-research-database/","MRC Global Inc")</f>
        <v>MRC Global Inc</v>
      </c>
      <c r="C1011">
        <v>-3.6328871892925003E-2</v>
      </c>
      <c r="D1011">
        <v>5.9880239520950004E-3</v>
      </c>
      <c r="E1011">
        <v>-4.8158640226627997E-2</v>
      </c>
      <c r="F1011">
        <v>-8.4468664850136002E-2</v>
      </c>
      <c r="G1011">
        <v>-0.173092698933552</v>
      </c>
      <c r="H1011">
        <v>0.25062034739454098</v>
      </c>
      <c r="I1011">
        <v>-0.36162127929068999</v>
      </c>
    </row>
    <row r="1012" spans="1:9" x14ac:dyDescent="0.25">
      <c r="A1012" s="1" t="s">
        <v>1024</v>
      </c>
      <c r="B1012" t="str">
        <f>HYPERLINK("https://www.suredividend.com/sure-analysis-research-database/","Mersana Therapeutics Inc")</f>
        <v>Mersana Therapeutics Inc</v>
      </c>
      <c r="C1012">
        <v>0.47317073170731699</v>
      </c>
      <c r="D1012">
        <v>0.94838709677419308</v>
      </c>
      <c r="E1012">
        <v>-0.181571815718157</v>
      </c>
      <c r="F1012">
        <v>0.30172413793103398</v>
      </c>
      <c r="G1012">
        <v>-0.50165016501650106</v>
      </c>
      <c r="H1012">
        <v>-0.49833887043189312</v>
      </c>
      <c r="I1012">
        <v>-0.36820083682008298</v>
      </c>
    </row>
    <row r="1013" spans="1:9" x14ac:dyDescent="0.25">
      <c r="A1013" s="1" t="s">
        <v>1025</v>
      </c>
      <c r="B1013" t="str">
        <f>HYPERLINK("https://www.suredividend.com/sure-analysis-research-database/","Marten Transport, Ltd.")</f>
        <v>Marten Transport, Ltd.</v>
      </c>
      <c r="C1013">
        <v>2.8438469493277999E-2</v>
      </c>
      <c r="D1013">
        <v>3.5888942705810001E-2</v>
      </c>
      <c r="E1013">
        <v>-1.5580456129236E-2</v>
      </c>
      <c r="F1013">
        <v>-5.1954242135367007E-2</v>
      </c>
      <c r="G1013">
        <v>8.943019321588001E-3</v>
      </c>
      <c r="H1013">
        <v>0.23986261150348101</v>
      </c>
      <c r="I1013">
        <v>0.94778487210623208</v>
      </c>
    </row>
    <row r="1014" spans="1:9" x14ac:dyDescent="0.25">
      <c r="A1014" s="1" t="s">
        <v>1026</v>
      </c>
      <c r="B1014" t="str">
        <f>HYPERLINK("https://www.suredividend.com/sure-analysis-research-database/","Midland States Bancorp Inc")</f>
        <v>Midland States Bancorp Inc</v>
      </c>
      <c r="C1014">
        <v>-6.1162079510700008E-3</v>
      </c>
      <c r="D1014">
        <v>0.301972488319804</v>
      </c>
      <c r="E1014">
        <v>0.28495319805082397</v>
      </c>
      <c r="F1014">
        <v>-5.6603773584905002E-2</v>
      </c>
      <c r="G1014">
        <v>3.0584579283663999E-2</v>
      </c>
      <c r="H1014">
        <v>8.9320054801178009E-2</v>
      </c>
      <c r="I1014">
        <v>0.47715522628881701</v>
      </c>
    </row>
    <row r="1015" spans="1:9" x14ac:dyDescent="0.25">
      <c r="A1015" s="1" t="s">
        <v>1027</v>
      </c>
      <c r="B1015" t="str">
        <f>HYPERLINK("https://www.suredividend.com/sure-analysis-MSEX/","Middlesex Water Co.")</f>
        <v>Middlesex Water Co.</v>
      </c>
      <c r="C1015">
        <v>-0.14000279446695499</v>
      </c>
      <c r="D1015">
        <v>-4.5464132403661997E-2</v>
      </c>
      <c r="E1015">
        <v>-0.22422583283862699</v>
      </c>
      <c r="F1015">
        <v>-6.2023773239865007E-2</v>
      </c>
      <c r="G1015">
        <v>-0.22820639178024099</v>
      </c>
      <c r="H1015">
        <v>-0.38908552405643199</v>
      </c>
      <c r="I1015">
        <v>0.20836253624596801</v>
      </c>
    </row>
    <row r="1016" spans="1:9" x14ac:dyDescent="0.25">
      <c r="A1016" s="1" t="s">
        <v>1028</v>
      </c>
      <c r="B1016" t="str">
        <f>HYPERLINK("https://www.suredividend.com/sure-analysis-research-database/","Madison Square Garden Entertainment Corp.")</f>
        <v>Madison Square Garden Entertainment Corp.</v>
      </c>
      <c r="C1016">
        <v>-1.863354037267E-3</v>
      </c>
      <c r="D1016">
        <v>5.6320400500620002E-3</v>
      </c>
      <c r="E1016">
        <v>-7.3241061130334004E-2</v>
      </c>
      <c r="F1016">
        <v>1.1009751494180001E-2</v>
      </c>
      <c r="G1016">
        <v>4.3750000000000004E-3</v>
      </c>
      <c r="H1016">
        <v>4.3750000000000004E-3</v>
      </c>
      <c r="I1016">
        <v>4.3750000000000004E-3</v>
      </c>
    </row>
    <row r="1017" spans="1:9" x14ac:dyDescent="0.25">
      <c r="A1017" s="1" t="s">
        <v>1029</v>
      </c>
      <c r="B1017" t="str">
        <f>HYPERLINK("https://www.suredividend.com/sure-analysis-research-database/","Microstrategy Inc.")</f>
        <v>Microstrategy Inc.</v>
      </c>
      <c r="C1017">
        <v>-0.17145051194539199</v>
      </c>
      <c r="D1017">
        <v>0.52576833637106302</v>
      </c>
      <c r="E1017">
        <v>5.1317584392524998E-2</v>
      </c>
      <c r="F1017">
        <v>-0.23129413254805101</v>
      </c>
      <c r="G1017">
        <v>1.237774807577084</v>
      </c>
      <c r="H1017">
        <v>-8.2926530362130001E-3</v>
      </c>
      <c r="I1017">
        <v>2.627147766323024</v>
      </c>
    </row>
    <row r="1018" spans="1:9" x14ac:dyDescent="0.25">
      <c r="A1018" s="1" t="s">
        <v>1030</v>
      </c>
      <c r="B1018" t="str">
        <f>HYPERLINK("https://www.suredividend.com/sure-analysis-research-database/","Matador Resources Co")</f>
        <v>Matador Resources Co</v>
      </c>
      <c r="C1018">
        <v>2.0468375437949E-2</v>
      </c>
      <c r="D1018">
        <v>-0.12548652120940099</v>
      </c>
      <c r="E1018">
        <v>8.9132214303810006E-3</v>
      </c>
      <c r="F1018">
        <v>-2.6732325008792999E-2</v>
      </c>
      <c r="G1018">
        <v>-6.6213778661955006E-2</v>
      </c>
      <c r="H1018">
        <v>0.317553169960549</v>
      </c>
      <c r="I1018">
        <v>1.9230931755757441</v>
      </c>
    </row>
    <row r="1019" spans="1:9" x14ac:dyDescent="0.25">
      <c r="A1019" s="1" t="s">
        <v>1031</v>
      </c>
      <c r="B1019" t="str">
        <f>HYPERLINK("https://www.suredividend.com/sure-analysis-research-database/","Meritage Homes Corp.")</f>
        <v>Meritage Homes Corp.</v>
      </c>
      <c r="C1019">
        <v>6.1296296296296002E-2</v>
      </c>
      <c r="D1019">
        <v>0.52336616697043004</v>
      </c>
      <c r="E1019">
        <v>0.19544516826135799</v>
      </c>
      <c r="F1019">
        <v>-1.3030998851894E-2</v>
      </c>
      <c r="G1019">
        <v>0.71608748422952206</v>
      </c>
      <c r="H1019">
        <v>0.49372121026777999</v>
      </c>
      <c r="I1019">
        <v>3.1928930791535688</v>
      </c>
    </row>
    <row r="1020" spans="1:9" x14ac:dyDescent="0.25">
      <c r="A1020" s="1" t="s">
        <v>1032</v>
      </c>
      <c r="B1020" t="str">
        <f>HYPERLINK("https://www.suredividend.com/sure-analysis-research-database/","Materion Corp")</f>
        <v>Materion Corp</v>
      </c>
      <c r="C1020">
        <v>1.9065139225686999E-2</v>
      </c>
      <c r="D1020">
        <v>0.258319446079251</v>
      </c>
      <c r="E1020">
        <v>6.4556195767880003E-3</v>
      </c>
      <c r="F1020">
        <v>-6.3474986551909002E-2</v>
      </c>
      <c r="G1020">
        <v>0.26836538331444298</v>
      </c>
      <c r="H1020">
        <v>0.38016713306432898</v>
      </c>
      <c r="I1020">
        <v>1.7012649642365549</v>
      </c>
    </row>
    <row r="1021" spans="1:9" x14ac:dyDescent="0.25">
      <c r="A1021" s="1" t="s">
        <v>1033</v>
      </c>
      <c r="B1021" t="str">
        <f>HYPERLINK("https://www.suredividend.com/sure-analysis-research-database/","MACOM Technology Solutions Holdings Inc")</f>
        <v>MACOM Technology Solutions Holdings Inc</v>
      </c>
      <c r="C1021">
        <v>-6.326439848788E-2</v>
      </c>
      <c r="D1021">
        <v>5.7354417670682008E-2</v>
      </c>
      <c r="E1021">
        <v>0.233889865260691</v>
      </c>
      <c r="F1021">
        <v>-9.3598708983324008E-2</v>
      </c>
      <c r="G1021">
        <v>0.312918809412497</v>
      </c>
      <c r="H1021">
        <v>0.175854849965108</v>
      </c>
      <c r="I1021">
        <v>4.0208581644815249</v>
      </c>
    </row>
    <row r="1022" spans="1:9" x14ac:dyDescent="0.25">
      <c r="A1022" s="1" t="s">
        <v>1034</v>
      </c>
      <c r="B1022" t="str">
        <f>HYPERLINK("https://www.suredividend.com/sure-analysis-research-database/","Matterport Inc")</f>
        <v>Matterport Inc</v>
      </c>
      <c r="C1022">
        <v>-8.984375E-2</v>
      </c>
      <c r="D1022">
        <v>0.11483253588516699</v>
      </c>
      <c r="E1022">
        <v>-0.36338797814207602</v>
      </c>
      <c r="F1022">
        <v>-0.13382899628252701</v>
      </c>
      <c r="G1022">
        <v>-0.25080385852089998</v>
      </c>
      <c r="H1022">
        <v>-0.83498583569405005</v>
      </c>
      <c r="I1022">
        <v>-0.7834813961268261</v>
      </c>
    </row>
    <row r="1023" spans="1:9" x14ac:dyDescent="0.25">
      <c r="A1023" s="1" t="s">
        <v>1035</v>
      </c>
      <c r="B1023" t="str">
        <f>HYPERLINK("https://www.suredividend.com/sure-analysis-research-database/","Manitowoc Co., Inc.")</f>
        <v>Manitowoc Co., Inc.</v>
      </c>
      <c r="C1023">
        <v>2.1864951768487999E-2</v>
      </c>
      <c r="D1023">
        <v>0.14152298850574699</v>
      </c>
      <c r="E1023">
        <v>-0.193810248604769</v>
      </c>
      <c r="F1023">
        <v>-4.7932893948472013E-2</v>
      </c>
      <c r="G1023">
        <v>0.35811965811965801</v>
      </c>
      <c r="H1023">
        <v>-0.180927835051546</v>
      </c>
      <c r="I1023">
        <v>-1.2570710245120001E-3</v>
      </c>
    </row>
    <row r="1024" spans="1:9" x14ac:dyDescent="0.25">
      <c r="A1024" s="1" t="s">
        <v>1036</v>
      </c>
      <c r="B1024" t="str">
        <f>HYPERLINK("https://www.suredividend.com/sure-analysis-research-database/","Minerals Technologies, Inc.")</f>
        <v>Minerals Technologies, Inc.</v>
      </c>
      <c r="C1024">
        <v>1.9640682095005E-2</v>
      </c>
      <c r="D1024">
        <v>0.37741103491964201</v>
      </c>
      <c r="E1024">
        <v>0.21764079142105899</v>
      </c>
      <c r="F1024">
        <v>-6.0861029308651997E-2</v>
      </c>
      <c r="G1024">
        <v>5.1812538274030014E-3</v>
      </c>
      <c r="H1024">
        <v>-7.9810658367512E-2</v>
      </c>
      <c r="I1024">
        <v>0.260573799189106</v>
      </c>
    </row>
    <row r="1025" spans="1:9" x14ac:dyDescent="0.25">
      <c r="A1025" s="1" t="s">
        <v>1037</v>
      </c>
      <c r="B1025" t="str">
        <f>HYPERLINK("https://www.suredividend.com/sure-analysis-research-database/","Mullen Automotive Inc")</f>
        <v>Mullen Automotive Inc</v>
      </c>
      <c r="C1025">
        <v>-0.12599049128367601</v>
      </c>
      <c r="D1025">
        <v>-0.71898089171974511</v>
      </c>
      <c r="E1025">
        <v>-0.92173974741024511</v>
      </c>
      <c r="F1025">
        <v>-0.22813156053184</v>
      </c>
      <c r="G1025">
        <v>-0.9986287490287491</v>
      </c>
      <c r="H1025">
        <v>-0.9998807245201401</v>
      </c>
      <c r="I1025">
        <v>0.75357710651828202</v>
      </c>
    </row>
    <row r="1026" spans="1:9" x14ac:dyDescent="0.25">
      <c r="A1026" s="1" t="s">
        <v>1038</v>
      </c>
      <c r="B1026" t="str">
        <f>HYPERLINK("https://www.suredividend.com/sure-analysis-research-database/","Murphy Oil Corp.")</f>
        <v>Murphy Oil Corp.</v>
      </c>
      <c r="C1026">
        <v>-5.1686483863140002E-2</v>
      </c>
      <c r="D1026">
        <v>-0.15316490531612201</v>
      </c>
      <c r="E1026">
        <v>-4.0659068202070013E-2</v>
      </c>
      <c r="F1026">
        <v>-8.3919362400375008E-2</v>
      </c>
      <c r="G1026">
        <v>-4.9437519002736012E-2</v>
      </c>
      <c r="H1026">
        <v>0.34710310785097698</v>
      </c>
      <c r="I1026">
        <v>0.72622465656610202</v>
      </c>
    </row>
    <row r="1027" spans="1:9" x14ac:dyDescent="0.25">
      <c r="A1027" s="1" t="s">
        <v>1039</v>
      </c>
      <c r="B1027" t="str">
        <f>HYPERLINK("https://www.suredividend.com/sure-analysis-research-database/","Murphy USA Inc")</f>
        <v>Murphy USA Inc</v>
      </c>
      <c r="C1027">
        <v>4.4217687074829003E-2</v>
      </c>
      <c r="D1027">
        <v>5.0426654983204998E-2</v>
      </c>
      <c r="E1027">
        <v>0.239505025180061</v>
      </c>
      <c r="F1027">
        <v>5.9036347318823998E-2</v>
      </c>
      <c r="G1027">
        <v>0.40353237740045611</v>
      </c>
      <c r="H1027">
        <v>0.92757393984964709</v>
      </c>
      <c r="I1027">
        <v>3.8184884179417589</v>
      </c>
    </row>
    <row r="1028" spans="1:9" x14ac:dyDescent="0.25">
      <c r="A1028" s="1" t="s">
        <v>1040</v>
      </c>
      <c r="B1028" t="str">
        <f>HYPERLINK("https://www.suredividend.com/sure-analysis-research-database/","MVB Financial Corp.")</f>
        <v>MVB Financial Corp.</v>
      </c>
      <c r="C1028">
        <v>3.9649608114338E-2</v>
      </c>
      <c r="D1028">
        <v>4.4857032976707012E-2</v>
      </c>
      <c r="E1028">
        <v>4.2340759914947998E-2</v>
      </c>
      <c r="F1028">
        <v>-4.4326241134700001E-4</v>
      </c>
      <c r="G1028">
        <v>6.8735574439447E-2</v>
      </c>
      <c r="H1028">
        <v>-0.40327339604916701</v>
      </c>
      <c r="I1028">
        <v>0.43857813616413099</v>
      </c>
    </row>
    <row r="1029" spans="1:9" x14ac:dyDescent="0.25">
      <c r="A1029" s="1" t="s">
        <v>1041</v>
      </c>
      <c r="B1029" t="str">
        <f>HYPERLINK("https://www.suredividend.com/sure-analysis-research-database/","Microvision Inc.")</f>
        <v>Microvision Inc.</v>
      </c>
      <c r="C1029">
        <v>-6.1776061776061007E-2</v>
      </c>
      <c r="D1029">
        <v>0.17391304347826</v>
      </c>
      <c r="E1029">
        <v>-0.44520547945205402</v>
      </c>
      <c r="F1029">
        <v>-8.6466165413533011E-2</v>
      </c>
      <c r="G1029">
        <v>-6.1776061776061007E-2</v>
      </c>
      <c r="H1029">
        <v>-0.372093023255814</v>
      </c>
      <c r="I1029">
        <v>2.1777167516673201</v>
      </c>
    </row>
    <row r="1030" spans="1:9" x14ac:dyDescent="0.25">
      <c r="A1030" s="1" t="s">
        <v>1042</v>
      </c>
      <c r="B1030" t="str">
        <f>HYPERLINK("https://www.suredividend.com/sure-analysis-research-database/","Microvast Holdings Inc")</f>
        <v>Microvast Holdings Inc</v>
      </c>
      <c r="C1030">
        <v>-9.5833333333333007E-2</v>
      </c>
      <c r="D1030">
        <v>-0.33435582822085802</v>
      </c>
      <c r="E1030">
        <v>-0.59363295880149802</v>
      </c>
      <c r="F1030">
        <v>-0.22500000000000001</v>
      </c>
      <c r="G1030">
        <v>-0.38352272727272702</v>
      </c>
      <c r="H1030">
        <v>-0.78599605522682403</v>
      </c>
      <c r="I1030">
        <v>-0.88894575230296802</v>
      </c>
    </row>
    <row r="1031" spans="1:9" x14ac:dyDescent="0.25">
      <c r="A1031" s="1" t="s">
        <v>1043</v>
      </c>
      <c r="B1031" t="str">
        <f>HYPERLINK("https://www.suredividend.com/sure-analysis-MWA/","Mueller Water Products Inc")</f>
        <v>Mueller Water Products Inc</v>
      </c>
      <c r="C1031">
        <v>-1.4224751066856001E-2</v>
      </c>
      <c r="D1031">
        <v>9.3404859577153013E-2</v>
      </c>
      <c r="E1031">
        <v>-0.14318037104122699</v>
      </c>
      <c r="F1031">
        <v>-3.7500000000000012E-2</v>
      </c>
      <c r="G1031">
        <v>0.14736049139479601</v>
      </c>
      <c r="H1031">
        <v>5.3479675291113013E-2</v>
      </c>
      <c r="I1031">
        <v>0.5890304162892811</v>
      </c>
    </row>
    <row r="1032" spans="1:9" x14ac:dyDescent="0.25">
      <c r="A1032" s="1" t="s">
        <v>1044</v>
      </c>
      <c r="B1032" t="str">
        <f>HYPERLINK("https://www.suredividend.com/sure-analysis-research-database/","MaxCyte Inc")</f>
        <v>MaxCyte Inc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5">
      <c r="A1033" s="1" t="s">
        <v>1045</v>
      </c>
      <c r="B1033" t="str">
        <f>HYPERLINK("https://www.suredividend.com/sure-analysis-research-database/","MaxLinear Inc")</f>
        <v>MaxLinear Inc</v>
      </c>
      <c r="C1033">
        <v>3.6079960994636E-2</v>
      </c>
      <c r="D1033">
        <v>8.0645161290320011E-3</v>
      </c>
      <c r="E1033">
        <v>-0.36680572109654302</v>
      </c>
      <c r="F1033">
        <v>-0.106015986537652</v>
      </c>
      <c r="G1033">
        <v>-0.42505411255411202</v>
      </c>
      <c r="H1033">
        <v>-0.6707978311386521</v>
      </c>
      <c r="I1033">
        <v>0.118421052631578</v>
      </c>
    </row>
    <row r="1034" spans="1:9" x14ac:dyDescent="0.25">
      <c r="A1034" s="1" t="s">
        <v>1046</v>
      </c>
      <c r="B1034" t="str">
        <f>HYPERLINK("https://www.suredividend.com/sure-analysis-research-database/","Myers Industries Inc.")</f>
        <v>Myers Industries Inc.</v>
      </c>
      <c r="C1034">
        <v>-1.6393442622949998E-2</v>
      </c>
      <c r="D1034">
        <v>9.3558002669222012E-2</v>
      </c>
      <c r="E1034">
        <v>-2.5422840735229001E-2</v>
      </c>
      <c r="F1034">
        <v>-4.8593350383631002E-2</v>
      </c>
      <c r="G1034">
        <v>-0.226424667903278</v>
      </c>
      <c r="H1034">
        <v>2.4590163934426E-2</v>
      </c>
      <c r="I1034">
        <v>0.35656511877238101</v>
      </c>
    </row>
    <row r="1035" spans="1:9" x14ac:dyDescent="0.25">
      <c r="A1035" s="1" t="s">
        <v>1047</v>
      </c>
      <c r="B1035" t="str">
        <f>HYPERLINK("https://www.suredividend.com/sure-analysis-research-database/","First Western Financial Inc")</f>
        <v>First Western Financial Inc</v>
      </c>
      <c r="C1035">
        <v>-0.109016811003565</v>
      </c>
      <c r="D1035">
        <v>5.1724137931030006E-3</v>
      </c>
      <c r="E1035">
        <v>-6.720000000000001E-2</v>
      </c>
      <c r="F1035">
        <v>-0.118003025718608</v>
      </c>
      <c r="G1035">
        <v>-0.35580110497237499</v>
      </c>
      <c r="H1035">
        <v>-0.47080181543116412</v>
      </c>
      <c r="I1035">
        <v>0.38260869565217298</v>
      </c>
    </row>
    <row r="1036" spans="1:9" x14ac:dyDescent="0.25">
      <c r="A1036" s="1" t="s">
        <v>1048</v>
      </c>
      <c r="B1036" t="str">
        <f>HYPERLINK("https://www.suredividend.com/sure-analysis-research-database/","Myriad Genetics, Inc.")</f>
        <v>Myriad Genetics, Inc.</v>
      </c>
      <c r="C1036">
        <v>-4.8371647509578002E-2</v>
      </c>
      <c r="D1036">
        <v>0.36657496561210401</v>
      </c>
      <c r="E1036">
        <v>-0.13003502626970201</v>
      </c>
      <c r="F1036">
        <v>3.8140020898641012E-2</v>
      </c>
      <c r="G1036">
        <v>6.4274236743438004E-2</v>
      </c>
      <c r="H1036">
        <v>-0.24962235649546799</v>
      </c>
      <c r="I1036">
        <v>-0.34335756774619902</v>
      </c>
    </row>
    <row r="1037" spans="1:9" x14ac:dyDescent="0.25">
      <c r="A1037" s="1" t="s">
        <v>1049</v>
      </c>
      <c r="B1037" t="str">
        <f>HYPERLINK("https://www.suredividend.com/sure-analysis-research-database/","PLAYSTUDIOS Inc")</f>
        <v>PLAYSTUDIOS Inc</v>
      </c>
      <c r="C1037">
        <v>-0.11070110701107</v>
      </c>
      <c r="D1037">
        <v>-0.15734265734265701</v>
      </c>
      <c r="E1037">
        <v>-0.48940677966101598</v>
      </c>
      <c r="F1037">
        <v>-0.11070110701107</v>
      </c>
      <c r="G1037">
        <v>-0.43160377358490498</v>
      </c>
      <c r="H1037">
        <v>-0.42755344418052199</v>
      </c>
      <c r="I1037">
        <v>-0.76487804878048704</v>
      </c>
    </row>
    <row r="1038" spans="1:9" x14ac:dyDescent="0.25">
      <c r="A1038" s="1" t="s">
        <v>1050</v>
      </c>
      <c r="B1038" t="str">
        <f>HYPERLINK("https://www.suredividend.com/sure-analysis-research-database/","MYR Group Inc")</f>
        <v>MYR Group Inc</v>
      </c>
      <c r="C1038">
        <v>-2.9329608938547001E-2</v>
      </c>
      <c r="D1038">
        <v>6.9395291583320001E-2</v>
      </c>
      <c r="E1038">
        <v>-3.3514114865804003E-2</v>
      </c>
      <c r="F1038">
        <v>-3.8926916960518997E-2</v>
      </c>
      <c r="G1038">
        <v>0.37773813063732697</v>
      </c>
      <c r="H1038">
        <v>0.40361506614157311</v>
      </c>
      <c r="I1038">
        <v>3.4896640826873382</v>
      </c>
    </row>
    <row r="1039" spans="1:9" x14ac:dyDescent="0.25">
      <c r="A1039" s="1" t="s">
        <v>1051</v>
      </c>
      <c r="B1039" t="str">
        <f>HYPERLINK("https://www.suredividend.com/sure-analysis-research-database/","N-able Inc")</f>
        <v>N-able Inc</v>
      </c>
      <c r="C1039">
        <v>6.5027755749405003E-2</v>
      </c>
      <c r="D1039">
        <v>5.2507836990594997E-2</v>
      </c>
      <c r="E1039">
        <v>-7.8875171467764002E-2</v>
      </c>
      <c r="F1039">
        <v>1.3584905660376999E-2</v>
      </c>
      <c r="G1039">
        <v>0.34165834165834102</v>
      </c>
      <c r="H1039">
        <v>0.30388349514563001</v>
      </c>
      <c r="I1039">
        <v>-0.16062499999999999</v>
      </c>
    </row>
    <row r="1040" spans="1:9" x14ac:dyDescent="0.25">
      <c r="A1040" s="1" t="s">
        <v>1052</v>
      </c>
      <c r="B1040" t="str">
        <f>HYPERLINK("https://www.suredividend.com/sure-analysis-research-database/","Duckhorn Portfolio Inc (The)")</f>
        <v>Duckhorn Portfolio Inc (The)</v>
      </c>
      <c r="C1040">
        <v>-2.9258098223615001E-2</v>
      </c>
      <c r="D1040">
        <v>-6.2563067608476006E-2</v>
      </c>
      <c r="E1040">
        <v>-0.27816627816627798</v>
      </c>
      <c r="F1040">
        <v>-5.6852791878172007E-2</v>
      </c>
      <c r="G1040">
        <v>-0.42936117936117901</v>
      </c>
      <c r="H1040">
        <v>-0.56689976689976607</v>
      </c>
      <c r="I1040">
        <v>-0.45925494761350399</v>
      </c>
    </row>
    <row r="1041" spans="1:9" x14ac:dyDescent="0.25">
      <c r="A1041" s="1" t="s">
        <v>1053</v>
      </c>
      <c r="B1041" t="str">
        <f>HYPERLINK("https://www.suredividend.com/sure-analysis-research-database/","Inari Medical Inc")</f>
        <v>Inari Medical Inc</v>
      </c>
      <c r="C1041">
        <v>-9.9751011515717011E-2</v>
      </c>
      <c r="D1041">
        <v>4.7627671133647007E-2</v>
      </c>
      <c r="E1041">
        <v>3.4698622786621003E-2</v>
      </c>
      <c r="F1041">
        <v>-0.108903265557609</v>
      </c>
      <c r="G1041">
        <v>-0.137211036539895</v>
      </c>
      <c r="H1041">
        <v>-0.28385739044317898</v>
      </c>
      <c r="I1041">
        <v>0.36085626911315011</v>
      </c>
    </row>
    <row r="1042" spans="1:9" x14ac:dyDescent="0.25">
      <c r="A1042" s="1" t="s">
        <v>1054</v>
      </c>
      <c r="B1042" t="str">
        <f>HYPERLINK("https://www.suredividend.com/sure-analysis-research-database/","Nordic American Tankers Ltd")</f>
        <v>Nordic American Tankers Ltd</v>
      </c>
      <c r="C1042">
        <v>0.18136307048446401</v>
      </c>
      <c r="D1042">
        <v>8.5052549630206004E-2</v>
      </c>
      <c r="E1042">
        <v>0.235902125419126</v>
      </c>
      <c r="F1042">
        <v>6.1904761904760998E-2</v>
      </c>
      <c r="G1042">
        <v>0.61261163539067809</v>
      </c>
      <c r="H1042">
        <v>2.0200433369447448</v>
      </c>
      <c r="I1042">
        <v>1.9999327369341491</v>
      </c>
    </row>
    <row r="1043" spans="1:9" x14ac:dyDescent="0.25">
      <c r="A1043" s="1" t="s">
        <v>1055</v>
      </c>
      <c r="B1043" t="str">
        <f>HYPERLINK("https://www.suredividend.com/sure-analysis-research-database/","Nature`s Sunshine Products, Inc.")</f>
        <v>Nature`s Sunshine Products, Inc.</v>
      </c>
      <c r="C1043">
        <v>6.4842355740630006E-2</v>
      </c>
      <c r="D1043">
        <v>9.8159509202453005E-2</v>
      </c>
      <c r="E1043">
        <v>0.318114874815905</v>
      </c>
      <c r="F1043">
        <v>3.5280508964719001E-2</v>
      </c>
      <c r="G1043">
        <v>0.79179179179179104</v>
      </c>
      <c r="H1043">
        <v>-6.3317634746206011E-2</v>
      </c>
      <c r="I1043">
        <v>1.3508089934860259</v>
      </c>
    </row>
    <row r="1044" spans="1:9" x14ac:dyDescent="0.25">
      <c r="A1044" s="1" t="s">
        <v>1056</v>
      </c>
      <c r="B1044" t="str">
        <f>HYPERLINK("https://www.suredividend.com/sure-analysis-research-database/","Nautilus Biotechnology Inc")</f>
        <v>Nautilus Biotechnology Inc</v>
      </c>
      <c r="C1044">
        <v>-1.2698412698411999E-2</v>
      </c>
      <c r="D1044">
        <v>8.7412587412587006E-2</v>
      </c>
      <c r="E1044">
        <v>-0.12394366197183</v>
      </c>
      <c r="F1044">
        <v>4.0133779264214013E-2</v>
      </c>
      <c r="G1044">
        <v>0.509708737864077</v>
      </c>
      <c r="H1044">
        <v>-0.30734966592427598</v>
      </c>
      <c r="I1044">
        <v>-0.71727272727272706</v>
      </c>
    </row>
    <row r="1045" spans="1:9" x14ac:dyDescent="0.25">
      <c r="A1045" s="1" t="s">
        <v>1057</v>
      </c>
      <c r="B1045" t="str">
        <f>HYPERLINK("https://www.suredividend.com/sure-analysis-NAVI/","Navient Corp")</f>
        <v>Navient Corp</v>
      </c>
      <c r="C1045">
        <v>-8.3597883597883005E-2</v>
      </c>
      <c r="D1045">
        <v>2.0233852678702001E-2</v>
      </c>
      <c r="E1045">
        <v>-6.7463522317342012E-2</v>
      </c>
      <c r="F1045">
        <v>-6.9817400644468008E-2</v>
      </c>
      <c r="G1045">
        <v>4.2387621346076002E-2</v>
      </c>
      <c r="H1045">
        <v>-0.13111966167846401</v>
      </c>
      <c r="I1045">
        <v>1.1443339812556479</v>
      </c>
    </row>
    <row r="1046" spans="1:9" x14ac:dyDescent="0.25">
      <c r="A1046" s="1" t="s">
        <v>1058</v>
      </c>
      <c r="B1046" t="str">
        <f>HYPERLINK("https://www.suredividend.com/sure-analysis-research-database/","National Bank Holdings Corp")</f>
        <v>National Bank Holdings Corp</v>
      </c>
      <c r="C1046">
        <v>-6.4283809015737006E-2</v>
      </c>
      <c r="D1046">
        <v>0.18542748718433899</v>
      </c>
      <c r="E1046">
        <v>8.1437683232475008E-2</v>
      </c>
      <c r="F1046">
        <v>-5.6735681634847997E-2</v>
      </c>
      <c r="G1046">
        <v>-0.180028984152213</v>
      </c>
      <c r="H1046">
        <v>-0.218065626316505</v>
      </c>
      <c r="I1046">
        <v>0.21803440912484101</v>
      </c>
    </row>
    <row r="1047" spans="1:9" x14ac:dyDescent="0.25">
      <c r="A1047" s="1" t="s">
        <v>1059</v>
      </c>
      <c r="B1047" t="str">
        <f>HYPERLINK("https://www.suredividend.com/sure-analysis-research-database/","Northeast Bank")</f>
        <v>Northeast Bank</v>
      </c>
      <c r="C1047">
        <v>-5.9658057475445003E-2</v>
      </c>
      <c r="D1047">
        <v>0.19613903901680599</v>
      </c>
      <c r="E1047">
        <v>0.22409743531461901</v>
      </c>
      <c r="F1047">
        <v>-6.3236093495198001E-2</v>
      </c>
      <c r="G1047">
        <v>0.19728029790742199</v>
      </c>
      <c r="H1047">
        <v>0.33075590539020511</v>
      </c>
      <c r="I1047">
        <v>1.442481220768177</v>
      </c>
    </row>
    <row r="1048" spans="1:9" x14ac:dyDescent="0.25">
      <c r="A1048" s="1" t="s">
        <v>1060</v>
      </c>
      <c r="B1048" t="str">
        <f>HYPERLINK("https://www.suredividend.com/sure-analysis-research-database/","Nabors Industries Ltd")</f>
        <v>Nabors Industries Ltd</v>
      </c>
      <c r="C1048">
        <v>-4.3728135932033001E-2</v>
      </c>
      <c r="D1048">
        <v>-0.35327418673426197</v>
      </c>
      <c r="E1048">
        <v>-0.310698847262247</v>
      </c>
      <c r="F1048">
        <v>-6.2354526522111008E-2</v>
      </c>
      <c r="G1048">
        <v>-0.54696655815329909</v>
      </c>
      <c r="H1048">
        <v>-0.25195465207193102</v>
      </c>
      <c r="I1048">
        <v>-0.43555196660803802</v>
      </c>
    </row>
    <row r="1049" spans="1:9" x14ac:dyDescent="0.25">
      <c r="A1049" s="1" t="s">
        <v>1061</v>
      </c>
      <c r="B1049" t="str">
        <f>HYPERLINK("https://www.suredividend.com/sure-analysis-research-database/","NBT Bancorp. Inc.")</f>
        <v>NBT Bancorp. Inc.</v>
      </c>
      <c r="C1049">
        <v>-2.0699852143913001E-2</v>
      </c>
      <c r="D1049">
        <v>0.242865408372296</v>
      </c>
      <c r="E1049">
        <v>0.237605261846629</v>
      </c>
      <c r="F1049">
        <v>-5.1777618706752002E-2</v>
      </c>
      <c r="G1049">
        <v>-4.8109512916631E-2</v>
      </c>
      <c r="H1049">
        <v>4.2363389805612002E-2</v>
      </c>
      <c r="I1049">
        <v>0.30901089634636397</v>
      </c>
    </row>
    <row r="1050" spans="1:9" x14ac:dyDescent="0.25">
      <c r="A1050" s="1" t="s">
        <v>1062</v>
      </c>
      <c r="B1050" t="str">
        <f>HYPERLINK("https://www.suredividend.com/sure-analysis-NC/","Nacco Industries Inc.")</f>
        <v>Nacco Industries Inc.</v>
      </c>
      <c r="C1050">
        <v>0.10312965722801699</v>
      </c>
      <c r="D1050">
        <v>3.3761343861815001E-2</v>
      </c>
      <c r="E1050">
        <v>5.3569496871459003E-2</v>
      </c>
      <c r="F1050">
        <v>1.3972602739726E-2</v>
      </c>
      <c r="G1050">
        <v>2.3783012442800001E-4</v>
      </c>
      <c r="H1050">
        <v>0.11255069004596201</v>
      </c>
      <c r="I1050">
        <v>0.16502715038954899</v>
      </c>
    </row>
    <row r="1051" spans="1:9" x14ac:dyDescent="0.25">
      <c r="A1051" s="1" t="s">
        <v>1063</v>
      </c>
      <c r="B1051" t="str">
        <f>HYPERLINK("https://www.suredividend.com/sure-analysis-research-database/","Noodles &amp; Company")</f>
        <v>Noodles &amp; Company</v>
      </c>
      <c r="C1051">
        <v>-0.229813664596273</v>
      </c>
      <c r="D1051">
        <v>0.117117117117117</v>
      </c>
      <c r="E1051">
        <v>-0.2</v>
      </c>
      <c r="F1051">
        <v>-0.212698412698412</v>
      </c>
      <c r="G1051">
        <v>-0.60192616372391605</v>
      </c>
      <c r="H1051">
        <v>-0.71657142857142808</v>
      </c>
      <c r="I1051">
        <v>-0.65119549929676501</v>
      </c>
    </row>
    <row r="1052" spans="1:9" x14ac:dyDescent="0.25">
      <c r="A1052" s="1" t="s">
        <v>1064</v>
      </c>
      <c r="B1052" t="str">
        <f>HYPERLINK("https://www.suredividend.com/sure-analysis-research-database/","Noble Corp Plc")</f>
        <v>Noble Corp Plc</v>
      </c>
      <c r="C1052">
        <v>3.3487297921477997E-2</v>
      </c>
      <c r="D1052">
        <v>-7.3911198948708012E-2</v>
      </c>
      <c r="E1052">
        <v>-7.9842905023338004E-2</v>
      </c>
      <c r="F1052">
        <v>-7.0805647840531005E-2</v>
      </c>
      <c r="G1052">
        <v>0.15912522955860001</v>
      </c>
      <c r="H1052">
        <v>0.51963297892209603</v>
      </c>
      <c r="I1052">
        <v>0.51963297892209603</v>
      </c>
    </row>
    <row r="1053" spans="1:9" x14ac:dyDescent="0.25">
      <c r="A1053" s="1" t="s">
        <v>1065</v>
      </c>
      <c r="B1053" t="str">
        <f>HYPERLINK("https://www.suredividend.com/sure-analysis-research-database/","Neogenomics Inc.")</f>
        <v>Neogenomics Inc.</v>
      </c>
      <c r="C1053">
        <v>-0.16824395373291201</v>
      </c>
      <c r="D1053">
        <v>0.2656</v>
      </c>
      <c r="E1053">
        <v>-8.9758342922899012E-2</v>
      </c>
      <c r="F1053">
        <v>-2.2249690976514001E-2</v>
      </c>
      <c r="G1053">
        <v>0.44080145719489899</v>
      </c>
      <c r="H1053">
        <v>-0.36694677871148401</v>
      </c>
      <c r="I1053">
        <v>2.9947916666666002E-2</v>
      </c>
    </row>
    <row r="1054" spans="1:9" x14ac:dyDescent="0.25">
      <c r="A1054" s="1" t="s">
        <v>1066</v>
      </c>
      <c r="B1054" t="str">
        <f>HYPERLINK("https://www.suredividend.com/sure-analysis-research-database/","Neogen Corp.")</f>
        <v>Neogen Corp.</v>
      </c>
      <c r="C1054">
        <v>-2.6766595289079001E-2</v>
      </c>
      <c r="D1054">
        <v>0.17517776341305699</v>
      </c>
      <c r="E1054">
        <v>-0.190921228304405</v>
      </c>
      <c r="F1054">
        <v>-9.5972153157632009E-2</v>
      </c>
      <c r="G1054">
        <v>1.7917133258678001E-2</v>
      </c>
      <c r="H1054">
        <v>-0.53324775353016707</v>
      </c>
      <c r="I1054">
        <v>-0.38539553752535399</v>
      </c>
    </row>
    <row r="1055" spans="1:9" x14ac:dyDescent="0.25">
      <c r="A1055" s="1" t="s">
        <v>1067</v>
      </c>
      <c r="B1055" t="str">
        <f>HYPERLINK("https://www.suredividend.com/sure-analysis-research-database/","Eneti Inc")</f>
        <v>Eneti Inc</v>
      </c>
      <c r="C1055">
        <v>8.317399617590801E-2</v>
      </c>
      <c r="D1055">
        <v>0.125090612990675</v>
      </c>
      <c r="E1055">
        <v>-4.2864142463715997E-2</v>
      </c>
      <c r="F1055">
        <v>0.13202645724676701</v>
      </c>
      <c r="G1055">
        <v>0.163280183167859</v>
      </c>
      <c r="H1055">
        <v>0.52942764578833601</v>
      </c>
      <c r="I1055">
        <v>-0.58171816738656901</v>
      </c>
    </row>
    <row r="1056" spans="1:9" x14ac:dyDescent="0.25">
      <c r="A1056" s="1" t="s">
        <v>1068</v>
      </c>
      <c r="B1056" t="str">
        <f>HYPERLINK("https://www.suredividend.com/sure-analysis-research-database/","NexTier Oilfield Solutions Inc")</f>
        <v>NexTier Oilfield Solutions Inc</v>
      </c>
      <c r="C1056">
        <v>-0.10989932885905999</v>
      </c>
      <c r="D1056">
        <v>0.407161803713527</v>
      </c>
      <c r="E1056">
        <v>0.16210295728367999</v>
      </c>
      <c r="F1056">
        <v>0.14826839826839799</v>
      </c>
      <c r="G1056">
        <v>0.13233724653148299</v>
      </c>
      <c r="H1056">
        <v>1.947222222222222</v>
      </c>
      <c r="I1056">
        <v>-0.13599348534201899</v>
      </c>
    </row>
    <row r="1057" spans="1:9" x14ac:dyDescent="0.25">
      <c r="A1057" s="1" t="s">
        <v>1069</v>
      </c>
      <c r="B1057" t="str">
        <f>HYPERLINK("https://www.suredividend.com/sure-analysis-research-database/","NextDecade Corporation")</f>
        <v>NextDecade Corporation</v>
      </c>
      <c r="C1057">
        <v>-2.1459227467810001E-3</v>
      </c>
      <c r="D1057">
        <v>1.9736842105263001E-2</v>
      </c>
      <c r="E1057">
        <v>-0.24390243902438999</v>
      </c>
      <c r="F1057">
        <v>-2.5157232704402E-2</v>
      </c>
      <c r="G1057">
        <v>-0.16064981949458401</v>
      </c>
      <c r="H1057">
        <v>0.87500000000000011</v>
      </c>
      <c r="I1057">
        <v>-1.8987341772151001E-2</v>
      </c>
    </row>
    <row r="1058" spans="1:9" x14ac:dyDescent="0.25">
      <c r="A1058" s="1" t="s">
        <v>1070</v>
      </c>
      <c r="B1058" t="str">
        <f>HYPERLINK("https://www.suredividend.com/sure-analysis-research-database/","Northfield Bancorp Inc")</f>
        <v>Northfield Bancorp Inc</v>
      </c>
      <c r="C1058">
        <v>1.6722408026754999E-2</v>
      </c>
      <c r="D1058">
        <v>0.38411455369135111</v>
      </c>
      <c r="E1058">
        <v>0.14230960723713201</v>
      </c>
      <c r="F1058">
        <v>-3.3386327503974002E-2</v>
      </c>
      <c r="G1058">
        <v>-0.16770475421281</v>
      </c>
      <c r="H1058">
        <v>-0.20270137363537999</v>
      </c>
      <c r="I1058">
        <v>7.5944326959660011E-2</v>
      </c>
    </row>
    <row r="1059" spans="1:9" x14ac:dyDescent="0.25">
      <c r="A1059" s="1" t="s">
        <v>1071</v>
      </c>
      <c r="B1059" t="str">
        <f>HYPERLINK("https://www.suredividend.com/sure-analysis-research-database/","Novagold Resources Inc.")</f>
        <v>Novagold Resources Inc.</v>
      </c>
      <c r="C1059">
        <v>-2.7397260273972001E-2</v>
      </c>
      <c r="D1059">
        <v>-6.0846560846559997E-2</v>
      </c>
      <c r="E1059">
        <v>-0.20045045045045001</v>
      </c>
      <c r="F1059">
        <v>-5.0802139037432997E-2</v>
      </c>
      <c r="G1059">
        <v>-0.47794117647058798</v>
      </c>
      <c r="H1059">
        <v>-0.46616541353383412</v>
      </c>
      <c r="I1059">
        <v>-8.5051546391752011E-2</v>
      </c>
    </row>
    <row r="1060" spans="1:9" x14ac:dyDescent="0.25">
      <c r="A1060" s="1" t="s">
        <v>1072</v>
      </c>
      <c r="B1060" t="str">
        <f>HYPERLINK("https://www.suredividend.com/sure-analysis-research-database/","Ngm Biopharmaceuticals Inc")</f>
        <v>Ngm Biopharmaceuticals Inc</v>
      </c>
      <c r="C1060">
        <v>0.82648401826484008</v>
      </c>
      <c r="D1060">
        <v>0.22807017543859601</v>
      </c>
      <c r="E1060">
        <v>-0.51724137931034408</v>
      </c>
      <c r="F1060">
        <v>0.62980209545983601</v>
      </c>
      <c r="G1060">
        <v>-0.73584905660377309</v>
      </c>
      <c r="H1060">
        <v>-0.91172761664564905</v>
      </c>
      <c r="I1060">
        <v>-0.9047619047619041</v>
      </c>
    </row>
    <row r="1061" spans="1:9" x14ac:dyDescent="0.25">
      <c r="A1061" s="1" t="s">
        <v>1073</v>
      </c>
      <c r="B1061" t="str">
        <f>HYPERLINK("https://www.suredividend.com/sure-analysis-research-database/","NeoGames SA")</f>
        <v>NeoGames SA</v>
      </c>
      <c r="C1061">
        <v>1.4285714285710001E-3</v>
      </c>
      <c r="D1061">
        <v>8.5349332301141001E-2</v>
      </c>
      <c r="E1061">
        <v>3.6598890942697998E-2</v>
      </c>
      <c r="F1061">
        <v>-2.0607754104085999E-2</v>
      </c>
      <c r="G1061">
        <v>1.2871125611745511</v>
      </c>
      <c r="H1061">
        <v>0.13522267206477701</v>
      </c>
      <c r="I1061">
        <v>0.28212162780063998</v>
      </c>
    </row>
    <row r="1062" spans="1:9" x14ac:dyDescent="0.25">
      <c r="A1062" s="1" t="s">
        <v>1074</v>
      </c>
      <c r="B1062" t="str">
        <f>HYPERLINK("https://www.suredividend.com/sure-analysis-research-database/","Natural Grocers by Vitamin Cottage Inc")</f>
        <v>Natural Grocers by Vitamin Cottage Inc</v>
      </c>
      <c r="C1062">
        <v>-3.1055900621118002E-2</v>
      </c>
      <c r="D1062">
        <v>0.211669307484388</v>
      </c>
      <c r="E1062">
        <v>0.260096930533117</v>
      </c>
      <c r="F1062">
        <v>-2.5000000000000001E-2</v>
      </c>
      <c r="G1062">
        <v>0.58738234545917001</v>
      </c>
      <c r="H1062">
        <v>0.17009945845396801</v>
      </c>
      <c r="I1062">
        <v>0.105175907165223</v>
      </c>
    </row>
    <row r="1063" spans="1:9" x14ac:dyDescent="0.25">
      <c r="A1063" s="1" t="s">
        <v>1075</v>
      </c>
      <c r="B1063" t="str">
        <f>HYPERLINK("https://www.suredividend.com/sure-analysis-research-database/","Ingevity Corp")</f>
        <v>Ingevity Corp</v>
      </c>
      <c r="C1063">
        <v>-4.0083410565338012E-2</v>
      </c>
      <c r="D1063">
        <v>2.5748947759346E-2</v>
      </c>
      <c r="E1063">
        <v>-0.317350469599604</v>
      </c>
      <c r="F1063">
        <v>-0.12261753494282</v>
      </c>
      <c r="G1063">
        <v>-0.49252817246447811</v>
      </c>
      <c r="H1063">
        <v>-0.44262074532490198</v>
      </c>
      <c r="I1063">
        <v>-0.53043182590955407</v>
      </c>
    </row>
    <row r="1064" spans="1:9" x14ac:dyDescent="0.25">
      <c r="A1064" s="1" t="s">
        <v>1076</v>
      </c>
      <c r="B1064" t="str">
        <f>HYPERLINK("https://www.suredividend.com/sure-analysis-NHC/","National Healthcare Corp.")</f>
        <v>National Healthcare Corp.</v>
      </c>
      <c r="C1064">
        <v>7.3498078197043001E-2</v>
      </c>
      <c r="D1064">
        <v>0.5356717677018531</v>
      </c>
      <c r="E1064">
        <v>0.73708467997973703</v>
      </c>
      <c r="F1064">
        <v>5.3776238909327007E-2</v>
      </c>
      <c r="G1064">
        <v>0.7618093143072161</v>
      </c>
      <c r="H1064">
        <v>0.55029751576722108</v>
      </c>
      <c r="I1064">
        <v>0.51357147852574803</v>
      </c>
    </row>
    <row r="1065" spans="1:9" x14ac:dyDescent="0.25">
      <c r="A1065" s="1" t="s">
        <v>1077</v>
      </c>
      <c r="B1065" t="str">
        <f>HYPERLINK("https://www.suredividend.com/sure-analysis-NHI/","National Health Investors, Inc.")</f>
        <v>National Health Investors, Inc.</v>
      </c>
      <c r="C1065">
        <v>1.1983211701022E-2</v>
      </c>
      <c r="D1065">
        <v>0.157221849591833</v>
      </c>
      <c r="E1065">
        <v>8.8246210176323003E-2</v>
      </c>
      <c r="F1065">
        <v>1.3249776186212999E-2</v>
      </c>
      <c r="G1065">
        <v>9.9225550049823003E-2</v>
      </c>
      <c r="H1065">
        <v>7.9856731501323011E-2</v>
      </c>
      <c r="I1065">
        <v>-1.008111422289E-2</v>
      </c>
    </row>
    <row r="1066" spans="1:9" x14ac:dyDescent="0.25">
      <c r="A1066" s="1" t="s">
        <v>1078</v>
      </c>
      <c r="B1066" t="str">
        <f>HYPERLINK("https://www.suredividend.com/sure-analysis-research-database/","Nicolet Bankshares Inc.")</f>
        <v>Nicolet Bankshares Inc.</v>
      </c>
      <c r="C1066">
        <v>-5.5257379848743002E-2</v>
      </c>
      <c r="D1066">
        <v>0.12360039576267</v>
      </c>
      <c r="E1066">
        <v>0.101674060945547</v>
      </c>
      <c r="F1066">
        <v>-3.7649105367793E-2</v>
      </c>
      <c r="G1066">
        <v>-2.5333771272452E-2</v>
      </c>
      <c r="H1066">
        <v>-0.11868456986800099</v>
      </c>
      <c r="I1066">
        <v>0.49056966897613502</v>
      </c>
    </row>
    <row r="1067" spans="1:9" x14ac:dyDescent="0.25">
      <c r="A1067" s="1" t="s">
        <v>1079</v>
      </c>
      <c r="B1067" t="str">
        <f>HYPERLINK("https://www.suredividend.com/sure-analysis-NJR/","New Jersey Resources Corporation")</f>
        <v>New Jersey Resources Corporation</v>
      </c>
      <c r="C1067">
        <v>-4.6635576282477997E-2</v>
      </c>
      <c r="D1067">
        <v>3.0749616440132001E-2</v>
      </c>
      <c r="E1067">
        <v>-6.4149265249265008E-2</v>
      </c>
      <c r="F1067">
        <v>-3.7012113055180998E-2</v>
      </c>
      <c r="G1067">
        <v>-0.129666159157764</v>
      </c>
      <c r="H1067">
        <v>0.18718077060282601</v>
      </c>
      <c r="I1067">
        <v>0.134675667246382</v>
      </c>
    </row>
    <row r="1068" spans="1:9" x14ac:dyDescent="0.25">
      <c r="A1068" s="1" t="s">
        <v>1080</v>
      </c>
      <c r="B1068" t="str">
        <f>HYPERLINK("https://www.suredividend.com/sure-analysis-research-database/","Nikola Corp")</f>
        <v>Nikola Corp</v>
      </c>
      <c r="C1068">
        <v>-0.12456228114057</v>
      </c>
      <c r="D1068">
        <v>-0.45736434108527102</v>
      </c>
      <c r="E1068">
        <v>-0.68468468468468402</v>
      </c>
      <c r="F1068">
        <v>-0.199817101051669</v>
      </c>
      <c r="G1068">
        <v>-0.72549019607843102</v>
      </c>
      <c r="H1068">
        <v>-0.93137254901960809</v>
      </c>
      <c r="I1068">
        <v>-0.92820512820512813</v>
      </c>
    </row>
    <row r="1069" spans="1:9" x14ac:dyDescent="0.25">
      <c r="A1069" s="1" t="s">
        <v>1081</v>
      </c>
      <c r="B1069" t="str">
        <f>HYPERLINK("https://www.suredividend.com/sure-analysis-research-database/","Nektar Therapeutics")</f>
        <v>Nektar Therapeutics</v>
      </c>
      <c r="C1069">
        <v>7.0755662457405999E-2</v>
      </c>
      <c r="D1069">
        <v>-7.0631970260220008E-3</v>
      </c>
      <c r="E1069">
        <v>-6.8688981868898005E-2</v>
      </c>
      <c r="F1069">
        <v>-5.4513274336283002E-2</v>
      </c>
      <c r="G1069">
        <v>-0.78801587301587306</v>
      </c>
      <c r="H1069">
        <v>-0.95548333333333313</v>
      </c>
      <c r="I1069">
        <v>-0.98697390880273106</v>
      </c>
    </row>
    <row r="1070" spans="1:9" x14ac:dyDescent="0.25">
      <c r="A1070" s="1" t="s">
        <v>1082</v>
      </c>
      <c r="B1070" t="str">
        <f>HYPERLINK("https://www.suredividend.com/sure-analysis-research-database/","Nkarta Inc")</f>
        <v>Nkarta Inc</v>
      </c>
      <c r="C1070">
        <v>2.2050359712230212</v>
      </c>
      <c r="D1070">
        <v>4.7857142857142856</v>
      </c>
      <c r="E1070">
        <v>3.3147699757869251</v>
      </c>
      <c r="F1070">
        <v>0.35</v>
      </c>
      <c r="G1070">
        <v>0.59964093357271009</v>
      </c>
      <c r="H1070">
        <v>-0.27205882352941102</v>
      </c>
      <c r="I1070">
        <v>-0.81398747390396609</v>
      </c>
    </row>
    <row r="1071" spans="1:9" x14ac:dyDescent="0.25">
      <c r="A1071" s="1" t="s">
        <v>1083</v>
      </c>
      <c r="B1071" t="str">
        <f>HYPERLINK("https://www.suredividend.com/sure-analysis-research-database/","NL Industries, Inc.")</f>
        <v>NL Industries, Inc.</v>
      </c>
      <c r="C1071">
        <v>5.4216867469879013E-2</v>
      </c>
      <c r="D1071">
        <v>0.15687181860249799</v>
      </c>
      <c r="E1071">
        <v>-5.8836183715176002E-2</v>
      </c>
      <c r="F1071">
        <v>-6.4171122994652011E-2</v>
      </c>
      <c r="G1071">
        <v>-0.26800702713253899</v>
      </c>
      <c r="H1071">
        <v>-0.17170219143934401</v>
      </c>
      <c r="I1071">
        <v>0.55399005446365102</v>
      </c>
    </row>
    <row r="1072" spans="1:9" x14ac:dyDescent="0.25">
      <c r="A1072" s="1" t="s">
        <v>1084</v>
      </c>
      <c r="B1072" t="str">
        <f>HYPERLINK("https://www.suredividend.com/sure-analysis-research-database/","NMI Holdings Inc")</f>
        <v>NMI Holdings Inc</v>
      </c>
      <c r="C1072">
        <v>1.7193947730398E-2</v>
      </c>
      <c r="D1072">
        <v>0.10331965684446</v>
      </c>
      <c r="E1072">
        <v>0.12215477996965</v>
      </c>
      <c r="F1072">
        <v>-3.3692722371959998E-3</v>
      </c>
      <c r="G1072">
        <v>0.37581395348837199</v>
      </c>
      <c r="H1072">
        <v>0.17661097852028601</v>
      </c>
      <c r="I1072">
        <v>0.55031446540880502</v>
      </c>
    </row>
    <row r="1073" spans="1:9" x14ac:dyDescent="0.25">
      <c r="A1073" s="1" t="s">
        <v>1085</v>
      </c>
      <c r="B1073" t="str">
        <f>HYPERLINK("https://www.suredividend.com/sure-analysis-research-database/","Newmark Group Inc")</f>
        <v>Newmark Group Inc</v>
      </c>
      <c r="C1073">
        <v>4.1890440386680002E-2</v>
      </c>
      <c r="D1073">
        <v>0.67019646331594207</v>
      </c>
      <c r="E1073">
        <v>0.37327632584874099</v>
      </c>
      <c r="F1073">
        <v>-0.11496350364963499</v>
      </c>
      <c r="G1073">
        <v>0.13010147612223699</v>
      </c>
      <c r="H1073">
        <v>-0.40320546343864411</v>
      </c>
      <c r="I1073">
        <v>0.112538422718722</v>
      </c>
    </row>
    <row r="1074" spans="1:9" x14ac:dyDescent="0.25">
      <c r="A1074" s="1" t="s">
        <v>1086</v>
      </c>
      <c r="B1074" t="str">
        <f>HYPERLINK("https://www.suredividend.com/sure-analysis-research-database/","NextNav Inc")</f>
        <v>NextNav Inc</v>
      </c>
      <c r="C1074">
        <v>-2.6894865525671999E-2</v>
      </c>
      <c r="D1074">
        <v>-0.136659436008676</v>
      </c>
      <c r="E1074">
        <v>0.243749999999999</v>
      </c>
      <c r="F1074">
        <v>-0.105617977528089</v>
      </c>
      <c r="G1074">
        <v>0.32666666666666611</v>
      </c>
      <c r="H1074">
        <v>-0.54041570438799003</v>
      </c>
      <c r="I1074">
        <v>-0.636529680365296</v>
      </c>
    </row>
    <row r="1075" spans="1:9" x14ac:dyDescent="0.25">
      <c r="A1075" s="1" t="s">
        <v>1087</v>
      </c>
      <c r="B1075" t="str">
        <f>HYPERLINK("https://www.suredividend.com/sure-analysis-research-database/","Nelnet Inc")</f>
        <v>Nelnet Inc</v>
      </c>
      <c r="C1075">
        <v>-5.4214123006833002E-2</v>
      </c>
      <c r="D1075">
        <v>-5.1891364835719003E-2</v>
      </c>
      <c r="E1075">
        <v>-0.138242363108803</v>
      </c>
      <c r="F1075">
        <v>-5.8716844253002998E-2</v>
      </c>
      <c r="G1075">
        <v>-0.104994955896427</v>
      </c>
      <c r="H1075">
        <v>-8.4190709785285006E-2</v>
      </c>
      <c r="I1075">
        <v>0.65490522757936209</v>
      </c>
    </row>
    <row r="1076" spans="1:9" x14ac:dyDescent="0.25">
      <c r="A1076" s="1" t="s">
        <v>1088</v>
      </c>
      <c r="B1076" t="str">
        <f>HYPERLINK("https://www.suredividend.com/sure-analysis-research-database/","Nano X Imaging Ltd")</f>
        <v>Nano X Imaging Ltd</v>
      </c>
      <c r="C1076">
        <v>-0.15509601181683799</v>
      </c>
      <c r="D1076">
        <v>-0.111801242236024</v>
      </c>
      <c r="E1076">
        <v>-0.64047768698931506</v>
      </c>
      <c r="F1076">
        <v>-0.10204081632653</v>
      </c>
      <c r="G1076">
        <v>-0.33719582850521401</v>
      </c>
      <c r="H1076">
        <v>-0.52883031301482708</v>
      </c>
      <c r="I1076">
        <v>-0.73640552995391706</v>
      </c>
    </row>
    <row r="1077" spans="1:9" x14ac:dyDescent="0.25">
      <c r="A1077" s="1" t="s">
        <v>1089</v>
      </c>
      <c r="B1077" t="str">
        <f>HYPERLINK("https://www.suredividend.com/sure-analysis-research-database/","NI Holdings Inc")</f>
        <v>NI Holdings Inc</v>
      </c>
      <c r="C1077">
        <v>-3.9009752438109002E-2</v>
      </c>
      <c r="D1077">
        <v>4.4861337683523003E-2</v>
      </c>
      <c r="E1077">
        <v>-8.1061692969870008E-2</v>
      </c>
      <c r="F1077">
        <v>-1.3856812933025001E-2</v>
      </c>
      <c r="G1077">
        <v>-4.2600896860985997E-2</v>
      </c>
      <c r="H1077">
        <v>-0.30076419213973798</v>
      </c>
      <c r="I1077">
        <v>-0.17884615384615299</v>
      </c>
    </row>
    <row r="1078" spans="1:9" x14ac:dyDescent="0.25">
      <c r="A1078" s="1" t="s">
        <v>1090</v>
      </c>
      <c r="B1078" t="str">
        <f>HYPERLINK("https://www.suredividend.com/sure-analysis-research-database/","Northern Oil and Gas Inc.")</f>
        <v>Northern Oil and Gas Inc.</v>
      </c>
      <c r="C1078">
        <v>2.5822426600635998E-2</v>
      </c>
      <c r="D1078">
        <v>-0.10351464143078599</v>
      </c>
      <c r="E1078">
        <v>2.8436439138926999E-2</v>
      </c>
      <c r="F1078">
        <v>-2.9943350418126999E-2</v>
      </c>
      <c r="G1078">
        <v>0.17140800244966201</v>
      </c>
      <c r="H1078">
        <v>0.70290146754495209</v>
      </c>
      <c r="I1078">
        <v>0.56076388888888906</v>
      </c>
    </row>
    <row r="1079" spans="1:9" x14ac:dyDescent="0.25">
      <c r="A1079" s="1" t="s">
        <v>1091</v>
      </c>
      <c r="B1079" t="str">
        <f>HYPERLINK("https://www.suredividend.com/sure-analysis-research-database/","Inotiv Inc")</f>
        <v>Inotiv Inc</v>
      </c>
      <c r="C1079">
        <v>0.46739130434782611</v>
      </c>
      <c r="D1079">
        <v>0.97560975609756106</v>
      </c>
      <c r="E1079">
        <v>-0.176829268292682</v>
      </c>
      <c r="F1079">
        <v>0.103542234332425</v>
      </c>
      <c r="G1079">
        <v>-0.50123152709359609</v>
      </c>
      <c r="H1079">
        <v>-0.87406716417910402</v>
      </c>
      <c r="I1079">
        <v>2.1672792680065691</v>
      </c>
    </row>
    <row r="1080" spans="1:9" x14ac:dyDescent="0.25">
      <c r="A1080" s="1" t="s">
        <v>1092</v>
      </c>
      <c r="B1080" t="str">
        <f>HYPERLINK("https://www.suredividend.com/sure-analysis-research-database/","Sunnova Energy International Inc")</f>
        <v>Sunnova Energy International Inc</v>
      </c>
      <c r="C1080">
        <v>-3.3585222502089999E-3</v>
      </c>
      <c r="D1080">
        <v>0.16144814090019499</v>
      </c>
      <c r="E1080">
        <v>-0.45198522622345311</v>
      </c>
      <c r="F1080">
        <v>-0.22163934426229501</v>
      </c>
      <c r="G1080">
        <v>-0.44141176470588211</v>
      </c>
      <c r="H1080">
        <v>-0.50644490644490603</v>
      </c>
      <c r="I1080">
        <v>5.5111111111111007E-2</v>
      </c>
    </row>
    <row r="1081" spans="1:9" x14ac:dyDescent="0.25">
      <c r="A1081" s="1" t="s">
        <v>1093</v>
      </c>
      <c r="B1081" t="str">
        <f>HYPERLINK("https://www.suredividend.com/sure-analysis-research-database/","Novanta Inc")</f>
        <v>Novanta Inc</v>
      </c>
      <c r="C1081">
        <v>-2.6572464674251998E-2</v>
      </c>
      <c r="D1081">
        <v>5.4595949332791001E-2</v>
      </c>
      <c r="E1081">
        <v>-0.14121021567653999</v>
      </c>
      <c r="F1081">
        <v>-7.5529956653405006E-2</v>
      </c>
      <c r="G1081">
        <v>3.4416317852634E-2</v>
      </c>
      <c r="H1081">
        <v>-1.5181225883990001E-2</v>
      </c>
      <c r="I1081">
        <v>1.3044701006512729</v>
      </c>
    </row>
    <row r="1082" spans="1:9" x14ac:dyDescent="0.25">
      <c r="A1082" s="1" t="s">
        <v>1094</v>
      </c>
      <c r="B1082" t="str">
        <f>HYPERLINK("https://www.suredividend.com/sure-analysis-research-database/","National Presto Industries, Inc.")</f>
        <v>National Presto Industries, Inc.</v>
      </c>
      <c r="C1082">
        <v>6.6650209824730003E-3</v>
      </c>
      <c r="D1082">
        <v>0.10156672069151799</v>
      </c>
      <c r="E1082">
        <v>6.1840906132013013E-2</v>
      </c>
      <c r="F1082">
        <v>1.5944195316392001E-2</v>
      </c>
      <c r="G1082">
        <v>0.181977595177021</v>
      </c>
      <c r="H1082">
        <v>7.437198840384001E-3</v>
      </c>
      <c r="I1082">
        <v>-0.23194708382851201</v>
      </c>
    </row>
    <row r="1083" spans="1:9" x14ac:dyDescent="0.25">
      <c r="A1083" s="1" t="s">
        <v>1095</v>
      </c>
      <c r="B1083" t="str">
        <f>HYPERLINK("https://www.suredividend.com/sure-analysis-research-database/","Enpro Inc")</f>
        <v>Enpro Inc</v>
      </c>
      <c r="C1083">
        <v>2.4983984625239999E-2</v>
      </c>
      <c r="D1083">
        <v>0.177107226293959</v>
      </c>
      <c r="E1083">
        <v>4.0653414716284003E-2</v>
      </c>
      <c r="F1083">
        <v>-8.1281102462677002E-2</v>
      </c>
      <c r="G1083">
        <v>0.23654930611550901</v>
      </c>
      <c r="H1083">
        <v>0.25641842223511602</v>
      </c>
      <c r="I1083">
        <v>1.4171050467139119</v>
      </c>
    </row>
    <row r="1084" spans="1:9" x14ac:dyDescent="0.25">
      <c r="A1084" s="1" t="s">
        <v>1096</v>
      </c>
      <c r="B1084" t="str">
        <f>HYPERLINK("https://www.suredividend.com/sure-analysis-research-database/","Newpark Resources, Inc.")</f>
        <v>Newpark Resources, Inc.</v>
      </c>
      <c r="C1084">
        <v>-6.9423929098966011E-2</v>
      </c>
      <c r="D1084">
        <v>-0.10256410256410201</v>
      </c>
      <c r="E1084">
        <v>0.195445920303605</v>
      </c>
      <c r="F1084">
        <v>-5.1204819277108002E-2</v>
      </c>
      <c r="G1084">
        <v>0.293634496919917</v>
      </c>
      <c r="H1084">
        <v>0.76470588235294101</v>
      </c>
      <c r="I1084">
        <v>-0.228886168910648</v>
      </c>
    </row>
    <row r="1085" spans="1:9" x14ac:dyDescent="0.25">
      <c r="A1085" s="1" t="s">
        <v>1097</v>
      </c>
      <c r="B1085" t="str">
        <f>HYPERLINK("https://www.suredividend.com/sure-analysis-research-database/","National Research Corp")</f>
        <v>National Research Corp</v>
      </c>
      <c r="C1085">
        <v>-4.6030605909351013E-2</v>
      </c>
      <c r="D1085">
        <v>-6.3929013422273001E-2</v>
      </c>
      <c r="E1085">
        <v>-2.1099576509387999E-2</v>
      </c>
      <c r="F1085">
        <v>-9.6056622851360008E-3</v>
      </c>
      <c r="G1085">
        <v>-1.4208183732673E-2</v>
      </c>
      <c r="H1085">
        <v>0.103428853059212</v>
      </c>
      <c r="I1085">
        <v>0.14259717762749199</v>
      </c>
    </row>
    <row r="1086" spans="1:9" x14ac:dyDescent="0.25">
      <c r="A1086" s="1" t="s">
        <v>1098</v>
      </c>
      <c r="B1086" t="str">
        <f>HYPERLINK("https://www.suredividend.com/sure-analysis-research-database/","Nerdwallet Inc")</f>
        <v>Nerdwallet Inc</v>
      </c>
      <c r="C1086">
        <v>2.2906227630636E-2</v>
      </c>
      <c r="D1086">
        <v>0.73212121212121206</v>
      </c>
      <c r="E1086">
        <v>0.42757242757242703</v>
      </c>
      <c r="F1086">
        <v>-2.9211956521739E-2</v>
      </c>
      <c r="G1086">
        <v>0.38737864077669798</v>
      </c>
      <c r="H1086">
        <v>3.9272727272727001E-2</v>
      </c>
      <c r="I1086">
        <v>-0.49505300353356801</v>
      </c>
    </row>
    <row r="1087" spans="1:9" x14ac:dyDescent="0.25">
      <c r="A1087" s="1" t="s">
        <v>1099</v>
      </c>
      <c r="B1087" t="str">
        <f>HYPERLINK("https://www.suredividend.com/sure-analysis-research-database/","Nerdy Inc")</f>
        <v>Nerdy Inc</v>
      </c>
      <c r="C1087">
        <v>3.7162162162161998E-2</v>
      </c>
      <c r="D1087">
        <v>-8.9020771513353011E-2</v>
      </c>
      <c r="E1087">
        <v>-0.31929046563192898</v>
      </c>
      <c r="F1087">
        <v>-0.104956268221574</v>
      </c>
      <c r="G1087">
        <v>0.128676470588235</v>
      </c>
      <c r="H1087">
        <v>-0.26904761904761898</v>
      </c>
      <c r="I1087">
        <v>-0.68350515463917505</v>
      </c>
    </row>
    <row r="1088" spans="1:9" x14ac:dyDescent="0.25">
      <c r="A1088" s="1" t="s">
        <v>1100</v>
      </c>
      <c r="B1088" t="str">
        <f>HYPERLINK("https://www.suredividend.com/sure-analysis-research-database/","NexPoint Real Estate Finance Inc")</f>
        <v>NexPoint Real Estate Finance Inc</v>
      </c>
      <c r="C1088">
        <v>-2.0357031005323999E-2</v>
      </c>
      <c r="D1088">
        <v>4.2242821252690001E-2</v>
      </c>
      <c r="E1088">
        <v>1.5967052526276001E-2</v>
      </c>
      <c r="F1088">
        <v>-6.9841269841260014E-3</v>
      </c>
      <c r="G1088">
        <v>-2.8009968491114999E-2</v>
      </c>
      <c r="H1088">
        <v>-7.4216576495518008E-2</v>
      </c>
      <c r="I1088">
        <v>0.23423665146230199</v>
      </c>
    </row>
    <row r="1089" spans="1:9" x14ac:dyDescent="0.25">
      <c r="A1089" s="1" t="s">
        <v>1101</v>
      </c>
      <c r="B1089" t="str">
        <f>HYPERLINK("https://www.suredividend.com/sure-analysis-research-database/","Energy Vault Holdings Inc")</f>
        <v>Energy Vault Holdings Inc</v>
      </c>
      <c r="C1089">
        <v>-0.17194570135746601</v>
      </c>
      <c r="D1089">
        <v>-0.25910931174089002</v>
      </c>
      <c r="E1089">
        <v>-0.44545454545454499</v>
      </c>
      <c r="F1089">
        <v>-0.21459227467811101</v>
      </c>
      <c r="G1089">
        <v>-0.54249999999999998</v>
      </c>
      <c r="H1089">
        <v>-0.80511182108626211</v>
      </c>
      <c r="I1089">
        <v>-0.80511182108626211</v>
      </c>
    </row>
    <row r="1090" spans="1:9" x14ac:dyDescent="0.25">
      <c r="A1090" s="1" t="s">
        <v>1102</v>
      </c>
      <c r="B1090" t="str">
        <f>HYPERLINK("https://www.suredividend.com/sure-analysis-research-database/","Nurix Therapeutics Inc")</f>
        <v>Nurix Therapeutics Inc</v>
      </c>
      <c r="C1090">
        <v>0.114149821640903</v>
      </c>
      <c r="D1090">
        <v>0.47095761381475598</v>
      </c>
      <c r="E1090">
        <v>-7.0436507936508005E-2</v>
      </c>
      <c r="F1090">
        <v>-9.2054263565891012E-2</v>
      </c>
      <c r="G1090">
        <v>-0.19639794168096</v>
      </c>
      <c r="H1090">
        <v>-0.577166064981949</v>
      </c>
      <c r="I1090">
        <v>-0.50710152551288801</v>
      </c>
    </row>
    <row r="1091" spans="1:9" x14ac:dyDescent="0.25">
      <c r="A1091" s="1" t="s">
        <v>1103</v>
      </c>
      <c r="B1091" t="str">
        <f>HYPERLINK("https://www.suredividend.com/sure-analysis-research-database/","Insight Enterprises Inc.")</f>
        <v>Insight Enterprises Inc.</v>
      </c>
      <c r="C1091">
        <v>1.6757296637442999E-2</v>
      </c>
      <c r="D1091">
        <v>0.24230508474576201</v>
      </c>
      <c r="E1091">
        <v>0.21334922526817601</v>
      </c>
      <c r="F1091">
        <v>3.4144139059766002E-2</v>
      </c>
      <c r="G1091">
        <v>0.64932493249324907</v>
      </c>
      <c r="H1091">
        <v>0.7786837507280141</v>
      </c>
      <c r="I1091">
        <v>3.2397038408144381</v>
      </c>
    </row>
    <row r="1092" spans="1:9" x14ac:dyDescent="0.25">
      <c r="A1092" s="1" t="s">
        <v>1104</v>
      </c>
      <c r="B1092" t="str">
        <f>HYPERLINK("https://www.suredividend.com/sure-analysis-NSP/","Insperity Inc")</f>
        <v>Insperity Inc</v>
      </c>
      <c r="C1092">
        <v>-9.7507207054430001E-3</v>
      </c>
      <c r="D1092">
        <v>0.18731738857271801</v>
      </c>
      <c r="E1092">
        <v>3.5283313403014001E-2</v>
      </c>
      <c r="F1092">
        <v>-3.6683159870320001E-3</v>
      </c>
      <c r="G1092">
        <v>3.7528339030751E-2</v>
      </c>
      <c r="H1092">
        <v>0.121063104554804</v>
      </c>
      <c r="I1092">
        <v>0.36349945011709811</v>
      </c>
    </row>
    <row r="1093" spans="1:9" x14ac:dyDescent="0.25">
      <c r="A1093" s="1" t="s">
        <v>1105</v>
      </c>
      <c r="B1093" t="str">
        <f>HYPERLINK("https://www.suredividend.com/sure-analysis-research-database/","NAPCO Security Technologies Inc")</f>
        <v>NAPCO Security Technologies Inc</v>
      </c>
      <c r="C1093">
        <v>-8.7798970632749999E-3</v>
      </c>
      <c r="D1093">
        <v>0.61151390755206403</v>
      </c>
      <c r="E1093">
        <v>-6.2710238902964011E-2</v>
      </c>
      <c r="F1093">
        <v>-4.4087591240875003E-2</v>
      </c>
      <c r="G1093">
        <v>0.125890670995075</v>
      </c>
      <c r="H1093">
        <v>0.50510743543300507</v>
      </c>
      <c r="I1093">
        <v>3.1576715007746419</v>
      </c>
    </row>
    <row r="1094" spans="1:9" x14ac:dyDescent="0.25">
      <c r="A1094" s="1" t="s">
        <v>1106</v>
      </c>
      <c r="B1094" t="str">
        <f>HYPERLINK("https://www.suredividend.com/sure-analysis-research-database/","Nanostring Technologies Inc")</f>
        <v>Nanostring Technologies Inc</v>
      </c>
      <c r="C1094">
        <v>-0.26820343944383401</v>
      </c>
      <c r="D1094">
        <v>-0.76608187134502903</v>
      </c>
      <c r="E1094">
        <v>-0.90453460620525006</v>
      </c>
      <c r="F1094">
        <v>-0.46552645644040602</v>
      </c>
      <c r="G1094">
        <v>-0.96055226824457607</v>
      </c>
      <c r="H1094">
        <v>-0.98859749144811804</v>
      </c>
      <c r="I1094">
        <v>-0.98112317130722004</v>
      </c>
    </row>
    <row r="1095" spans="1:9" x14ac:dyDescent="0.25">
      <c r="A1095" s="1" t="s">
        <v>1107</v>
      </c>
      <c r="B1095" t="str">
        <f>HYPERLINK("https://www.suredividend.com/sure-analysis-research-database/","Bank of N T Butterfield &amp; Son Ltd.")</f>
        <v>Bank of N T Butterfield &amp; Son Ltd.</v>
      </c>
      <c r="C1095">
        <v>-5.0684079601989007E-2</v>
      </c>
      <c r="D1095">
        <v>0.15745655272815501</v>
      </c>
      <c r="E1095">
        <v>6.7139241922178003E-2</v>
      </c>
      <c r="F1095">
        <v>-4.6235551390190012E-2</v>
      </c>
      <c r="G1095">
        <v>3.3496386317090003E-2</v>
      </c>
      <c r="H1095">
        <v>-0.14967691622103299</v>
      </c>
      <c r="I1095">
        <v>0.245009562880527</v>
      </c>
    </row>
    <row r="1096" spans="1:9" x14ac:dyDescent="0.25">
      <c r="A1096" s="1" t="s">
        <v>1108</v>
      </c>
      <c r="B1096" t="str">
        <f>HYPERLINK("https://www.suredividend.com/sure-analysis-research-database/","Netscout Systems Inc")</f>
        <v>Netscout Systems Inc</v>
      </c>
      <c r="C1096">
        <v>1.0497489730716E-2</v>
      </c>
      <c r="D1096">
        <v>-0.16985376827896501</v>
      </c>
      <c r="E1096">
        <v>-0.28070175438596401</v>
      </c>
      <c r="F1096">
        <v>8.6560364464690013E-3</v>
      </c>
      <c r="G1096">
        <v>-0.30113636363636298</v>
      </c>
      <c r="H1096">
        <v>-0.29310344827586199</v>
      </c>
      <c r="I1096">
        <v>-0.12073073868149301</v>
      </c>
    </row>
    <row r="1097" spans="1:9" x14ac:dyDescent="0.25">
      <c r="A1097" s="1" t="s">
        <v>1109</v>
      </c>
      <c r="B1097" t="str">
        <f>HYPERLINK("https://www.suredividend.com/sure-analysis-research-database/","Netgear Inc")</f>
        <v>Netgear Inc</v>
      </c>
      <c r="C1097">
        <v>-6.6755674232309006E-2</v>
      </c>
      <c r="D1097">
        <v>0.27671232876712298</v>
      </c>
      <c r="E1097">
        <v>-5.9852051109616007E-2</v>
      </c>
      <c r="F1097">
        <v>-4.1152263374485E-2</v>
      </c>
      <c r="G1097">
        <v>-0.31671554252199402</v>
      </c>
      <c r="H1097">
        <v>-0.527223537368955</v>
      </c>
      <c r="I1097">
        <v>-0.62937433722163305</v>
      </c>
    </row>
    <row r="1098" spans="1:9" x14ac:dyDescent="0.25">
      <c r="A1098" s="1" t="s">
        <v>1110</v>
      </c>
      <c r="B1098" t="str">
        <f>HYPERLINK("https://www.suredividend.com/sure-analysis-research-database/","Intellia Therapeutics Inc")</f>
        <v>Intellia Therapeutics Inc</v>
      </c>
      <c r="C1098">
        <v>-8.9503126028298005E-2</v>
      </c>
      <c r="D1098">
        <v>-7.2410325175997006E-2</v>
      </c>
      <c r="E1098">
        <v>-0.39558759283529898</v>
      </c>
      <c r="F1098">
        <v>-9.2489340767464012E-2</v>
      </c>
      <c r="G1098">
        <v>-0.26487778958554697</v>
      </c>
      <c r="H1098">
        <v>-0.69031897034135403</v>
      </c>
      <c r="I1098">
        <v>0.96380411639460606</v>
      </c>
    </row>
    <row r="1099" spans="1:9" x14ac:dyDescent="0.25">
      <c r="A1099" s="1" t="s">
        <v>1111</v>
      </c>
      <c r="B1099" t="str">
        <f>HYPERLINK("https://www.suredividend.com/sure-analysis-NTST/","Netstreit Corp")</f>
        <v>Netstreit Corp</v>
      </c>
      <c r="C1099">
        <v>8.8407494145199009E-2</v>
      </c>
      <c r="D1099">
        <v>0.262856133581511</v>
      </c>
      <c r="E1099">
        <v>8.6016731317474004E-2</v>
      </c>
      <c r="F1099">
        <v>4.1456582633052998E-2</v>
      </c>
      <c r="G1099">
        <v>-4.7700371002880014E-3</v>
      </c>
      <c r="H1099">
        <v>-0.13842246497379099</v>
      </c>
      <c r="I1099">
        <v>0.204343150338822</v>
      </c>
    </row>
    <row r="1100" spans="1:9" x14ac:dyDescent="0.25">
      <c r="A1100" s="1" t="s">
        <v>1112</v>
      </c>
      <c r="B1100" t="str">
        <f>HYPERLINK("https://www.suredividend.com/sure-analysis-NUS/","Nu Skin Enterprises, Inc.")</f>
        <v>Nu Skin Enterprises, Inc.</v>
      </c>
      <c r="C1100">
        <v>-5.1308900523560012E-2</v>
      </c>
      <c r="D1100">
        <v>1.0405165780053001E-2</v>
      </c>
      <c r="E1100">
        <v>-0.37283894213296997</v>
      </c>
      <c r="F1100">
        <v>-6.6941297631307004E-2</v>
      </c>
      <c r="G1100">
        <v>-0.53898173991140907</v>
      </c>
      <c r="H1100">
        <v>-0.6235024247939861</v>
      </c>
      <c r="I1100">
        <v>-0.64389172107209802</v>
      </c>
    </row>
    <row r="1101" spans="1:9" x14ac:dyDescent="0.25">
      <c r="A1101" s="1" t="s">
        <v>1113</v>
      </c>
      <c r="B1101" t="str">
        <f>HYPERLINK("https://www.suredividend.com/sure-analysis-research-database/","Nutex Health Inc")</f>
        <v>Nutex Health Inc</v>
      </c>
      <c r="C1101">
        <v>0.12908496732026101</v>
      </c>
      <c r="D1101">
        <v>7.4093264248704008E-2</v>
      </c>
      <c r="E1101">
        <v>-0.49203626562117098</v>
      </c>
      <c r="F1101">
        <v>0.15166666666666601</v>
      </c>
      <c r="G1101">
        <v>-0.87877192982456109</v>
      </c>
      <c r="H1101">
        <v>-0.99481749999999991</v>
      </c>
      <c r="I1101">
        <v>-0.99481749999999991</v>
      </c>
    </row>
    <row r="1102" spans="1:9" x14ac:dyDescent="0.25">
      <c r="A1102" s="1" t="s">
        <v>1114</v>
      </c>
      <c r="B1102" t="str">
        <f>HYPERLINK("https://www.suredividend.com/sure-analysis-research-database/","Nuvasive Inc")</f>
        <v>Nuvasive Inc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25">
      <c r="A1103" s="1" t="s">
        <v>1115</v>
      </c>
      <c r="B1103" t="str">
        <f>HYPERLINK("https://www.suredividend.com/sure-analysis-research-database/","Nuvation Bio Inc")</f>
        <v>Nuvation Bio Inc</v>
      </c>
      <c r="C1103">
        <v>0.128571428571428</v>
      </c>
      <c r="D1103">
        <v>0.35042735042735002</v>
      </c>
      <c r="E1103">
        <v>-7.6023391812865007E-2</v>
      </c>
      <c r="F1103">
        <v>4.6357615894039E-2</v>
      </c>
      <c r="G1103">
        <v>-0.34979423868312698</v>
      </c>
      <c r="H1103">
        <v>-0.73534338358458906</v>
      </c>
      <c r="I1103">
        <v>-0.83711340206185503</v>
      </c>
    </row>
    <row r="1104" spans="1:9" x14ac:dyDescent="0.25">
      <c r="A1104" s="1" t="s">
        <v>1116</v>
      </c>
      <c r="B1104" t="str">
        <f>HYPERLINK("https://www.suredividend.com/sure-analysis-research-database/","Nuvalent Inc")</f>
        <v>Nuvalent Inc</v>
      </c>
      <c r="C1104">
        <v>-2.1367521367519999E-3</v>
      </c>
      <c r="D1104">
        <v>0.28849801689946503</v>
      </c>
      <c r="E1104">
        <v>0.7815927515498331</v>
      </c>
      <c r="F1104">
        <v>1.5355347193911999E-2</v>
      </c>
      <c r="G1104">
        <v>1.304039469626888</v>
      </c>
      <c r="H1104">
        <v>5.1447368421052628</v>
      </c>
      <c r="I1104">
        <v>2.9850666666666661</v>
      </c>
    </row>
    <row r="1105" spans="1:9" x14ac:dyDescent="0.25">
      <c r="A1105" s="1" t="s">
        <v>1117</v>
      </c>
      <c r="B1105" t="str">
        <f>HYPERLINK("https://www.suredividend.com/sure-analysis-research-database/","NV5 Global Inc")</f>
        <v>NV5 Global Inc</v>
      </c>
      <c r="C1105">
        <v>-3.0221061468146002E-2</v>
      </c>
      <c r="D1105">
        <v>-1.5342361966095E-2</v>
      </c>
      <c r="E1105">
        <v>-5.6961451247165007E-2</v>
      </c>
      <c r="F1105">
        <v>-6.4344852411806999E-2</v>
      </c>
      <c r="G1105">
        <v>-0.25400014350290601</v>
      </c>
      <c r="H1105">
        <v>-0.14138244281113199</v>
      </c>
      <c r="I1105">
        <v>0.553414014642163</v>
      </c>
    </row>
    <row r="1106" spans="1:9" x14ac:dyDescent="0.25">
      <c r="A1106" s="1" t="s">
        <v>1118</v>
      </c>
      <c r="B1106" t="str">
        <f>HYPERLINK("https://www.suredividend.com/sure-analysis-research-database/","Nevro Corp")</f>
        <v>Nevro Corp</v>
      </c>
      <c r="C1106">
        <v>-0.108527131782945</v>
      </c>
      <c r="D1106">
        <v>8.8113542282672E-2</v>
      </c>
      <c r="E1106">
        <v>-0.26809864757358798</v>
      </c>
      <c r="F1106">
        <v>-0.14498141263940501</v>
      </c>
      <c r="G1106">
        <v>-0.48973932334997211</v>
      </c>
      <c r="H1106">
        <v>-0.79726751873071811</v>
      </c>
      <c r="I1106">
        <v>-0.53216374269005806</v>
      </c>
    </row>
    <row r="1107" spans="1:9" x14ac:dyDescent="0.25">
      <c r="A1107" s="1" t="s">
        <v>1119</v>
      </c>
      <c r="B1107" t="str">
        <f>HYPERLINK("https://www.suredividend.com/sure-analysis-research-database/","Invitae Corp")</f>
        <v>Invitae Corp</v>
      </c>
      <c r="C1107">
        <v>-0.13894628099173501</v>
      </c>
      <c r="D1107">
        <v>-0.18497392438070401</v>
      </c>
      <c r="E1107">
        <v>-0.615307692307692</v>
      </c>
      <c r="F1107">
        <v>-0.20213784301212501</v>
      </c>
      <c r="G1107">
        <v>-0.79996000000000012</v>
      </c>
      <c r="H1107">
        <v>-0.95632314410480312</v>
      </c>
      <c r="I1107">
        <v>-0.96450674237047507</v>
      </c>
    </row>
    <row r="1108" spans="1:9" x14ac:dyDescent="0.25">
      <c r="A1108" s="1" t="s">
        <v>1120</v>
      </c>
      <c r="B1108" t="str">
        <f>HYPERLINK("https://www.suredividend.com/sure-analysis-NWBI/","Northwest Bancshares Inc")</f>
        <v>Northwest Bancshares Inc</v>
      </c>
      <c r="C1108">
        <v>-6.5146579804560003E-3</v>
      </c>
      <c r="D1108">
        <v>0.24819676491953199</v>
      </c>
      <c r="E1108">
        <v>0.17564298998776101</v>
      </c>
      <c r="F1108">
        <v>-2.2435897435896999E-2</v>
      </c>
      <c r="G1108">
        <v>-3.7642381598460013E-2</v>
      </c>
      <c r="H1108">
        <v>-1.4730585346944E-2</v>
      </c>
      <c r="I1108">
        <v>-1.7333591081899E-2</v>
      </c>
    </row>
    <row r="1109" spans="1:9" x14ac:dyDescent="0.25">
      <c r="A1109" s="1" t="s">
        <v>1121</v>
      </c>
      <c r="B1109" t="str">
        <f>HYPERLINK("https://www.suredividend.com/sure-analysis-NWE/","NorthWestern Energy Group Inc")</f>
        <v>NorthWestern Energy Group Inc</v>
      </c>
      <c r="C1109">
        <v>-5.0409151540863013E-2</v>
      </c>
      <c r="D1109">
        <v>5.1397666993222013E-2</v>
      </c>
      <c r="E1109">
        <v>8.6405177314268E-2</v>
      </c>
      <c r="F1109">
        <v>-2.3580271173117999E-2</v>
      </c>
      <c r="G1109">
        <v>8.6405177314268E-2</v>
      </c>
      <c r="H1109">
        <v>8.6405177314268E-2</v>
      </c>
      <c r="I1109">
        <v>8.6405177314268E-2</v>
      </c>
    </row>
    <row r="1110" spans="1:9" x14ac:dyDescent="0.25">
      <c r="A1110" s="1" t="s">
        <v>1122</v>
      </c>
      <c r="B1110" t="str">
        <f>HYPERLINK("https://www.suredividend.com/sure-analysis-research-database/","National Western Life Group Inc")</f>
        <v>National Western Life Group Inc</v>
      </c>
      <c r="C1110">
        <v>1.5333927350329999E-3</v>
      </c>
      <c r="D1110">
        <v>7.7397027925770008E-3</v>
      </c>
      <c r="E1110">
        <v>0.15125745573364699</v>
      </c>
      <c r="F1110">
        <v>6.4179537079200009E-4</v>
      </c>
      <c r="G1110">
        <v>0.78126088342549804</v>
      </c>
      <c r="H1110">
        <v>1.2321680104410759</v>
      </c>
      <c r="I1110">
        <v>0.64961521606467809</v>
      </c>
    </row>
    <row r="1111" spans="1:9" x14ac:dyDescent="0.25">
      <c r="A1111" s="1" t="s">
        <v>1123</v>
      </c>
      <c r="B1111" t="str">
        <f>HYPERLINK("https://www.suredividend.com/sure-analysis-NWN/","Northwest Natural Holding Co")</f>
        <v>Northwest Natural Holding Co</v>
      </c>
      <c r="C1111">
        <v>-3.3450704225352013E-2</v>
      </c>
      <c r="D1111">
        <v>-5.8104339457649996E-3</v>
      </c>
      <c r="E1111">
        <v>-8.9698887646624009E-2</v>
      </c>
      <c r="F1111">
        <v>-1.3097072419105999E-2</v>
      </c>
      <c r="G1111">
        <v>-0.18958074563632499</v>
      </c>
      <c r="H1111">
        <v>-0.13672652448749401</v>
      </c>
      <c r="I1111">
        <v>-0.22057851206146101</v>
      </c>
    </row>
    <row r="1112" spans="1:9" x14ac:dyDescent="0.25">
      <c r="A1112" s="1" t="s">
        <v>1124</v>
      </c>
      <c r="B1112" t="str">
        <f>HYPERLINK("https://www.suredividend.com/sure-analysis-research-database/","Northwest Pipe Co.")</f>
        <v>Northwest Pipe Co.</v>
      </c>
      <c r="C1112">
        <v>2.0704300123870999E-2</v>
      </c>
      <c r="D1112">
        <v>-1.2328767123287E-2</v>
      </c>
      <c r="E1112">
        <v>-5.9973924380704008E-2</v>
      </c>
      <c r="F1112">
        <v>-4.6926635822867997E-2</v>
      </c>
      <c r="G1112">
        <v>-0.18874824191279799</v>
      </c>
      <c r="H1112">
        <v>-5.0691244239631013E-2</v>
      </c>
      <c r="I1112">
        <v>0.254458460200087</v>
      </c>
    </row>
    <row r="1113" spans="1:9" x14ac:dyDescent="0.25">
      <c r="A1113" s="1" t="s">
        <v>1125</v>
      </c>
      <c r="B1113" t="str">
        <f>HYPERLINK("https://www.suredividend.com/sure-analysis-research-database/","Quanex Building Products Corp")</f>
        <v>Quanex Building Products Corp</v>
      </c>
      <c r="C1113">
        <v>-7.404055032585001E-2</v>
      </c>
      <c r="D1113">
        <v>0.120117960940037</v>
      </c>
      <c r="E1113">
        <v>0.15531429517922599</v>
      </c>
      <c r="F1113">
        <v>3.925417075564E-3</v>
      </c>
      <c r="G1113">
        <v>0.24502032437870599</v>
      </c>
      <c r="H1113">
        <v>0.30761561469437798</v>
      </c>
      <c r="I1113">
        <v>1.1021843812289791</v>
      </c>
    </row>
    <row r="1114" spans="1:9" x14ac:dyDescent="0.25">
      <c r="A1114" s="1" t="s">
        <v>1126</v>
      </c>
      <c r="B1114" t="str">
        <f>HYPERLINK("https://www.suredividend.com/sure-analysis-research-database/","NextGen Healthcare Inc")</f>
        <v>NextGen Healthcare Inc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25">
      <c r="A1115" s="1" t="s">
        <v>1127</v>
      </c>
      <c r="B1115" t="str">
        <f>HYPERLINK("https://www.suredividend.com/sure-analysis-NXRT/","NexPoint Residential Trust Inc")</f>
        <v>NexPoint Residential Trust Inc</v>
      </c>
      <c r="C1115">
        <v>-3.6567636645016E-2</v>
      </c>
      <c r="D1115">
        <v>0.110517993972728</v>
      </c>
      <c r="E1115">
        <v>-0.30802767889284399</v>
      </c>
      <c r="F1115">
        <v>-4.5309323264593998E-2</v>
      </c>
      <c r="G1115">
        <v>-0.225496641148348</v>
      </c>
      <c r="H1115">
        <v>-0.57371257826725208</v>
      </c>
      <c r="I1115">
        <v>4.5420283125383001E-2</v>
      </c>
    </row>
    <row r="1116" spans="1:9" x14ac:dyDescent="0.25">
      <c r="A1116" s="1" t="s">
        <v>1128</v>
      </c>
      <c r="B1116" t="str">
        <f>HYPERLINK("https://www.suredividend.com/sure-analysis-research-database/","Nextracker Inc")</f>
        <v>Nextracker Inc</v>
      </c>
      <c r="C1116">
        <v>-2.4548402037980002E-2</v>
      </c>
      <c r="D1116">
        <v>0.199658217032184</v>
      </c>
      <c r="E1116">
        <v>7.9446437724243008E-2</v>
      </c>
      <c r="F1116">
        <v>-0.100960512273212</v>
      </c>
      <c r="G1116">
        <v>0.38279711096520003</v>
      </c>
      <c r="H1116">
        <v>0.38279711096520003</v>
      </c>
      <c r="I1116">
        <v>0.38279711096520003</v>
      </c>
    </row>
    <row r="1117" spans="1:9" x14ac:dyDescent="0.25">
      <c r="A1117" s="1" t="s">
        <v>1129</v>
      </c>
      <c r="B1117" t="str">
        <f>HYPERLINK("https://www.suredividend.com/sure-analysis-NYMT/","New York Mortgage Trust Inc")</f>
        <v>New York Mortgage Trust Inc</v>
      </c>
      <c r="C1117">
        <v>-5.6034675365297007E-2</v>
      </c>
      <c r="D1117">
        <v>4.9220224495877013E-2</v>
      </c>
      <c r="E1117">
        <v>-0.103086655627733</v>
      </c>
      <c r="F1117">
        <v>-9.3786635404450001E-3</v>
      </c>
      <c r="G1117">
        <v>-0.13720925483469101</v>
      </c>
      <c r="H1117">
        <v>-0.23638598203473701</v>
      </c>
      <c r="I1117">
        <v>-0.366917901613797</v>
      </c>
    </row>
    <row r="1118" spans="1:9" x14ac:dyDescent="0.25">
      <c r="A1118" s="1" t="s">
        <v>1130</v>
      </c>
      <c r="B1118" t="str">
        <f>HYPERLINK("https://www.suredividend.com/sure-analysis-research-database/","OmniAb Inc")</f>
        <v>OmniAb Inc</v>
      </c>
      <c r="C1118">
        <v>0.14760147601476001</v>
      </c>
      <c r="D1118">
        <v>0.28247422680412299</v>
      </c>
      <c r="E1118">
        <v>0.24899598393574199</v>
      </c>
      <c r="F1118">
        <v>8.1037277147480002E-3</v>
      </c>
      <c r="G1118">
        <v>0.61558441558441501</v>
      </c>
      <c r="H1118">
        <v>1.5809128630705389</v>
      </c>
      <c r="I1118">
        <v>1.5809128630705389</v>
      </c>
    </row>
    <row r="1119" spans="1:9" x14ac:dyDescent="0.25">
      <c r="A1119" s="1" t="s">
        <v>1131</v>
      </c>
      <c r="B1119" t="str">
        <f>HYPERLINK("https://www.suredividend.com/sure-analysis-research-database/","Outbrain Inc")</f>
        <v>Outbrain Inc</v>
      </c>
      <c r="C1119">
        <v>-5.1282051282051003E-2</v>
      </c>
      <c r="D1119">
        <v>-0.13034188034187999</v>
      </c>
      <c r="E1119">
        <v>-0.24349442379182101</v>
      </c>
      <c r="F1119">
        <v>-7.0776255707762012E-2</v>
      </c>
      <c r="G1119">
        <v>-5.3488372093023012E-2</v>
      </c>
      <c r="H1119">
        <v>-0.714185393258427</v>
      </c>
      <c r="I1119">
        <v>-0.79649999999999999</v>
      </c>
    </row>
    <row r="1120" spans="1:9" x14ac:dyDescent="0.25">
      <c r="A1120" s="1" t="s">
        <v>1132</v>
      </c>
      <c r="B1120" t="str">
        <f>HYPERLINK("https://www.suredividend.com/sure-analysis-research-database/","Origin Bancorp Inc")</f>
        <v>Origin Bancorp Inc</v>
      </c>
      <c r="C1120">
        <v>-6.4269535673839001E-2</v>
      </c>
      <c r="D1120">
        <v>0.17766114003299499</v>
      </c>
      <c r="E1120">
        <v>8.4709048541140003E-2</v>
      </c>
      <c r="F1120">
        <v>-7.0846218723643009E-2</v>
      </c>
      <c r="G1120">
        <v>-0.11517692445672401</v>
      </c>
      <c r="H1120">
        <v>-0.24132865046025301</v>
      </c>
      <c r="I1120">
        <v>5.889245659154E-3</v>
      </c>
    </row>
    <row r="1121" spans="1:9" x14ac:dyDescent="0.25">
      <c r="A1121" s="1" t="s">
        <v>1133</v>
      </c>
      <c r="B1121" t="str">
        <f>HYPERLINK("https://www.suredividend.com/sure-analysis-research-database/","OceanFirst Financial Corp.")</f>
        <v>OceanFirst Financial Corp.</v>
      </c>
      <c r="C1121">
        <v>8.4235860409139999E-3</v>
      </c>
      <c r="D1121">
        <v>0.25385282939821002</v>
      </c>
      <c r="E1121">
        <v>5.4346663647058001E-2</v>
      </c>
      <c r="F1121">
        <v>-3.4562211981565998E-2</v>
      </c>
      <c r="G1121">
        <v>-0.18317217716781001</v>
      </c>
      <c r="H1121">
        <v>-0.216023799945739</v>
      </c>
      <c r="I1121">
        <v>-8.9194785151048006E-2</v>
      </c>
    </row>
    <row r="1122" spans="1:9" x14ac:dyDescent="0.25">
      <c r="A1122" s="1" t="s">
        <v>1134</v>
      </c>
      <c r="B1122" t="str">
        <f>HYPERLINK("https://www.suredividend.com/sure-analysis-research-database/","Ocugen Inc")</f>
        <v>Ocugen Inc</v>
      </c>
      <c r="C1122">
        <v>0.62707257406904005</v>
      </c>
      <c r="D1122">
        <v>0.43034647550776611</v>
      </c>
      <c r="E1122">
        <v>1.080715974333E-2</v>
      </c>
      <c r="F1122">
        <v>4.1043478260869001E-2</v>
      </c>
      <c r="G1122">
        <v>-0.53953846153846108</v>
      </c>
      <c r="H1122">
        <v>-0.85109452736318403</v>
      </c>
      <c r="I1122">
        <v>2.5108504398826978</v>
      </c>
    </row>
    <row r="1123" spans="1:9" x14ac:dyDescent="0.25">
      <c r="A1123" s="1" t="s">
        <v>1135</v>
      </c>
      <c r="B1123" t="str">
        <f>HYPERLINK("https://www.suredividend.com/sure-analysis-research-database/","Eightco Holdings Inc")</f>
        <v>Eightco Holdings Inc</v>
      </c>
      <c r="C1123">
        <v>-8.6629001883239007E-2</v>
      </c>
      <c r="D1123">
        <v>-0.13937731892240601</v>
      </c>
      <c r="E1123">
        <v>-0.67067901234567906</v>
      </c>
      <c r="F1123">
        <v>3.7937743190660997E-2</v>
      </c>
      <c r="G1123">
        <v>0.80236486486486402</v>
      </c>
      <c r="H1123">
        <v>-0.73719211822660102</v>
      </c>
      <c r="I1123">
        <v>-0.73719211822660102</v>
      </c>
    </row>
    <row r="1124" spans="1:9" x14ac:dyDescent="0.25">
      <c r="A1124" s="1" t="s">
        <v>1136</v>
      </c>
      <c r="B1124" t="str">
        <f>HYPERLINK("https://www.suredividend.com/sure-analysis-research-database/","Ocular Therapeutix Inc")</f>
        <v>Ocular Therapeutix Inc</v>
      </c>
      <c r="C1124">
        <v>0.11294416243654801</v>
      </c>
      <c r="D1124">
        <v>0.76104417670682711</v>
      </c>
      <c r="E1124">
        <v>-4.8806941431669998E-2</v>
      </c>
      <c r="F1124">
        <v>-1.6816143497757001E-2</v>
      </c>
      <c r="G1124">
        <v>9.6249999999999003E-2</v>
      </c>
      <c r="H1124">
        <v>-0.28814935064934999</v>
      </c>
      <c r="I1124">
        <v>0.11012658227848</v>
      </c>
    </row>
    <row r="1125" spans="1:9" x14ac:dyDescent="0.25">
      <c r="A1125" s="1" t="s">
        <v>1137</v>
      </c>
      <c r="B1125" t="str">
        <f>HYPERLINK("https://www.suredividend.com/sure-analysis-research-database/","ODP Corporation (The)")</f>
        <v>ODP Corporation (The)</v>
      </c>
      <c r="C1125">
        <v>7.3495731834270009E-2</v>
      </c>
      <c r="D1125">
        <v>0.186651323360184</v>
      </c>
      <c r="E1125">
        <v>7.4838440692099009E-2</v>
      </c>
      <c r="F1125">
        <v>-8.4191829484902003E-2</v>
      </c>
      <c r="G1125">
        <v>1.1377010592389001E-2</v>
      </c>
      <c r="H1125">
        <v>0.24993939393939299</v>
      </c>
      <c r="I1125">
        <v>0.85864761396653211</v>
      </c>
    </row>
    <row r="1126" spans="1:9" x14ac:dyDescent="0.25">
      <c r="A1126" s="1" t="s">
        <v>1138</v>
      </c>
      <c r="B1126" t="str">
        <f>HYPERLINK("https://www.suredividend.com/sure-analysis-research-database/","Orion S.A")</f>
        <v>Orion S.A</v>
      </c>
      <c r="C1126">
        <v>-8.2341749389968008E-2</v>
      </c>
      <c r="D1126">
        <v>0.15230533906329599</v>
      </c>
      <c r="E1126">
        <v>7.6122150974541003E-2</v>
      </c>
      <c r="F1126">
        <v>-0.144248106743599</v>
      </c>
      <c r="G1126">
        <v>0.20568240709691099</v>
      </c>
      <c r="H1126">
        <v>0.26372631511678701</v>
      </c>
      <c r="I1126">
        <v>-6.3025641430613011E-2</v>
      </c>
    </row>
    <row r="1127" spans="1:9" x14ac:dyDescent="0.25">
      <c r="A1127" s="1" t="s">
        <v>1139</v>
      </c>
      <c r="B1127" t="str">
        <f>HYPERLINK("https://www.suredividend.com/sure-analysis-research-database/","OFG Bancorp")</f>
        <v>OFG Bancorp</v>
      </c>
      <c r="C1127">
        <v>-1.8943137911598001E-2</v>
      </c>
      <c r="D1127">
        <v>0.20000799339212899</v>
      </c>
      <c r="E1127">
        <v>0.28520674599777401</v>
      </c>
      <c r="F1127">
        <v>-3.8687299893276003E-2</v>
      </c>
      <c r="G1127">
        <v>0.30626776495156299</v>
      </c>
      <c r="H1127">
        <v>0.27313587889838198</v>
      </c>
      <c r="I1127">
        <v>1.3620808339069721</v>
      </c>
    </row>
    <row r="1128" spans="1:9" x14ac:dyDescent="0.25">
      <c r="A1128" s="1" t="s">
        <v>1140</v>
      </c>
      <c r="B1128" t="str">
        <f>HYPERLINK("https://www.suredividend.com/sure-analysis-research-database/","Orthofix Medical Inc")</f>
        <v>Orthofix Medical Inc</v>
      </c>
      <c r="C1128">
        <v>0.13372093023255799</v>
      </c>
      <c r="D1128">
        <v>9.8149637972646003E-2</v>
      </c>
      <c r="E1128">
        <v>-0.33930300096805399</v>
      </c>
      <c r="F1128">
        <v>1.2611275964390999E-2</v>
      </c>
      <c r="G1128">
        <v>-0.29457364341085202</v>
      </c>
      <c r="H1128">
        <v>-0.58510638297872308</v>
      </c>
      <c r="I1128">
        <v>-0.73103448275862004</v>
      </c>
    </row>
    <row r="1129" spans="1:9" x14ac:dyDescent="0.25">
      <c r="A1129" s="1" t="s">
        <v>1141</v>
      </c>
      <c r="B1129" t="str">
        <f>HYPERLINK("https://www.suredividend.com/sure-analysis-research-database/","Omega Flex Inc")</f>
        <v>Omega Flex Inc</v>
      </c>
      <c r="C1129">
        <v>-6.0905579310487012E-2</v>
      </c>
      <c r="D1129">
        <v>-4.1509970984395003E-2</v>
      </c>
      <c r="E1129">
        <v>-0.23692470374970601</v>
      </c>
      <c r="F1129">
        <v>3.1626719614238998E-2</v>
      </c>
      <c r="G1129">
        <v>-0.226284623869449</v>
      </c>
      <c r="H1129">
        <v>-0.44551333847622099</v>
      </c>
      <c r="I1129">
        <v>0.36042971175498001</v>
      </c>
    </row>
    <row r="1130" spans="1:9" x14ac:dyDescent="0.25">
      <c r="A1130" s="1" t="s">
        <v>1142</v>
      </c>
      <c r="B1130" t="str">
        <f>HYPERLINK("https://www.suredividend.com/sure-analysis-OGS/","ONE Gas Inc")</f>
        <v>ONE Gas Inc</v>
      </c>
      <c r="C1130">
        <v>-5.2369077306733007E-2</v>
      </c>
      <c r="D1130">
        <v>-0.11055455753015</v>
      </c>
      <c r="E1130">
        <v>-0.20470167810562001</v>
      </c>
      <c r="F1130">
        <v>-4.5825486503452001E-2</v>
      </c>
      <c r="G1130">
        <v>-0.21726245267205699</v>
      </c>
      <c r="H1130">
        <v>-0.180630537145198</v>
      </c>
      <c r="I1130">
        <v>-9.063715225845001E-2</v>
      </c>
    </row>
    <row r="1131" spans="1:9" x14ac:dyDescent="0.25">
      <c r="A1131" s="1" t="s">
        <v>1143</v>
      </c>
      <c r="B1131" t="str">
        <f>HYPERLINK("https://www.suredividend.com/sure-analysis-research-database/","O-I Glass Inc")</f>
        <v>O-I Glass Inc</v>
      </c>
      <c r="C1131">
        <v>-3.3898305084744999E-2</v>
      </c>
      <c r="D1131">
        <v>-5.1712992889460007E-3</v>
      </c>
      <c r="E1131">
        <v>-0.31872509960159301</v>
      </c>
      <c r="F1131">
        <v>-6.0439560439560003E-2</v>
      </c>
      <c r="G1131">
        <v>-0.21076923076922999</v>
      </c>
      <c r="H1131">
        <v>0.10639827462257299</v>
      </c>
      <c r="I1131">
        <v>-0.15440489664948701</v>
      </c>
    </row>
    <row r="1132" spans="1:9" x14ac:dyDescent="0.25">
      <c r="A1132" s="1" t="s">
        <v>1144</v>
      </c>
      <c r="B1132" t="str">
        <f>HYPERLINK("https://www.suredividend.com/sure-analysis-research-database/","Oceaneering International, Inc.")</f>
        <v>Oceaneering International, Inc.</v>
      </c>
      <c r="C1132">
        <v>3.0549898166999999E-3</v>
      </c>
      <c r="D1132">
        <v>-0.21388667198722999</v>
      </c>
      <c r="E1132">
        <v>-0.11777877295118599</v>
      </c>
      <c r="F1132">
        <v>-7.4248120300752007E-2</v>
      </c>
      <c r="G1132">
        <v>3.2494758909852997E-2</v>
      </c>
      <c r="H1132">
        <v>0.47455089820359198</v>
      </c>
      <c r="I1132">
        <v>0.25</v>
      </c>
    </row>
    <row r="1133" spans="1:9" x14ac:dyDescent="0.25">
      <c r="A1133" s="1" t="s">
        <v>1145</v>
      </c>
      <c r="B1133" t="str">
        <f>HYPERLINK("https://www.suredividend.com/sure-analysis-research-database/","Oil States International, Inc.")</f>
        <v>Oil States International, Inc.</v>
      </c>
      <c r="C1133">
        <v>-7.575757575757501E-2</v>
      </c>
      <c r="D1133">
        <v>-0.20881971465629001</v>
      </c>
      <c r="E1133">
        <v>-0.26060606060606001</v>
      </c>
      <c r="F1133">
        <v>-0.101620029455081</v>
      </c>
      <c r="G1133">
        <v>-0.265060240963855</v>
      </c>
      <c r="H1133">
        <v>-2.8662420382164999E-2</v>
      </c>
      <c r="I1133">
        <v>-0.65807174887892306</v>
      </c>
    </row>
    <row r="1134" spans="1:9" x14ac:dyDescent="0.25">
      <c r="A1134" s="1" t="s">
        <v>1146</v>
      </c>
      <c r="B1134" t="str">
        <f>HYPERLINK("https://www.suredividend.com/sure-analysis-research-database/","Olo Inc")</f>
        <v>Olo Inc</v>
      </c>
      <c r="C1134">
        <v>-0.14770797962648499</v>
      </c>
      <c r="D1134">
        <v>-9.3862815884476009E-2</v>
      </c>
      <c r="E1134">
        <v>-0.22170542635658899</v>
      </c>
      <c r="F1134">
        <v>-0.12237762237762199</v>
      </c>
      <c r="G1134">
        <v>-0.27246376811594197</v>
      </c>
      <c r="H1134">
        <v>-0.71363377067883604</v>
      </c>
      <c r="I1134">
        <v>-0.85553956834532308</v>
      </c>
    </row>
    <row r="1135" spans="1:9" x14ac:dyDescent="0.25">
      <c r="A1135" s="1" t="s">
        <v>1147</v>
      </c>
      <c r="B1135" t="str">
        <f>HYPERLINK("https://www.suredividend.com/sure-analysis-OLP/","One Liberty Properties, Inc.")</f>
        <v>One Liberty Properties, Inc.</v>
      </c>
      <c r="C1135">
        <v>-3.5076747136499997E-2</v>
      </c>
      <c r="D1135">
        <v>0.18680014505335099</v>
      </c>
      <c r="E1135">
        <v>8.2842461461335004E-2</v>
      </c>
      <c r="F1135">
        <v>-1.4148790506617E-2</v>
      </c>
      <c r="G1135">
        <v>-1.2454051681571E-2</v>
      </c>
      <c r="H1135">
        <v>-0.25378806199086501</v>
      </c>
      <c r="I1135">
        <v>0.227154195333405</v>
      </c>
    </row>
    <row r="1136" spans="1:9" x14ac:dyDescent="0.25">
      <c r="A1136" s="1" t="s">
        <v>1148</v>
      </c>
      <c r="B1136" t="str">
        <f>HYPERLINK("https://www.suredividend.com/sure-analysis-research-database/","Outset Medical Inc")</f>
        <v>Outset Medical Inc</v>
      </c>
      <c r="C1136">
        <v>-0.21902268760907501</v>
      </c>
      <c r="D1136">
        <v>0.32005899705014701</v>
      </c>
      <c r="E1136">
        <v>-0.76956745623069001</v>
      </c>
      <c r="F1136">
        <v>-0.172828096118299</v>
      </c>
      <c r="G1136">
        <v>-0.83351934523809501</v>
      </c>
      <c r="H1136">
        <v>-0.88361508452535709</v>
      </c>
      <c r="I1136">
        <v>-0.92625247198417904</v>
      </c>
    </row>
    <row r="1137" spans="1:9" x14ac:dyDescent="0.25">
      <c r="A1137" s="1" t="s">
        <v>1149</v>
      </c>
      <c r="B1137" t="str">
        <f>HYPERLINK("https://www.suredividend.com/sure-analysis-research-database/","Omnicell, Inc.")</f>
        <v>Omnicell, Inc.</v>
      </c>
      <c r="C1137">
        <v>-9.4354624966869013E-2</v>
      </c>
      <c r="D1137">
        <v>-0.18913146654010399</v>
      </c>
      <c r="E1137">
        <v>-0.534341782502044</v>
      </c>
      <c r="F1137">
        <v>-9.1947913898485001E-2</v>
      </c>
      <c r="G1137">
        <v>-0.40115667718191311</v>
      </c>
      <c r="H1137">
        <v>-0.79168444796683501</v>
      </c>
      <c r="I1137">
        <v>-0.46965699208443201</v>
      </c>
    </row>
    <row r="1138" spans="1:9" x14ac:dyDescent="0.25">
      <c r="A1138" s="1" t="s">
        <v>1150</v>
      </c>
      <c r="B1138" t="str">
        <f>HYPERLINK("https://www.suredividend.com/sure-analysis-research-database/","Owens &amp; Minor, Inc.")</f>
        <v>Owens &amp; Minor, Inc.</v>
      </c>
      <c r="C1138">
        <v>-0.129986553115194</v>
      </c>
      <c r="D1138">
        <v>0.30971659919028299</v>
      </c>
      <c r="E1138">
        <v>1.6230366492146001E-2</v>
      </c>
      <c r="F1138">
        <v>7.2651790347690003E-3</v>
      </c>
      <c r="G1138">
        <v>-4.2427232363098012E-2</v>
      </c>
      <c r="H1138">
        <v>-0.57804347826086899</v>
      </c>
      <c r="I1138">
        <v>1.6467941200534539</v>
      </c>
    </row>
    <row r="1139" spans="1:9" x14ac:dyDescent="0.25">
      <c r="A1139" s="1" t="s">
        <v>1151</v>
      </c>
      <c r="B1139" t="str">
        <f>HYPERLINK("https://www.suredividend.com/sure-analysis-research-database/","Singular Genomics Systems Inc")</f>
        <v>Singular Genomics Systems Inc</v>
      </c>
      <c r="C1139">
        <v>8.4788029925186012E-2</v>
      </c>
      <c r="D1139">
        <v>0.15845539280958701</v>
      </c>
      <c r="E1139">
        <v>-0.51720310765815702</v>
      </c>
      <c r="F1139">
        <v>-5.4553357965659001E-2</v>
      </c>
      <c r="G1139">
        <v>-0.79383886255924108</v>
      </c>
      <c r="H1139">
        <v>-0.94548872180451105</v>
      </c>
      <c r="I1139">
        <v>-0.98308709175738707</v>
      </c>
    </row>
    <row r="1140" spans="1:9" x14ac:dyDescent="0.25">
      <c r="A1140" s="1" t="s">
        <v>1152</v>
      </c>
      <c r="B1140" t="str">
        <f>HYPERLINK("https://www.suredividend.com/sure-analysis-research-database/","Old National Bancorp")</f>
        <v>Old National Bancorp</v>
      </c>
      <c r="C1140">
        <v>-2.4970273483947002E-2</v>
      </c>
      <c r="D1140">
        <v>0.185142361612949</v>
      </c>
      <c r="E1140">
        <v>0.122926181297801</v>
      </c>
      <c r="F1140">
        <v>-2.9011249259917E-2</v>
      </c>
      <c r="G1140">
        <v>-7.4518213368697003E-2</v>
      </c>
      <c r="H1140">
        <v>-9.7785724109475003E-2</v>
      </c>
      <c r="I1140">
        <v>0.22604905691409399</v>
      </c>
    </row>
    <row r="1141" spans="1:9" x14ac:dyDescent="0.25">
      <c r="A1141" s="1" t="s">
        <v>1153</v>
      </c>
      <c r="B1141" t="str">
        <f>HYPERLINK("https://www.suredividend.com/sure-analysis-research-database/","Ondas Holdings Inc")</f>
        <v>Ondas Holdings Inc</v>
      </c>
      <c r="C1141">
        <v>0.18518518518518501</v>
      </c>
      <c r="D1141">
        <v>3.1131105398457581</v>
      </c>
      <c r="E1141">
        <v>0.15107913669064699</v>
      </c>
      <c r="F1141">
        <v>4.5751633986927998E-2</v>
      </c>
      <c r="G1141">
        <v>-0.14893617021276501</v>
      </c>
      <c r="H1141">
        <v>-0.68992248062015504</v>
      </c>
      <c r="I1141">
        <v>-0.7398373983739831</v>
      </c>
    </row>
    <row r="1142" spans="1:9" x14ac:dyDescent="0.25">
      <c r="A1142" s="1" t="s">
        <v>1154</v>
      </c>
      <c r="B1142" t="str">
        <f>HYPERLINK("https://www.suredividend.com/sure-analysis-research-database/","Onewater Marine Inc")</f>
        <v>Onewater Marine Inc</v>
      </c>
      <c r="C1142">
        <v>2.7411519777931E-2</v>
      </c>
      <c r="D1142">
        <v>0.27904967602591801</v>
      </c>
      <c r="E1142">
        <v>-0.226286908805853</v>
      </c>
      <c r="F1142">
        <v>-0.123705238236164</v>
      </c>
      <c r="G1142">
        <v>-2.0509427720807001E-2</v>
      </c>
      <c r="H1142">
        <v>-0.46368411519652197</v>
      </c>
      <c r="I1142">
        <v>1.041716945354249</v>
      </c>
    </row>
    <row r="1143" spans="1:9" x14ac:dyDescent="0.25">
      <c r="A1143" s="1" t="s">
        <v>1155</v>
      </c>
      <c r="B1143" t="str">
        <f>HYPERLINK("https://www.suredividend.com/sure-analysis-research-database/","Orion Office REIT Inc")</f>
        <v>Orion Office REIT Inc</v>
      </c>
      <c r="C1143">
        <v>-5.2880820836620997E-2</v>
      </c>
      <c r="D1143">
        <v>0.132621599513392</v>
      </c>
      <c r="E1143">
        <v>-0.18608506918276899</v>
      </c>
      <c r="F1143">
        <v>-5.5944055944055007E-2</v>
      </c>
      <c r="G1143">
        <v>-0.34660294028676802</v>
      </c>
      <c r="H1143">
        <v>-0.65876777251184804</v>
      </c>
      <c r="I1143">
        <v>-0.78400000000000003</v>
      </c>
    </row>
    <row r="1144" spans="1:9" x14ac:dyDescent="0.25">
      <c r="A1144" s="1" t="s">
        <v>1156</v>
      </c>
      <c r="B1144" t="str">
        <f>HYPERLINK("https://www.suredividend.com/sure-analysis-research-database/","ON24 Inc")</f>
        <v>ON24 Inc</v>
      </c>
      <c r="C1144">
        <v>-8.4507042253521E-2</v>
      </c>
      <c r="D1144">
        <v>0.15508885298869099</v>
      </c>
      <c r="E1144">
        <v>-0.191176470588235</v>
      </c>
      <c r="F1144">
        <v>-9.2639593908629012E-2</v>
      </c>
      <c r="G1144">
        <v>-6.0718320590630002E-2</v>
      </c>
      <c r="H1144">
        <v>-0.50213767459996905</v>
      </c>
      <c r="I1144">
        <v>-0.88302141771497411</v>
      </c>
    </row>
    <row r="1145" spans="1:9" x14ac:dyDescent="0.25">
      <c r="A1145" s="1" t="s">
        <v>1157</v>
      </c>
      <c r="B1145" t="str">
        <f>HYPERLINK("https://www.suredividend.com/sure-analysis-research-database/","Onto Innovation Inc.")</f>
        <v>Onto Innovation Inc.</v>
      </c>
      <c r="C1145">
        <v>-2.9277157087090999E-2</v>
      </c>
      <c r="D1145">
        <v>4.4388124547429013E-2</v>
      </c>
      <c r="E1145">
        <v>0.28673387456508098</v>
      </c>
      <c r="F1145">
        <v>-5.6703727926749013E-2</v>
      </c>
      <c r="G1145">
        <v>0.86055211558307509</v>
      </c>
      <c r="H1145">
        <v>0.51565783942833099</v>
      </c>
      <c r="I1145">
        <v>3.9889311656866129</v>
      </c>
    </row>
    <row r="1146" spans="1:9" x14ac:dyDescent="0.25">
      <c r="A1146" s="1" t="s">
        <v>1158</v>
      </c>
      <c r="B1146" t="str">
        <f>HYPERLINK("https://www.suredividend.com/sure-analysis-research-database/","Ooma Inc")</f>
        <v>Ooma Inc</v>
      </c>
      <c r="C1146">
        <v>5.1724137931034003E-2</v>
      </c>
      <c r="D1146">
        <v>-0.140845070422535</v>
      </c>
      <c r="E1146">
        <v>-0.318659658344283</v>
      </c>
      <c r="F1146">
        <v>-3.3550792171481013E-2</v>
      </c>
      <c r="G1146">
        <v>-0.26610049539985797</v>
      </c>
      <c r="H1146">
        <v>-0.45678365636458801</v>
      </c>
      <c r="I1146">
        <v>-0.28777472527472497</v>
      </c>
    </row>
    <row r="1147" spans="1:9" x14ac:dyDescent="0.25">
      <c r="A1147" s="1" t="s">
        <v>1159</v>
      </c>
      <c r="B1147" t="str">
        <f>HYPERLINK("https://www.suredividend.com/sure-analysis-research-database/","Offerpad Solutions Inc")</f>
        <v>Offerpad Solutions Inc</v>
      </c>
      <c r="C1147">
        <v>-8.2150101419878011E-2</v>
      </c>
      <c r="D1147">
        <v>3.6655211912943013E-2</v>
      </c>
      <c r="E1147">
        <v>-0.38768606224627811</v>
      </c>
      <c r="F1147">
        <v>-0.117073170731707</v>
      </c>
      <c r="G1147">
        <v>-0.14795462034552501</v>
      </c>
      <c r="H1147">
        <v>-0.86884057971014506</v>
      </c>
      <c r="I1147">
        <v>-0.11100196463654199</v>
      </c>
    </row>
    <row r="1148" spans="1:9" x14ac:dyDescent="0.25">
      <c r="A1148" s="1" t="s">
        <v>1160</v>
      </c>
      <c r="B1148" t="str">
        <f>HYPERLINK("https://www.suredividend.com/sure-analysis-research-database/","Option Care Health Inc.")</f>
        <v>Option Care Health Inc.</v>
      </c>
      <c r="C1148">
        <v>7.8988941548180005E-3</v>
      </c>
      <c r="D1148">
        <v>-7.1584189231240006E-3</v>
      </c>
      <c r="E1148">
        <v>1.6571064372211002E-2</v>
      </c>
      <c r="F1148">
        <v>-5.3131493024636003E-2</v>
      </c>
      <c r="G1148">
        <v>0.102280580511402</v>
      </c>
      <c r="H1148">
        <v>0.28784820347194101</v>
      </c>
      <c r="I1148">
        <v>7.2857142857142847</v>
      </c>
    </row>
    <row r="1149" spans="1:9" x14ac:dyDescent="0.25">
      <c r="A1149" s="1" t="s">
        <v>1161</v>
      </c>
      <c r="B1149" t="str">
        <f>HYPERLINK("https://www.suredividend.com/sure-analysis-research-database/","OppFi Inc")</f>
        <v>OppFi Inc</v>
      </c>
      <c r="C1149">
        <v>4.1474654377879998E-2</v>
      </c>
      <c r="D1149">
        <v>1.0452488687782799</v>
      </c>
      <c r="E1149">
        <v>1.2713567839195969</v>
      </c>
      <c r="F1149">
        <v>-0.1171875</v>
      </c>
      <c r="G1149">
        <v>1.1121495327102799</v>
      </c>
      <c r="H1149">
        <v>-0.25657894736842102</v>
      </c>
      <c r="I1149">
        <v>-0.54111675126903502</v>
      </c>
    </row>
    <row r="1150" spans="1:9" x14ac:dyDescent="0.25">
      <c r="A1150" s="1" t="s">
        <v>1162</v>
      </c>
      <c r="B1150" t="str">
        <f>HYPERLINK("https://www.suredividend.com/sure-analysis-OPI/","Office Properties Income Trust")</f>
        <v>Office Properties Income Trust</v>
      </c>
      <c r="C1150">
        <v>-0.41732283464566899</v>
      </c>
      <c r="D1150">
        <v>-6.9931124629229E-2</v>
      </c>
      <c r="E1150">
        <v>-0.45949894091008597</v>
      </c>
      <c r="F1150">
        <v>-0.49453551912568311</v>
      </c>
      <c r="G1150">
        <v>-0.71326498190469501</v>
      </c>
      <c r="H1150">
        <v>-0.80249075176290308</v>
      </c>
      <c r="I1150">
        <v>-0.79980954854347908</v>
      </c>
    </row>
    <row r="1151" spans="1:9" x14ac:dyDescent="0.25">
      <c r="A1151" s="1" t="s">
        <v>1163</v>
      </c>
      <c r="B1151" t="str">
        <f>HYPERLINK("https://www.suredividend.com/sure-analysis-research-database/","Opko Health Inc")</f>
        <v>Opko Health Inc</v>
      </c>
      <c r="C1151">
        <v>-0.364935064935065</v>
      </c>
      <c r="D1151">
        <v>-0.275555555555555</v>
      </c>
      <c r="E1151">
        <v>-0.53205741626794201</v>
      </c>
      <c r="F1151">
        <v>-0.35231788079470211</v>
      </c>
      <c r="G1151">
        <v>-0.37707006369426699</v>
      </c>
      <c r="H1151">
        <v>-0.77149532710280311</v>
      </c>
      <c r="I1151">
        <v>-0.74464751958224507</v>
      </c>
    </row>
    <row r="1152" spans="1:9" x14ac:dyDescent="0.25">
      <c r="A1152" s="1" t="s">
        <v>1164</v>
      </c>
      <c r="B1152" t="str">
        <f>HYPERLINK("https://www.suredividend.com/sure-analysis-research-database/","Oportun Financial Corp")</f>
        <v>Oportun Financial Corp</v>
      </c>
      <c r="C1152">
        <v>0.43288590604026811</v>
      </c>
      <c r="D1152">
        <v>-0.37481698389458201</v>
      </c>
      <c r="E1152">
        <v>-0.25087719298245598</v>
      </c>
      <c r="F1152">
        <v>9.2071611253196003E-2</v>
      </c>
      <c r="G1152">
        <v>-0.288333333333333</v>
      </c>
      <c r="H1152">
        <v>-0.78379746835443009</v>
      </c>
      <c r="I1152">
        <v>-0.7359307359307361</v>
      </c>
    </row>
    <row r="1153" spans="1:9" x14ac:dyDescent="0.25">
      <c r="A1153" s="1" t="s">
        <v>1165</v>
      </c>
      <c r="B1153" t="str">
        <f>HYPERLINK("https://www.suredividend.com/sure-analysis-research-database/","OptimizeRx Corp")</f>
        <v>OptimizeRx Corp</v>
      </c>
      <c r="C1153">
        <v>0.45472440944881798</v>
      </c>
      <c r="D1153">
        <v>0.74087161366313303</v>
      </c>
      <c r="E1153">
        <v>-5.3835800807530004E-3</v>
      </c>
      <c r="F1153">
        <v>3.2844164919636001E-2</v>
      </c>
      <c r="G1153">
        <v>-0.20194384449243999</v>
      </c>
      <c r="H1153">
        <v>-0.71267496111975104</v>
      </c>
      <c r="I1153">
        <v>0.13867488443759601</v>
      </c>
    </row>
    <row r="1154" spans="1:9" x14ac:dyDescent="0.25">
      <c r="A1154" s="1" t="s">
        <v>1166</v>
      </c>
      <c r="B1154" t="str">
        <f>HYPERLINK("https://www.suredividend.com/sure-analysis-research-database/","Oppenheimer Holdings Inc")</f>
        <v>Oppenheimer Holdings Inc</v>
      </c>
      <c r="C1154">
        <v>-2.8931750741838999E-2</v>
      </c>
      <c r="D1154">
        <v>9.0394146801982003E-2</v>
      </c>
      <c r="E1154">
        <v>-4.4330228075811003E-2</v>
      </c>
      <c r="F1154">
        <v>-4.9612778315585013E-2</v>
      </c>
      <c r="G1154">
        <v>-0.123306387339177</v>
      </c>
      <c r="H1154">
        <v>-0.15009014195464099</v>
      </c>
      <c r="I1154">
        <v>0.7049598832968631</v>
      </c>
    </row>
    <row r="1155" spans="1:9" x14ac:dyDescent="0.25">
      <c r="A1155" s="1" t="s">
        <v>1167</v>
      </c>
      <c r="B1155" t="str">
        <f>HYPERLINK("https://www.suredividend.com/sure-analysis-research-database/","Ormat Technologies Inc")</f>
        <v>Ormat Technologies Inc</v>
      </c>
      <c r="C1155">
        <v>-4.5181545181544998E-2</v>
      </c>
      <c r="D1155">
        <v>4.2508100116546002E-2</v>
      </c>
      <c r="E1155">
        <v>-0.16285693769597101</v>
      </c>
      <c r="F1155">
        <v>-7.7055020451246001E-2</v>
      </c>
      <c r="G1155">
        <v>-0.219789571837916</v>
      </c>
      <c r="H1155">
        <v>-6.6836890559110004E-2</v>
      </c>
      <c r="I1155">
        <v>0.32388288509945601</v>
      </c>
    </row>
    <row r="1156" spans="1:9" x14ac:dyDescent="0.25">
      <c r="A1156" s="1" t="s">
        <v>1168</v>
      </c>
      <c r="B1156" t="str">
        <f>HYPERLINK("https://www.suredividend.com/sure-analysis-ORC/","Orchid Island Capital Inc")</f>
        <v>Orchid Island Capital Inc</v>
      </c>
      <c r="C1156">
        <v>8.4037547118677003E-2</v>
      </c>
      <c r="D1156">
        <v>0.24334176356726001</v>
      </c>
      <c r="E1156">
        <v>-5.3142383714049002E-2</v>
      </c>
      <c r="F1156">
        <v>4.3890865954923003E-2</v>
      </c>
      <c r="G1156">
        <v>-0.115631218217996</v>
      </c>
      <c r="H1156">
        <v>-0.41986947063089203</v>
      </c>
      <c r="I1156">
        <v>-0.37493340909897999</v>
      </c>
    </row>
    <row r="1157" spans="1:9" x14ac:dyDescent="0.25">
      <c r="A1157" s="1" t="s">
        <v>1169</v>
      </c>
      <c r="B1157" t="str">
        <f>HYPERLINK("https://www.suredividend.com/sure-analysis-research-database/","Origin Materials Inc")</f>
        <v>Origin Materials Inc</v>
      </c>
      <c r="C1157">
        <v>-0.20410599188350401</v>
      </c>
      <c r="D1157">
        <v>-0.35262135922330101</v>
      </c>
      <c r="E1157">
        <v>-0.84273584905660304</v>
      </c>
      <c r="F1157">
        <v>-0.20258311408753801</v>
      </c>
      <c r="G1157">
        <v>-0.87876363636363608</v>
      </c>
      <c r="H1157">
        <v>-0.88886666666666603</v>
      </c>
      <c r="I1157">
        <v>-0.93332000000000004</v>
      </c>
    </row>
    <row r="1158" spans="1:9" x14ac:dyDescent="0.25">
      <c r="A1158" s="1" t="s">
        <v>1170</v>
      </c>
      <c r="B1158" t="str">
        <f>HYPERLINK("https://www.suredividend.com/sure-analysis-research-database/","Organogenesis Holdings Inc")</f>
        <v>Organogenesis Holdings Inc</v>
      </c>
      <c r="C1158">
        <v>0.11221590909090901</v>
      </c>
      <c r="D1158">
        <v>0.65889830508474501</v>
      </c>
      <c r="E1158">
        <v>6.6757493188010011E-2</v>
      </c>
      <c r="F1158">
        <v>-4.2787286063568998E-2</v>
      </c>
      <c r="G1158">
        <v>0.511583011583011</v>
      </c>
      <c r="H1158">
        <v>-0.523722627737226</v>
      </c>
      <c r="I1158">
        <v>-0.9739000000000001</v>
      </c>
    </row>
    <row r="1159" spans="1:9" x14ac:dyDescent="0.25">
      <c r="A1159" s="1" t="s">
        <v>1171</v>
      </c>
      <c r="B1159" t="str">
        <f>HYPERLINK("https://www.suredividend.com/sure-analysis-research-database/","Orrstown Financial Services, Inc.")</f>
        <v>Orrstown Financial Services, Inc.</v>
      </c>
      <c r="C1159">
        <v>8.1749049429657009E-2</v>
      </c>
      <c r="D1159">
        <v>0.38180581864102198</v>
      </c>
      <c r="E1159">
        <v>0.49773102961769611</v>
      </c>
      <c r="F1159">
        <v>-3.5593220338983003E-2</v>
      </c>
      <c r="G1159">
        <v>0.25596528326542101</v>
      </c>
      <c r="H1159">
        <v>0.24495672189110801</v>
      </c>
      <c r="I1159">
        <v>0.78601696245283803</v>
      </c>
    </row>
    <row r="1160" spans="1:9" x14ac:dyDescent="0.25">
      <c r="A1160" s="1" t="s">
        <v>1172</v>
      </c>
      <c r="B1160" t="str">
        <f>HYPERLINK("https://www.suredividend.com/sure-analysis-research-database/","Old Second Bancorporation Inc.")</f>
        <v>Old Second Bancorporation Inc.</v>
      </c>
      <c r="C1160">
        <v>-6.3046192259675005E-2</v>
      </c>
      <c r="D1160">
        <v>0.131114309613341</v>
      </c>
      <c r="E1160">
        <v>0.102460521483657</v>
      </c>
      <c r="F1160">
        <v>-2.7849740932642E-2</v>
      </c>
      <c r="G1160">
        <v>-6.9493521790341004E-2</v>
      </c>
      <c r="H1160">
        <v>0.131097262307558</v>
      </c>
      <c r="I1160">
        <v>0.16761180213608301</v>
      </c>
    </row>
    <row r="1161" spans="1:9" x14ac:dyDescent="0.25">
      <c r="A1161" s="1" t="s">
        <v>1173</v>
      </c>
      <c r="B1161" t="str">
        <f>HYPERLINK("https://www.suredividend.com/sure-analysis-research-database/","Oscar Health Inc")</f>
        <v>Oscar Health Inc</v>
      </c>
      <c r="C1161">
        <v>0.39294403892944002</v>
      </c>
      <c r="D1161">
        <v>1.3225152129817439</v>
      </c>
      <c r="E1161">
        <v>0.54729729729729704</v>
      </c>
      <c r="F1161">
        <v>0.25136612021857901</v>
      </c>
      <c r="G1161">
        <v>2.816666666666666</v>
      </c>
      <c r="H1161">
        <v>0.55782312925170008</v>
      </c>
      <c r="I1161">
        <v>-0.67097701149425204</v>
      </c>
    </row>
    <row r="1162" spans="1:9" x14ac:dyDescent="0.25">
      <c r="A1162" s="1" t="s">
        <v>1174</v>
      </c>
      <c r="B1162" t="str">
        <f>HYPERLINK("https://www.suredividend.com/sure-analysis-research-database/","OSI Systems, Inc.")</f>
        <v>OSI Systems, Inc.</v>
      </c>
      <c r="C1162">
        <v>-2.3478602277187999E-2</v>
      </c>
      <c r="D1162">
        <v>5.9735832978270002E-2</v>
      </c>
      <c r="E1162">
        <v>4.6360959192259001E-2</v>
      </c>
      <c r="F1162">
        <v>-3.6342502905849998E-2</v>
      </c>
      <c r="G1162">
        <v>0.41398521887436002</v>
      </c>
      <c r="H1162">
        <v>0.40045045045045002</v>
      </c>
      <c r="I1162">
        <v>0.62434691745036508</v>
      </c>
    </row>
    <row r="1163" spans="1:9" x14ac:dyDescent="0.25">
      <c r="A1163" s="1" t="s">
        <v>1175</v>
      </c>
      <c r="B1163" t="str">
        <f>HYPERLINK("https://www.suredividend.com/sure-analysis-research-database/","OneSpan Inc")</f>
        <v>OneSpan Inc</v>
      </c>
      <c r="C1163">
        <v>3.3797216699801E-2</v>
      </c>
      <c r="D1163">
        <v>0.15171650055371</v>
      </c>
      <c r="E1163">
        <v>-0.28325292901447202</v>
      </c>
      <c r="F1163">
        <v>-2.9850746268656001E-2</v>
      </c>
      <c r="G1163">
        <v>-0.1875</v>
      </c>
      <c r="H1163">
        <v>-0.39216832261835111</v>
      </c>
      <c r="I1163">
        <v>-0.245283018867924</v>
      </c>
    </row>
    <row r="1164" spans="1:9" x14ac:dyDescent="0.25">
      <c r="A1164" s="1" t="s">
        <v>1176</v>
      </c>
      <c r="B1164" t="str">
        <f>HYPERLINK("https://www.suredividend.com/sure-analysis-research-database/","Beyond Inc")</f>
        <v>Beyond Inc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25">
      <c r="A1165" s="1" t="s">
        <v>1177</v>
      </c>
      <c r="B1165" t="str">
        <f>HYPERLINK("https://www.suredividend.com/sure-analysis-research-database/","Orasure Technologies Inc.")</f>
        <v>Orasure Technologies Inc.</v>
      </c>
      <c r="C1165">
        <v>9.3117408906882013E-2</v>
      </c>
      <c r="D1165">
        <v>0.50557620817843807</v>
      </c>
      <c r="E1165">
        <v>0.71974522292993603</v>
      </c>
      <c r="F1165">
        <v>-1.2195121951218999E-2</v>
      </c>
      <c r="G1165">
        <v>0.56976744186046502</v>
      </c>
      <c r="H1165">
        <v>-8.5679314565479999E-3</v>
      </c>
      <c r="I1165">
        <v>-0.33442892358257997</v>
      </c>
    </row>
    <row r="1166" spans="1:9" x14ac:dyDescent="0.25">
      <c r="A1166" s="1" t="s">
        <v>1178</v>
      </c>
      <c r="B1166" t="str">
        <f>HYPERLINK("https://www.suredividend.com/sure-analysis-research-database/","OneSpaWorld Holdings Limited")</f>
        <v>OneSpaWorld Holdings Limited</v>
      </c>
      <c r="C1166">
        <v>3.5604900459418012E-2</v>
      </c>
      <c r="D1166">
        <v>0.34043607532210102</v>
      </c>
      <c r="E1166">
        <v>0.15499573014517401</v>
      </c>
      <c r="F1166">
        <v>-4.0780141843971003E-2</v>
      </c>
      <c r="G1166">
        <v>0.25580315691736299</v>
      </c>
      <c r="H1166">
        <v>0.31056201550387602</v>
      </c>
      <c r="I1166">
        <v>0.105805786982151</v>
      </c>
    </row>
    <row r="1167" spans="1:9" x14ac:dyDescent="0.25">
      <c r="A1167" s="1" t="s">
        <v>1179</v>
      </c>
      <c r="B1167" t="str">
        <f>HYPERLINK("https://www.suredividend.com/sure-analysis-research-database/","Outlook Therapeutics Inc")</f>
        <v>Outlook Therapeutics Inc</v>
      </c>
      <c r="C1167">
        <v>-8.1795511221945005E-2</v>
      </c>
      <c r="D1167">
        <v>0.13292307692307601</v>
      </c>
      <c r="E1167">
        <v>-0.79079545454545408</v>
      </c>
      <c r="F1167">
        <v>-6.5482233502538012E-2</v>
      </c>
      <c r="G1167">
        <v>-0.72725925925925905</v>
      </c>
      <c r="H1167">
        <v>-0.71676923076923005</v>
      </c>
      <c r="I1167">
        <v>-0.93237584484278502</v>
      </c>
    </row>
    <row r="1168" spans="1:9" x14ac:dyDescent="0.25">
      <c r="A1168" s="1" t="s">
        <v>1180</v>
      </c>
      <c r="B1168" t="str">
        <f>HYPERLINK("https://www.suredividend.com/sure-analysis-OTTR/","Otter Tail Corporation")</f>
        <v>Otter Tail Corporation</v>
      </c>
      <c r="C1168">
        <v>5.8261091279959001E-2</v>
      </c>
      <c r="D1168">
        <v>0.127116653382775</v>
      </c>
      <c r="E1168">
        <v>4.5072447529205001E-2</v>
      </c>
      <c r="F1168">
        <v>-2.3066964811109002E-2</v>
      </c>
      <c r="G1168">
        <v>0.36263130161575402</v>
      </c>
      <c r="H1168">
        <v>0.37759242448632702</v>
      </c>
      <c r="I1168">
        <v>1.0348830083224041</v>
      </c>
    </row>
    <row r="1169" spans="1:9" x14ac:dyDescent="0.25">
      <c r="A1169" s="1" t="s">
        <v>1181</v>
      </c>
      <c r="B1169" t="str">
        <f>HYPERLINK("https://www.suredividend.com/sure-analysis-research-database/","Ouster Inc")</f>
        <v>Ouster Inc</v>
      </c>
      <c r="C1169">
        <v>-5.9970014992500008E-3</v>
      </c>
      <c r="D1169">
        <v>0.56737588652482207</v>
      </c>
      <c r="E1169">
        <v>6.4205457463884008E-2</v>
      </c>
      <c r="F1169">
        <v>-0.13559322033898299</v>
      </c>
      <c r="G1169">
        <v>-0.45206611570247901</v>
      </c>
      <c r="H1169">
        <v>-0.83829268292682901</v>
      </c>
      <c r="I1169">
        <v>-0.31649484536082401</v>
      </c>
    </row>
    <row r="1170" spans="1:9" x14ac:dyDescent="0.25">
      <c r="A1170" s="1" t="s">
        <v>1182</v>
      </c>
      <c r="B1170" t="str">
        <f>HYPERLINK("https://www.suredividend.com/sure-analysis-research-database/","Outfront Media Inc")</f>
        <v>Outfront Media Inc</v>
      </c>
      <c r="C1170">
        <v>8.6457536342769009E-2</v>
      </c>
      <c r="D1170">
        <v>0.68754307988496111</v>
      </c>
      <c r="E1170">
        <v>-8.0030838402880999E-2</v>
      </c>
      <c r="F1170">
        <v>1.7191977077362999E-2</v>
      </c>
      <c r="G1170">
        <v>-0.18804249625470301</v>
      </c>
      <c r="H1170">
        <v>-0.35851392069967097</v>
      </c>
      <c r="I1170">
        <v>-0.121651295564339</v>
      </c>
    </row>
    <row r="1171" spans="1:9" x14ac:dyDescent="0.25">
      <c r="A1171" s="1" t="s">
        <v>1183</v>
      </c>
      <c r="B1171" t="str">
        <f>HYPERLINK("https://www.suredividend.com/sure-analysis-research-database/","Oxford Industries, Inc.")</f>
        <v>Oxford Industries, Inc.</v>
      </c>
      <c r="C1171">
        <v>-2.2185870565380999E-2</v>
      </c>
      <c r="D1171">
        <v>6.4085447263017001E-2</v>
      </c>
      <c r="E1171">
        <v>-6.7188016623638006E-2</v>
      </c>
      <c r="F1171">
        <v>-4.3599999999999001E-2</v>
      </c>
      <c r="G1171">
        <v>-8.9689910158752009E-2</v>
      </c>
      <c r="H1171">
        <v>3.9555047831053E-2</v>
      </c>
      <c r="I1171">
        <v>0.40447540699535611</v>
      </c>
    </row>
    <row r="1172" spans="1:9" x14ac:dyDescent="0.25">
      <c r="A1172" s="1" t="s">
        <v>1184</v>
      </c>
      <c r="B1172" t="str">
        <f>HYPERLINK("https://www.suredividend.com/sure-analysis-research-database/","Pacific Biosciences of California Inc")</f>
        <v>Pacific Biosciences of California Inc</v>
      </c>
      <c r="C1172">
        <v>-0.24266365688487501</v>
      </c>
      <c r="D1172">
        <v>-0.15914786967418501</v>
      </c>
      <c r="E1172">
        <v>-0.51657060518731901</v>
      </c>
      <c r="F1172">
        <v>-0.31600407747196702</v>
      </c>
      <c r="G1172">
        <v>-0.38777372262773702</v>
      </c>
      <c r="H1172">
        <v>-0.49166666666666597</v>
      </c>
      <c r="I1172">
        <v>-7.063711911357301E-2</v>
      </c>
    </row>
    <row r="1173" spans="1:9" x14ac:dyDescent="0.25">
      <c r="A1173" s="1" t="s">
        <v>1185</v>
      </c>
      <c r="B1173" t="str">
        <f>HYPERLINK("https://www.suredividend.com/sure-analysis-research-database/","Ranpak Holdings Corp")</f>
        <v>Ranpak Holdings Corp</v>
      </c>
      <c r="C1173">
        <v>8.4388185654000001E-3</v>
      </c>
      <c r="D1173">
        <v>7.9006772009029003E-2</v>
      </c>
      <c r="E1173">
        <v>1.9189765458421999E-2</v>
      </c>
      <c r="F1173">
        <v>-0.17869415807560099</v>
      </c>
      <c r="G1173">
        <v>-0.28763040238449999</v>
      </c>
      <c r="H1173">
        <v>-0.85585042219541607</v>
      </c>
      <c r="I1173">
        <v>-0.52579365079365004</v>
      </c>
    </row>
    <row r="1174" spans="1:9" x14ac:dyDescent="0.25">
      <c r="A1174" s="1" t="s">
        <v>1186</v>
      </c>
      <c r="B1174" t="str">
        <f>HYPERLINK("https://www.suredividend.com/sure-analysis-research-database/","Phibro Animal Health Corp.")</f>
        <v>Phibro Animal Health Corp.</v>
      </c>
      <c r="C1174">
        <v>-1.7241379310344002E-2</v>
      </c>
      <c r="D1174">
        <v>-8.5922009253130011E-3</v>
      </c>
      <c r="E1174">
        <v>-0.193400031131928</v>
      </c>
      <c r="F1174">
        <v>-1.5544041450777001E-2</v>
      </c>
      <c r="G1174">
        <v>-0.17871577081847401</v>
      </c>
      <c r="H1174">
        <v>-0.40028723085259099</v>
      </c>
      <c r="I1174">
        <v>-0.60107499790039409</v>
      </c>
    </row>
    <row r="1175" spans="1:9" x14ac:dyDescent="0.25">
      <c r="A1175" s="1" t="s">
        <v>1187</v>
      </c>
      <c r="B1175" t="str">
        <f>HYPERLINK("https://www.suredividend.com/sure-analysis-research-database/","Par Technology Corp.")</f>
        <v>Par Technology Corp.</v>
      </c>
      <c r="C1175">
        <v>-1.7870257037943E-2</v>
      </c>
      <c r="D1175">
        <v>7.445099089448301E-2</v>
      </c>
      <c r="E1175">
        <v>0.16391064693936699</v>
      </c>
      <c r="F1175">
        <v>-7.8548461185117005E-2</v>
      </c>
      <c r="G1175">
        <v>0.27243894703457</v>
      </c>
      <c r="H1175">
        <v>-0.13272805879809699</v>
      </c>
      <c r="I1175">
        <v>0.84121156493804405</v>
      </c>
    </row>
    <row r="1176" spans="1:9" x14ac:dyDescent="0.25">
      <c r="A1176" s="1" t="s">
        <v>1188</v>
      </c>
      <c r="B1176" t="str">
        <f>HYPERLINK("https://www.suredividend.com/sure-analysis-research-database/","Par Pacific Holdings Inc")</f>
        <v>Par Pacific Holdings Inc</v>
      </c>
      <c r="C1176">
        <v>3.6727381307853003E-2</v>
      </c>
      <c r="D1176">
        <v>7.4257425742574004E-2</v>
      </c>
      <c r="E1176">
        <v>0.28544983339503799</v>
      </c>
      <c r="F1176">
        <v>-4.5367060764366002E-2</v>
      </c>
      <c r="G1176">
        <v>0.47305897327110702</v>
      </c>
      <c r="H1176">
        <v>1.0139211136890951</v>
      </c>
      <c r="I1176">
        <v>1.305444887118193</v>
      </c>
    </row>
    <row r="1177" spans="1:9" x14ac:dyDescent="0.25">
      <c r="A1177" s="1" t="s">
        <v>1189</v>
      </c>
      <c r="B1177" t="str">
        <f>HYPERLINK("https://www.suredividend.com/sure-analysis-research-database/","Patrick Industries, Inc.")</f>
        <v>Patrick Industries, Inc.</v>
      </c>
      <c r="C1177">
        <v>9.5659975328025004E-2</v>
      </c>
      <c r="D1177">
        <v>0.37201180182925497</v>
      </c>
      <c r="E1177">
        <v>0.19695187689895099</v>
      </c>
      <c r="F1177">
        <v>-2.6407573492775002E-2</v>
      </c>
      <c r="G1177">
        <v>0.529162075528398</v>
      </c>
      <c r="H1177">
        <v>0.33751884094477802</v>
      </c>
      <c r="I1177">
        <v>2.0578934025245621</v>
      </c>
    </row>
    <row r="1178" spans="1:9" x14ac:dyDescent="0.25">
      <c r="A1178" s="1" t="s">
        <v>1190</v>
      </c>
      <c r="B1178" t="str">
        <f>HYPERLINK("https://www.suredividend.com/sure-analysis-research-database/","Payoneer Global Inc")</f>
        <v>Payoneer Global Inc</v>
      </c>
      <c r="C1178">
        <v>-6.769825918762E-2</v>
      </c>
      <c r="D1178">
        <v>-0.14991181657848299</v>
      </c>
      <c r="E1178">
        <v>-6.2256809338521013E-2</v>
      </c>
      <c r="F1178">
        <v>-7.4856046065259002E-2</v>
      </c>
      <c r="G1178">
        <v>-0.16608996539792301</v>
      </c>
      <c r="H1178">
        <v>-0.249221183800622</v>
      </c>
      <c r="I1178">
        <v>-0.54528301886792407</v>
      </c>
    </row>
    <row r="1179" spans="1:9" x14ac:dyDescent="0.25">
      <c r="A1179" s="1" t="s">
        <v>1191</v>
      </c>
      <c r="B1179" t="str">
        <f>HYPERLINK("https://www.suredividend.com/sure-analysis-research-database/","PBF Energy Inc")</f>
        <v>PBF Energy Inc</v>
      </c>
      <c r="C1179">
        <v>4.3330087633885003E-2</v>
      </c>
      <c r="D1179">
        <v>-7.5051200210627E-2</v>
      </c>
      <c r="E1179">
        <v>6.330457995003401E-2</v>
      </c>
      <c r="F1179">
        <v>-2.5022747952683999E-2</v>
      </c>
      <c r="G1179">
        <v>9.9098359814953005E-2</v>
      </c>
      <c r="H1179">
        <v>1.5792397080151399</v>
      </c>
      <c r="I1179">
        <v>0.34774788372765802</v>
      </c>
    </row>
    <row r="1180" spans="1:9" x14ac:dyDescent="0.25">
      <c r="A1180" s="1" t="s">
        <v>1192</v>
      </c>
      <c r="B1180" t="str">
        <f>HYPERLINK("https://www.suredividend.com/sure-analysis-research-database/","Pioneer Bancorp Inc")</f>
        <v>Pioneer Bancorp Inc</v>
      </c>
      <c r="C1180">
        <v>9.0000000000000011E-2</v>
      </c>
      <c r="D1180">
        <v>0.14736842105263101</v>
      </c>
      <c r="E1180">
        <v>5.5974165769644008E-2</v>
      </c>
      <c r="F1180">
        <v>-1.9980019980019002E-2</v>
      </c>
      <c r="G1180">
        <v>-0.139473684210526</v>
      </c>
      <c r="H1180">
        <v>-0.131089459698848</v>
      </c>
      <c r="I1180">
        <v>-0.33491525423728802</v>
      </c>
    </row>
    <row r="1181" spans="1:9" x14ac:dyDescent="0.25">
      <c r="A1181" s="1" t="s">
        <v>1193</v>
      </c>
      <c r="B1181" t="str">
        <f>HYPERLINK("https://www.suredividend.com/sure-analysis-research-database/","Prestige Consumer Healthcare Inc")</f>
        <v>Prestige Consumer Healthcare Inc</v>
      </c>
      <c r="C1181">
        <v>-1.7002310993727E-2</v>
      </c>
      <c r="D1181">
        <v>2.3565056387809999E-3</v>
      </c>
      <c r="E1181">
        <v>1.0349507974210999E-2</v>
      </c>
      <c r="F1181">
        <v>-2.7278667102254E-2</v>
      </c>
      <c r="G1181">
        <v>-0.1061242870009</v>
      </c>
      <c r="H1181">
        <v>-3.3472803347279999E-3</v>
      </c>
      <c r="I1181">
        <v>0.89770554493307808</v>
      </c>
    </row>
    <row r="1182" spans="1:9" x14ac:dyDescent="0.25">
      <c r="A1182" s="1" t="s">
        <v>1194</v>
      </c>
      <c r="B1182" t="str">
        <f>HYPERLINK("https://www.suredividend.com/sure-analysis-research-database/","Pitney Bowes, Inc.")</f>
        <v>Pitney Bowes, Inc.</v>
      </c>
      <c r="C1182">
        <v>-3.4722222222222002E-2</v>
      </c>
      <c r="D1182">
        <v>0.166825228048575</v>
      </c>
      <c r="E1182">
        <v>0.16088082180340099</v>
      </c>
      <c r="F1182">
        <v>-5.2272727272727013E-2</v>
      </c>
      <c r="G1182">
        <v>-3.6729036729035998E-2</v>
      </c>
      <c r="H1182">
        <v>-0.300558546772002</v>
      </c>
      <c r="I1182">
        <v>-0.23998031603696199</v>
      </c>
    </row>
    <row r="1183" spans="1:9" x14ac:dyDescent="0.25">
      <c r="A1183" s="1" t="s">
        <v>1195</v>
      </c>
      <c r="B1183" t="str">
        <f>HYPERLINK("https://www.suredividend.com/sure-analysis-research-database/","PCB Bancorp.")</f>
        <v>PCB Bancorp.</v>
      </c>
      <c r="C1183">
        <v>7.0265379975874009E-2</v>
      </c>
      <c r="D1183">
        <v>0.17631851085832401</v>
      </c>
      <c r="E1183">
        <v>0.18734568520785999</v>
      </c>
      <c r="F1183">
        <v>-3.7167661421595E-2</v>
      </c>
      <c r="G1183">
        <v>2.6725529563562E-2</v>
      </c>
      <c r="H1183">
        <v>-0.193922049604796</v>
      </c>
      <c r="I1183">
        <v>0.39073937645970802</v>
      </c>
    </row>
    <row r="1184" spans="1:9" x14ac:dyDescent="0.25">
      <c r="A1184" s="1" t="s">
        <v>1196</v>
      </c>
      <c r="B1184" t="str">
        <f>HYPERLINK("https://www.suredividend.com/sure-analysis-research-database/","PotlatchDeltic Corp")</f>
        <v>PotlatchDeltic Corp</v>
      </c>
      <c r="C1184">
        <v>5.9639118714221007E-2</v>
      </c>
      <c r="D1184">
        <v>8.467117779560801E-2</v>
      </c>
      <c r="E1184">
        <v>-7.3675056390904006E-2</v>
      </c>
      <c r="F1184">
        <v>-2.8105906313644999E-2</v>
      </c>
      <c r="G1184">
        <v>0.140816214316621</v>
      </c>
      <c r="H1184">
        <v>-9.0831150273874006E-2</v>
      </c>
      <c r="I1184">
        <v>0.88493670136077207</v>
      </c>
    </row>
    <row r="1185" spans="1:9" x14ac:dyDescent="0.25">
      <c r="A1185" s="1" t="s">
        <v>1197</v>
      </c>
      <c r="B1185" t="str">
        <f>HYPERLINK("https://www.suredividend.com/sure-analysis-research-database/","Pacira BioSciences Inc")</f>
        <v>Pacira BioSciences Inc</v>
      </c>
      <c r="C1185">
        <v>7.8480589022757008E-2</v>
      </c>
      <c r="D1185">
        <v>0.105868222374742</v>
      </c>
      <c r="E1185">
        <v>-0.135131508319914</v>
      </c>
      <c r="F1185">
        <v>-4.4902193242441997E-2</v>
      </c>
      <c r="G1185">
        <v>-0.138829502939604</v>
      </c>
      <c r="H1185">
        <v>-0.47456383499103211</v>
      </c>
      <c r="I1185">
        <v>-0.15993222106360699</v>
      </c>
    </row>
    <row r="1186" spans="1:9" x14ac:dyDescent="0.25">
      <c r="A1186" s="1" t="s">
        <v>1198</v>
      </c>
      <c r="B1186" t="str">
        <f>HYPERLINK("https://www.suredividend.com/sure-analysis-research-database/","PureCycle Technologies Inc")</f>
        <v>PureCycle Technologies Inc</v>
      </c>
      <c r="C1186">
        <v>-0.51120162932790203</v>
      </c>
      <c r="D1186">
        <v>-0.50617283950617209</v>
      </c>
      <c r="E1186">
        <v>-0.78142076502732205</v>
      </c>
      <c r="F1186">
        <v>-0.40740740740740711</v>
      </c>
      <c r="G1186">
        <v>-0.68668407310704904</v>
      </c>
      <c r="H1186">
        <v>-0.70479704797047904</v>
      </c>
      <c r="I1186">
        <v>-0.76470588235294101</v>
      </c>
    </row>
    <row r="1187" spans="1:9" x14ac:dyDescent="0.25">
      <c r="A1187" s="1" t="s">
        <v>1199</v>
      </c>
      <c r="B1187" t="str">
        <f>HYPERLINK("https://www.suredividend.com/sure-analysis-research-database/","Vaxcyte Inc")</f>
        <v>Vaxcyte Inc</v>
      </c>
      <c r="C1187">
        <v>2.4983119513840999E-2</v>
      </c>
      <c r="D1187">
        <v>0.32</v>
      </c>
      <c r="E1187">
        <v>0.253509496284062</v>
      </c>
      <c r="F1187">
        <v>-3.3121019108279998E-2</v>
      </c>
      <c r="G1187">
        <v>0.36082474226804101</v>
      </c>
      <c r="H1187">
        <v>2.0497237569060771</v>
      </c>
      <c r="I1187">
        <v>1.321988527724665</v>
      </c>
    </row>
    <row r="1188" spans="1:9" x14ac:dyDescent="0.25">
      <c r="A1188" s="1" t="s">
        <v>1200</v>
      </c>
      <c r="B1188" t="str">
        <f>HYPERLINK("https://www.suredividend.com/sure-analysis-research-database/","Pure Cycle Corp.")</f>
        <v>Pure Cycle Corp.</v>
      </c>
      <c r="C1188">
        <v>-5.3080568720379001E-2</v>
      </c>
      <c r="D1188">
        <v>2.2517911975435002E-2</v>
      </c>
      <c r="E1188">
        <v>-9.8375451263537014E-2</v>
      </c>
      <c r="F1188">
        <v>-4.5845272206303002E-2</v>
      </c>
      <c r="G1188">
        <v>1.5243902439024E-2</v>
      </c>
      <c r="H1188">
        <v>-0.25724907063197</v>
      </c>
      <c r="I1188">
        <v>2.7777777777776999E-2</v>
      </c>
    </row>
    <row r="1189" spans="1:9" x14ac:dyDescent="0.25">
      <c r="A1189" s="1" t="s">
        <v>1201</v>
      </c>
      <c r="B1189" t="str">
        <f>HYPERLINK("https://www.suredividend.com/sure-analysis-research-database/","Pagerduty Inc")</f>
        <v>Pagerduty Inc</v>
      </c>
      <c r="C1189">
        <v>0.16837416481069001</v>
      </c>
      <c r="D1189">
        <v>0.27391937833899899</v>
      </c>
      <c r="E1189">
        <v>6.1943319838056003E-2</v>
      </c>
      <c r="F1189">
        <v>0.13304535637149001</v>
      </c>
      <c r="G1189">
        <v>-5.3751803751803003E-2</v>
      </c>
      <c r="H1189">
        <v>-0.14392950391644899</v>
      </c>
      <c r="I1189">
        <v>-0.31424836601307099</v>
      </c>
    </row>
    <row r="1190" spans="1:9" x14ac:dyDescent="0.25">
      <c r="A1190" s="1" t="s">
        <v>1202</v>
      </c>
      <c r="B1190" t="str">
        <f>HYPERLINK("https://www.suredividend.com/sure-analysis-PDCO/","Patterson Companies Inc.")</f>
        <v>Patterson Companies Inc.</v>
      </c>
      <c r="C1190">
        <v>0.106422703510081</v>
      </c>
      <c r="D1190">
        <v>2.4299013727611E-2</v>
      </c>
      <c r="E1190">
        <v>-6.6924472212425007E-2</v>
      </c>
      <c r="F1190">
        <v>4.1476274165202012E-2</v>
      </c>
      <c r="G1190">
        <v>8.9939304763656011E-2</v>
      </c>
      <c r="H1190">
        <v>0.13748478810842699</v>
      </c>
      <c r="I1190">
        <v>0.67610406213407603</v>
      </c>
    </row>
    <row r="1191" spans="1:9" x14ac:dyDescent="0.25">
      <c r="A1191" s="1" t="s">
        <v>1203</v>
      </c>
      <c r="B1191" t="str">
        <f>HYPERLINK("https://www.suredividend.com/sure-analysis-research-database/","PDF Solutions Inc.")</f>
        <v>PDF Solutions Inc.</v>
      </c>
      <c r="C1191">
        <v>-2.6748308088945998E-2</v>
      </c>
      <c r="D1191">
        <v>-3.3101621979400001E-4</v>
      </c>
      <c r="E1191">
        <v>-0.34433347807207898</v>
      </c>
      <c r="F1191">
        <v>-6.0360920970752012E-2</v>
      </c>
      <c r="G1191">
        <v>-1.2749264465510999E-2</v>
      </c>
      <c r="H1191">
        <v>0.115626154414481</v>
      </c>
      <c r="I1191">
        <v>2.2543103448275859</v>
      </c>
    </row>
    <row r="1192" spans="1:9" x14ac:dyDescent="0.25">
      <c r="A1192" s="1" t="s">
        <v>1204</v>
      </c>
      <c r="B1192" t="str">
        <f>HYPERLINK("https://www.suredividend.com/sure-analysis-research-database/","PDL Biopharma Inc")</f>
        <v>PDL Biopharma Inc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25">
      <c r="A1193" s="1" t="s">
        <v>1205</v>
      </c>
      <c r="B1193" t="str">
        <f>HYPERLINK("https://www.suredividend.com/sure-analysis-PDM/","Piedmont Office Realty Trust Inc")</f>
        <v>Piedmont Office Realty Trust Inc</v>
      </c>
      <c r="C1193">
        <v>2.3809523809523E-2</v>
      </c>
      <c r="D1193">
        <v>0.46604628775420098</v>
      </c>
      <c r="E1193">
        <v>-3.3465113511655001E-2</v>
      </c>
      <c r="F1193">
        <v>2.8129395218002E-2</v>
      </c>
      <c r="G1193">
        <v>-0.19566030677141799</v>
      </c>
      <c r="H1193">
        <v>-0.5582414261973101</v>
      </c>
      <c r="I1193">
        <v>-0.45835000518679803</v>
      </c>
    </row>
    <row r="1194" spans="1:9" x14ac:dyDescent="0.25">
      <c r="A1194" s="1" t="s">
        <v>1206</v>
      </c>
      <c r="B1194" t="str">
        <f>HYPERLINK("https://www.suredividend.com/sure-analysis-research-database/","Pebblebrook Hotel Trust")</f>
        <v>Pebblebrook Hotel Trust</v>
      </c>
      <c r="C1194">
        <v>9.7902197224707013E-2</v>
      </c>
      <c r="D1194">
        <v>0.181776486775722</v>
      </c>
      <c r="E1194">
        <v>9.1753938717718003E-2</v>
      </c>
      <c r="F1194">
        <v>-3.2540675844806001E-2</v>
      </c>
      <c r="G1194">
        <v>0.108211950911801</v>
      </c>
      <c r="H1194">
        <v>-0.34147473878355911</v>
      </c>
      <c r="I1194">
        <v>-0.46277100353403511</v>
      </c>
    </row>
    <row r="1195" spans="1:9" x14ac:dyDescent="0.25">
      <c r="A1195" s="1" t="s">
        <v>1207</v>
      </c>
      <c r="B1195" t="str">
        <f>HYPERLINK("https://www.suredividend.com/sure-analysis-research-database/","Peoples Bancorp, Inc. (Marietta, OH)")</f>
        <v>Peoples Bancorp, Inc. (Marietta, OH)</v>
      </c>
      <c r="C1195">
        <v>-1.6270337922402001E-2</v>
      </c>
      <c r="D1195">
        <v>0.25002484941255998</v>
      </c>
      <c r="E1195">
        <v>0.22954185487182499</v>
      </c>
      <c r="F1195">
        <v>-6.8720379146919003E-2</v>
      </c>
      <c r="G1195">
        <v>0.20010993373438701</v>
      </c>
      <c r="H1195">
        <v>0.10353735670511199</v>
      </c>
      <c r="I1195">
        <v>0.35047485685567797</v>
      </c>
    </row>
    <row r="1196" spans="1:9" x14ac:dyDescent="0.25">
      <c r="A1196" s="1" t="s">
        <v>1208</v>
      </c>
      <c r="B1196" t="str">
        <f>HYPERLINK("https://www.suredividend.com/sure-analysis-PECO/","Phillips Edison &amp; Company Inc")</f>
        <v>Phillips Edison &amp; Company Inc</v>
      </c>
      <c r="C1196">
        <v>-2.2643062988884001E-2</v>
      </c>
      <c r="D1196">
        <v>5.9887671550900003E-2</v>
      </c>
      <c r="E1196">
        <v>8.4771165375054011E-2</v>
      </c>
      <c r="F1196">
        <v>-2.1162784944433001E-2</v>
      </c>
      <c r="G1196">
        <v>0.108068581385941</v>
      </c>
      <c r="H1196">
        <v>0.107799706328862</v>
      </c>
      <c r="I1196">
        <v>0.40313409958666402</v>
      </c>
    </row>
    <row r="1197" spans="1:9" x14ac:dyDescent="0.25">
      <c r="A1197" s="1" t="s">
        <v>1209</v>
      </c>
      <c r="B1197" t="str">
        <f>HYPERLINK("https://www.suredividend.com/sure-analysis-research-database/","PepGen Inc")</f>
        <v>PepGen Inc</v>
      </c>
      <c r="C1197">
        <v>-0.13693467336683399</v>
      </c>
      <c r="D1197">
        <v>0.21592920353982301</v>
      </c>
      <c r="E1197">
        <v>-0.177245508982035</v>
      </c>
      <c r="F1197">
        <v>1.0294117647057999E-2</v>
      </c>
      <c r="G1197">
        <v>-0.57062499999999905</v>
      </c>
      <c r="H1197">
        <v>-0.46702870442203198</v>
      </c>
      <c r="I1197">
        <v>-0.46702870442203198</v>
      </c>
    </row>
    <row r="1198" spans="1:9" x14ac:dyDescent="0.25">
      <c r="A1198" s="1" t="s">
        <v>1210</v>
      </c>
      <c r="B1198" t="str">
        <f>HYPERLINK("https://www.suredividend.com/sure-analysis-research-database/","PetIQ Inc")</f>
        <v>PetIQ Inc</v>
      </c>
      <c r="C1198">
        <v>-3.0655391120507001E-2</v>
      </c>
      <c r="D1198">
        <v>-0.10623781676413201</v>
      </c>
      <c r="E1198">
        <v>0.18018018018018001</v>
      </c>
      <c r="F1198">
        <v>-7.1392405063291003E-2</v>
      </c>
      <c r="G1198">
        <v>0.65672990063233905</v>
      </c>
      <c r="H1198">
        <v>-9.3873517786561E-2</v>
      </c>
      <c r="I1198">
        <v>-0.274812178726769</v>
      </c>
    </row>
    <row r="1199" spans="1:9" x14ac:dyDescent="0.25">
      <c r="A1199" s="1" t="s">
        <v>1211</v>
      </c>
      <c r="B1199" t="str">
        <f>HYPERLINK("https://www.suredividend.com/sure-analysis-PETS/","Petmed Express, Inc.")</f>
        <v>Petmed Express, Inc.</v>
      </c>
      <c r="C1199">
        <v>-1.4945652173913001E-2</v>
      </c>
      <c r="D1199">
        <v>-0.25257731958762802</v>
      </c>
      <c r="E1199">
        <v>-0.45219349281428911</v>
      </c>
      <c r="F1199">
        <v>-4.1005291005289997E-2</v>
      </c>
      <c r="G1199">
        <v>-0.60613024322136499</v>
      </c>
      <c r="H1199">
        <v>-0.6734057696812441</v>
      </c>
      <c r="I1199">
        <v>-0.59385346232920799</v>
      </c>
    </row>
    <row r="1200" spans="1:9" x14ac:dyDescent="0.25">
      <c r="A1200" s="1" t="s">
        <v>1212</v>
      </c>
      <c r="B1200" t="str">
        <f>HYPERLINK("https://www.suredividend.com/sure-analysis-research-database/","Preferred Bank (Los Angeles, CA)")</f>
        <v>Preferred Bank (Los Angeles, CA)</v>
      </c>
      <c r="C1200">
        <v>4.8265895953757007E-2</v>
      </c>
      <c r="D1200">
        <v>0.18517986011152501</v>
      </c>
      <c r="E1200">
        <v>0.27268069995684002</v>
      </c>
      <c r="F1200">
        <v>1.2391821035252E-2</v>
      </c>
      <c r="G1200">
        <v>5.9356996297946003E-2</v>
      </c>
      <c r="H1200">
        <v>6.7870681520900008E-4</v>
      </c>
      <c r="I1200">
        <v>0.9414669396603641</v>
      </c>
    </row>
    <row r="1201" spans="1:9" x14ac:dyDescent="0.25">
      <c r="A1201" s="1" t="s">
        <v>1213</v>
      </c>
      <c r="B1201" t="str">
        <f>HYPERLINK("https://www.suredividend.com/sure-analysis-research-database/","Premier Financial Corp")</f>
        <v>Premier Financial Corp</v>
      </c>
      <c r="C1201">
        <v>-3.0017152658661998E-2</v>
      </c>
      <c r="D1201">
        <v>0.39682226023379102</v>
      </c>
      <c r="E1201">
        <v>0.372314673817425</v>
      </c>
      <c r="F1201">
        <v>-6.1410788381742007E-2</v>
      </c>
      <c r="G1201">
        <v>-8.6001519290135012E-2</v>
      </c>
      <c r="H1201">
        <v>-0.131533177966589</v>
      </c>
      <c r="I1201">
        <v>-0.101321795926151</v>
      </c>
    </row>
    <row r="1202" spans="1:9" x14ac:dyDescent="0.25">
      <c r="A1202" s="1" t="s">
        <v>1214</v>
      </c>
      <c r="B1202" t="str">
        <f>HYPERLINK("https://www.suredividend.com/sure-analysis-research-database/","Peoples Financial Services Corp")</f>
        <v>Peoples Financial Services Corp</v>
      </c>
      <c r="C1202">
        <v>5.9171597633129996E-3</v>
      </c>
      <c r="D1202">
        <v>0.156660753165067</v>
      </c>
      <c r="E1202">
        <v>7.3862559629786009E-2</v>
      </c>
      <c r="F1202">
        <v>-5.7494866529774001E-2</v>
      </c>
      <c r="G1202">
        <v>-4.7397673076843012E-2</v>
      </c>
      <c r="H1202">
        <v>-3.7156528141670003E-2</v>
      </c>
      <c r="I1202">
        <v>0.27242334273096902</v>
      </c>
    </row>
    <row r="1203" spans="1:9" x14ac:dyDescent="0.25">
      <c r="A1203" s="1" t="s">
        <v>1215</v>
      </c>
      <c r="B1203" t="str">
        <f>HYPERLINK("https://www.suredividend.com/sure-analysis-research-database/","Provident Financial Services Inc")</f>
        <v>Provident Financial Services Inc</v>
      </c>
      <c r="C1203">
        <v>-3.5775127768313E-2</v>
      </c>
      <c r="D1203">
        <v>0.19675227650756899</v>
      </c>
      <c r="E1203">
        <v>1.5034223032548999E-2</v>
      </c>
      <c r="F1203">
        <v>-5.8236272878535007E-2</v>
      </c>
      <c r="G1203">
        <v>-0.19778516894701001</v>
      </c>
      <c r="H1203">
        <v>-0.27380657081027399</v>
      </c>
      <c r="I1203">
        <v>-0.135415871076147</v>
      </c>
    </row>
    <row r="1204" spans="1:9" x14ac:dyDescent="0.25">
      <c r="A1204" s="1" t="s">
        <v>1216</v>
      </c>
      <c r="B1204" t="str">
        <f>HYPERLINK("https://www.suredividend.com/sure-analysis-research-database/","PennyMac Financial Services Inc.")</f>
        <v>PennyMac Financial Services Inc.</v>
      </c>
      <c r="C1204">
        <v>-2.8898393249330002E-3</v>
      </c>
      <c r="D1204">
        <v>0.29845107100386797</v>
      </c>
      <c r="E1204">
        <v>0.17801780000464301</v>
      </c>
      <c r="F1204">
        <v>-2.3876881294556999E-2</v>
      </c>
      <c r="G1204">
        <v>0.38367564307392199</v>
      </c>
      <c r="H1204">
        <v>0.27848088133071103</v>
      </c>
      <c r="I1204">
        <v>3.3556637261981108</v>
      </c>
    </row>
    <row r="1205" spans="1:9" x14ac:dyDescent="0.25">
      <c r="A1205" s="1" t="s">
        <v>1217</v>
      </c>
      <c r="B1205" t="str">
        <f>HYPERLINK("https://www.suredividend.com/sure-analysis-research-database/","PFSWEB Inc")</f>
        <v>PFSWEB Inc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25">
      <c r="A1206" s="1" t="s">
        <v>1218</v>
      </c>
      <c r="B1206" t="str">
        <f>HYPERLINK("https://www.suredividend.com/sure-analysis-research-database/","Peapack-Gladstone Financial Corp.")</f>
        <v>Peapack-Gladstone Financial Corp.</v>
      </c>
      <c r="C1206">
        <v>-2.1097046413502001E-2</v>
      </c>
      <c r="D1206">
        <v>0.11403224451087</v>
      </c>
      <c r="E1206">
        <v>-8.4057558056700003E-3</v>
      </c>
      <c r="F1206">
        <v>-6.6398390342051999E-2</v>
      </c>
      <c r="G1206">
        <v>-0.229647502857</v>
      </c>
      <c r="H1206">
        <v>-0.23983442370493299</v>
      </c>
      <c r="I1206">
        <v>9.7151504642401007E-2</v>
      </c>
    </row>
    <row r="1207" spans="1:9" x14ac:dyDescent="0.25">
      <c r="A1207" s="1" t="s">
        <v>1219</v>
      </c>
      <c r="B1207" t="str">
        <f>HYPERLINK("https://www.suredividend.com/sure-analysis-research-database/","Precigen Inc")</f>
        <v>Precigen Inc</v>
      </c>
      <c r="C1207">
        <v>0.12295081967213101</v>
      </c>
      <c r="D1207">
        <v>0.141666666666666</v>
      </c>
      <c r="E1207">
        <v>0.161016949152542</v>
      </c>
      <c r="F1207">
        <v>2.2388059701492002E-2</v>
      </c>
      <c r="G1207">
        <v>-0.31840796019900403</v>
      </c>
      <c r="H1207">
        <v>-0.55519480519480502</v>
      </c>
      <c r="I1207">
        <v>-0.8248081841432221</v>
      </c>
    </row>
    <row r="1208" spans="1:9" x14ac:dyDescent="0.25">
      <c r="A1208" s="1" t="s">
        <v>1220</v>
      </c>
      <c r="B1208" t="str">
        <f>HYPERLINK("https://www.suredividend.com/sure-analysis-research-database/","Progyny Inc")</f>
        <v>Progyny Inc</v>
      </c>
      <c r="C1208">
        <v>7.945736434108501E-2</v>
      </c>
      <c r="D1208">
        <v>0.17758985200845601</v>
      </c>
      <c r="E1208">
        <v>-5.1033426894610007E-3</v>
      </c>
      <c r="F1208">
        <v>4.8682087143625007E-2</v>
      </c>
      <c r="G1208">
        <v>0.171574519230769</v>
      </c>
      <c r="H1208">
        <v>-0.11002054325496401</v>
      </c>
      <c r="I1208">
        <v>1.446047678795483</v>
      </c>
    </row>
    <row r="1209" spans="1:9" x14ac:dyDescent="0.25">
      <c r="A1209" s="1" t="s">
        <v>1221</v>
      </c>
      <c r="B1209" t="str">
        <f>HYPERLINK("https://www.suredividend.com/sure-analysis-PGRE/","Paramount Group Inc")</f>
        <v>Paramount Group Inc</v>
      </c>
      <c r="C1209">
        <v>-0.113672423540568</v>
      </c>
      <c r="D1209">
        <v>0.117010273736468</v>
      </c>
      <c r="E1209">
        <v>-4.8159971797332002E-2</v>
      </c>
      <c r="F1209">
        <v>-5.9961315280464007E-2</v>
      </c>
      <c r="G1209">
        <v>-0.18047990826770899</v>
      </c>
      <c r="H1209">
        <v>-0.43295180090307611</v>
      </c>
      <c r="I1209">
        <v>-0.55758657102283005</v>
      </c>
    </row>
    <row r="1210" spans="1:9" x14ac:dyDescent="0.25">
      <c r="A1210" s="1" t="s">
        <v>1222</v>
      </c>
      <c r="B1210" t="str">
        <f>HYPERLINK("https://www.suredividend.com/sure-analysis-research-database/","PGT Innovations Inc")</f>
        <v>PGT Innovations Inc</v>
      </c>
      <c r="C1210">
        <v>0.19218615340419401</v>
      </c>
      <c r="D1210">
        <v>0.33569359510782099</v>
      </c>
      <c r="E1210">
        <v>0.45003494060097798</v>
      </c>
      <c r="F1210">
        <v>1.9656019656019E-2</v>
      </c>
      <c r="G1210">
        <v>1.0760380190095049</v>
      </c>
      <c r="H1210">
        <v>0.88208616780045301</v>
      </c>
      <c r="I1210">
        <v>1.454169130691898</v>
      </c>
    </row>
    <row r="1211" spans="1:9" x14ac:dyDescent="0.25">
      <c r="A1211" s="1" t="s">
        <v>1223</v>
      </c>
      <c r="B1211" t="str">
        <f>HYPERLINK("https://www.suredividend.com/sure-analysis-research-database/","Phathom Pharmaceuticals Inc")</f>
        <v>Phathom Pharmaceuticals Inc</v>
      </c>
      <c r="C1211">
        <v>-8.5852478839177002E-2</v>
      </c>
      <c r="D1211">
        <v>-0.25074331020812601</v>
      </c>
      <c r="E1211">
        <v>-0.47206703910614511</v>
      </c>
      <c r="F1211">
        <v>-0.171960569550931</v>
      </c>
      <c r="G1211">
        <v>-8.5852478839177002E-2</v>
      </c>
      <c r="H1211">
        <v>-0.48780487804877998</v>
      </c>
      <c r="I1211">
        <v>-0.69268292682926802</v>
      </c>
    </row>
    <row r="1212" spans="1:9" x14ac:dyDescent="0.25">
      <c r="A1212" s="1" t="s">
        <v>1224</v>
      </c>
      <c r="B1212" t="str">
        <f>HYPERLINK("https://www.suredividend.com/sure-analysis-research-database/","Phreesia Inc")</f>
        <v>Phreesia Inc</v>
      </c>
      <c r="C1212">
        <v>0.14835948644793101</v>
      </c>
      <c r="D1212">
        <v>0.46186440677966001</v>
      </c>
      <c r="E1212">
        <v>-0.26371951219512102</v>
      </c>
      <c r="F1212">
        <v>4.3196544276457013E-2</v>
      </c>
      <c r="G1212">
        <v>-0.31798926856820098</v>
      </c>
      <c r="H1212">
        <v>-0.30762614678898997</v>
      </c>
      <c r="I1212">
        <v>-3.7081339712918E-2</v>
      </c>
    </row>
    <row r="1213" spans="1:9" x14ac:dyDescent="0.25">
      <c r="A1213" s="1" t="s">
        <v>1225</v>
      </c>
      <c r="B1213" t="str">
        <f>HYPERLINK("https://www.suredividend.com/sure-analysis-research-database/","Impinj Inc")</f>
        <v>Impinj Inc</v>
      </c>
      <c r="C1213">
        <v>-7.6281977080680005E-2</v>
      </c>
      <c r="D1213">
        <v>0.51451888403871604</v>
      </c>
      <c r="E1213">
        <v>-0.11529933481153</v>
      </c>
      <c r="F1213">
        <v>-0.113628790403198</v>
      </c>
      <c r="G1213">
        <v>-0.35232529827124398</v>
      </c>
      <c r="H1213">
        <v>-0.105180533751962</v>
      </c>
      <c r="I1213">
        <v>3.8628884826325409</v>
      </c>
    </row>
    <row r="1214" spans="1:9" x14ac:dyDescent="0.25">
      <c r="A1214" s="1" t="s">
        <v>1226</v>
      </c>
      <c r="B1214" t="str">
        <f>HYPERLINK("https://www.suredividend.com/sure-analysis-research-database/","P3 Health Partners Inc")</f>
        <v>P3 Health Partners Inc</v>
      </c>
      <c r="C1214">
        <v>0.25358851674641097</v>
      </c>
      <c r="D1214">
        <v>-0.17610062893081699</v>
      </c>
      <c r="E1214">
        <v>-0.51481481481481406</v>
      </c>
      <c r="F1214">
        <v>-7.0921985815602009E-2</v>
      </c>
      <c r="G1214">
        <v>-0.22941176470588201</v>
      </c>
      <c r="H1214">
        <v>-0.76855123674911607</v>
      </c>
      <c r="I1214">
        <v>-0.86467920708213208</v>
      </c>
    </row>
    <row r="1215" spans="1:9" x14ac:dyDescent="0.25">
      <c r="A1215" s="1" t="s">
        <v>1227</v>
      </c>
      <c r="B1215" t="str">
        <f>HYPERLINK("https://www.suredividend.com/sure-analysis-research-database/","Piper Sandler Co`s")</f>
        <v>Piper Sandler Co`s</v>
      </c>
      <c r="C1215">
        <v>-2.3650840460041001E-2</v>
      </c>
      <c r="D1215">
        <v>0.19316105511937001</v>
      </c>
      <c r="E1215">
        <v>0.17789870953419101</v>
      </c>
      <c r="F1215">
        <v>-5.3353920054898002E-2</v>
      </c>
      <c r="G1215">
        <v>0.179096780810794</v>
      </c>
      <c r="H1215">
        <v>1.6888556901590999E-2</v>
      </c>
      <c r="I1215">
        <v>1.410487674536111</v>
      </c>
    </row>
    <row r="1216" spans="1:9" x14ac:dyDescent="0.25">
      <c r="A1216" s="1" t="s">
        <v>1228</v>
      </c>
      <c r="B1216" t="str">
        <f>HYPERLINK("https://www.suredividend.com/sure-analysis-research-database/","PJT Partners Inc")</f>
        <v>PJT Partners Inc</v>
      </c>
      <c r="C1216">
        <v>-3.6973257698541012E-2</v>
      </c>
      <c r="D1216">
        <v>0.23417203893477101</v>
      </c>
      <c r="E1216">
        <v>0.27351078807103302</v>
      </c>
      <c r="F1216">
        <v>-6.675174241680501E-2</v>
      </c>
      <c r="G1216">
        <v>0.21552372233842801</v>
      </c>
      <c r="H1216">
        <v>0.30447847617374901</v>
      </c>
      <c r="I1216">
        <v>1.4210676432089391</v>
      </c>
    </row>
    <row r="1217" spans="1:9" x14ac:dyDescent="0.25">
      <c r="A1217" s="1" t="s">
        <v>1229</v>
      </c>
      <c r="B1217" t="str">
        <f>HYPERLINK("https://www.suredividend.com/sure-analysis-research-database/","Parke Bancorp Inc")</f>
        <v>Parke Bancorp Inc</v>
      </c>
      <c r="C1217">
        <v>-1.0460997776008001E-2</v>
      </c>
      <c r="D1217">
        <v>0.126214805787319</v>
      </c>
      <c r="E1217">
        <v>0.10274768985986101</v>
      </c>
      <c r="F1217">
        <v>-9.4021648961040011E-2</v>
      </c>
      <c r="G1217">
        <v>-6.4430714916151002E-2</v>
      </c>
      <c r="H1217">
        <v>-0.15154882360973099</v>
      </c>
      <c r="I1217">
        <v>0.35717298306922901</v>
      </c>
    </row>
    <row r="1218" spans="1:9" x14ac:dyDescent="0.25">
      <c r="A1218" s="1" t="s">
        <v>1230</v>
      </c>
      <c r="B1218" t="str">
        <f>HYPERLINK("https://www.suredividend.com/sure-analysis-research-database/","Park Aerospace Corp")</f>
        <v>Park Aerospace Corp</v>
      </c>
      <c r="C1218">
        <v>-6.5140098509312003E-2</v>
      </c>
      <c r="D1218">
        <v>-1.9480386186510001E-2</v>
      </c>
      <c r="E1218">
        <v>3.2495136537214003E-2</v>
      </c>
      <c r="F1218">
        <v>-1.680960548885E-2</v>
      </c>
      <c r="G1218">
        <v>0.143217283083894</v>
      </c>
      <c r="H1218">
        <v>0.221435207678079</v>
      </c>
      <c r="I1218">
        <v>5.1843478643833013E-2</v>
      </c>
    </row>
    <row r="1219" spans="1:9" x14ac:dyDescent="0.25">
      <c r="A1219" s="1" t="s">
        <v>1231</v>
      </c>
      <c r="B1219" t="str">
        <f>HYPERLINK("https://www.suredividend.com/sure-analysis-research-database/","Planet Labs PBC")</f>
        <v>Planet Labs PBC</v>
      </c>
      <c r="C1219">
        <v>-0.10204081632653</v>
      </c>
      <c r="D1219">
        <v>9.1743119266050003E-3</v>
      </c>
      <c r="E1219">
        <v>-0.36781609195402298</v>
      </c>
      <c r="F1219">
        <v>-0.109311740890688</v>
      </c>
      <c r="G1219">
        <v>-0.56947162426614406</v>
      </c>
      <c r="H1219">
        <v>-0.60644007155635005</v>
      </c>
      <c r="I1219">
        <v>-0.77777777777777701</v>
      </c>
    </row>
    <row r="1220" spans="1:9" x14ac:dyDescent="0.25">
      <c r="A1220" s="1" t="s">
        <v>1232</v>
      </c>
      <c r="B1220" t="str">
        <f>HYPERLINK("https://www.suredividend.com/sure-analysis-research-database/","Photronics, Inc.")</f>
        <v>Photronics, Inc.</v>
      </c>
      <c r="C1220">
        <v>0.104801829268292</v>
      </c>
      <c r="D1220">
        <v>0.42948717948717902</v>
      </c>
      <c r="E1220">
        <v>0.10144376899696</v>
      </c>
      <c r="F1220">
        <v>-7.5868664328976002E-2</v>
      </c>
      <c r="G1220">
        <v>0.57811649428415801</v>
      </c>
      <c r="H1220">
        <v>0.54695837780149403</v>
      </c>
      <c r="I1220">
        <v>1.766221374045801</v>
      </c>
    </row>
    <row r="1221" spans="1:9" x14ac:dyDescent="0.25">
      <c r="A1221" s="1" t="s">
        <v>1233</v>
      </c>
      <c r="B1221" t="str">
        <f>HYPERLINK("https://www.suredividend.com/sure-analysis-research-database/","Dave &amp; Buster`s Entertainment Inc")</f>
        <v>Dave &amp; Buster`s Entertainment Inc</v>
      </c>
      <c r="C1221">
        <v>1.9461697722566999E-2</v>
      </c>
      <c r="D1221">
        <v>0.47912285971763202</v>
      </c>
      <c r="E1221">
        <v>7.840560665790601E-2</v>
      </c>
      <c r="F1221">
        <v>-8.5608170844939005E-2</v>
      </c>
      <c r="G1221">
        <v>0.14564913913448099</v>
      </c>
      <c r="H1221">
        <v>0.29408672798948698</v>
      </c>
      <c r="I1221">
        <v>-2.9669567410769999E-2</v>
      </c>
    </row>
    <row r="1222" spans="1:9" x14ac:dyDescent="0.25">
      <c r="A1222" s="1" t="s">
        <v>1234</v>
      </c>
      <c r="B1222" t="str">
        <f>HYPERLINK("https://www.suredividend.com/sure-analysis-research-database/","PLBY Group Inc")</f>
        <v>PLBY Group Inc</v>
      </c>
      <c r="C1222">
        <v>0.6756756756756751</v>
      </c>
      <c r="D1222">
        <v>1.066666666666666</v>
      </c>
      <c r="E1222">
        <v>-0.31868131868131799</v>
      </c>
      <c r="F1222">
        <v>0.24</v>
      </c>
      <c r="G1222">
        <v>-0.5539568345323741</v>
      </c>
      <c r="H1222">
        <v>-0.94522968197879809</v>
      </c>
      <c r="I1222">
        <v>-0.87449392712550611</v>
      </c>
    </row>
    <row r="1223" spans="1:9" x14ac:dyDescent="0.25">
      <c r="A1223" s="1" t="s">
        <v>1235</v>
      </c>
      <c r="B1223" t="str">
        <f>HYPERLINK("https://www.suredividend.com/sure-analysis-research-database/","Childrens Place Inc")</f>
        <v>Childrens Place Inc</v>
      </c>
      <c r="C1223">
        <v>-0.12030075187969901</v>
      </c>
      <c r="D1223">
        <v>-0.111392405063291</v>
      </c>
      <c r="E1223">
        <v>-0.19186492709132699</v>
      </c>
      <c r="F1223">
        <v>-9.3023255813953001E-2</v>
      </c>
      <c r="G1223">
        <v>-0.45889003083247598</v>
      </c>
      <c r="H1223">
        <v>-0.71590449210845808</v>
      </c>
      <c r="I1223">
        <v>-0.76162556424338101</v>
      </c>
    </row>
    <row r="1224" spans="1:9" x14ac:dyDescent="0.25">
      <c r="A1224" s="1" t="s">
        <v>1236</v>
      </c>
      <c r="B1224" t="str">
        <f>HYPERLINK("https://www.suredividend.com/sure-analysis-research-database/","Piedmont Lithium Inc")</f>
        <v>Piedmont Lithium Inc</v>
      </c>
      <c r="C1224">
        <v>-0.13422053231939099</v>
      </c>
      <c r="D1224">
        <v>-0.30853325235347701</v>
      </c>
      <c r="E1224">
        <v>-0.61550151975683909</v>
      </c>
      <c r="F1224">
        <v>-0.193411264612114</v>
      </c>
      <c r="G1224">
        <v>-0.62475280158206903</v>
      </c>
      <c r="H1224">
        <v>-0.56932097597881504</v>
      </c>
      <c r="I1224">
        <v>-0.65215398716773609</v>
      </c>
    </row>
    <row r="1225" spans="1:9" x14ac:dyDescent="0.25">
      <c r="A1225" s="1" t="s">
        <v>1237</v>
      </c>
      <c r="B1225" t="str">
        <f>HYPERLINK("https://www.suredividend.com/sure-analysis-research-database/","Polymet Mining Corp")</f>
        <v>Polymet Mining Corp</v>
      </c>
      <c r="C1225">
        <v>0</v>
      </c>
      <c r="D1225">
        <v>9.6153846153840001E-3</v>
      </c>
      <c r="E1225">
        <v>0.27272727272727199</v>
      </c>
      <c r="F1225">
        <v>-0.20754716981131999</v>
      </c>
      <c r="G1225">
        <v>-0.29999999999999899</v>
      </c>
      <c r="H1225">
        <v>-0.35779816513761398</v>
      </c>
      <c r="I1225">
        <v>-0.76378218467733705</v>
      </c>
    </row>
    <row r="1226" spans="1:9" x14ac:dyDescent="0.25">
      <c r="A1226" s="1" t="s">
        <v>1238</v>
      </c>
      <c r="B1226" t="str">
        <f>HYPERLINK("https://www.suredividend.com/sure-analysis-research-database/","Palomar Holdings Inc")</f>
        <v>Palomar Holdings Inc</v>
      </c>
      <c r="C1226">
        <v>-1.0257219504496999E-2</v>
      </c>
      <c r="D1226">
        <v>0.23028638681836</v>
      </c>
      <c r="E1226">
        <v>9.2112136514016008E-2</v>
      </c>
      <c r="F1226">
        <v>0.13009009009009001</v>
      </c>
      <c r="G1226">
        <v>0.20964320154291199</v>
      </c>
      <c r="H1226">
        <v>0.16514954486345901</v>
      </c>
      <c r="I1226">
        <v>2.3027909426013689</v>
      </c>
    </row>
    <row r="1227" spans="1:9" x14ac:dyDescent="0.25">
      <c r="A1227" s="1" t="s">
        <v>1239</v>
      </c>
      <c r="B1227" t="str">
        <f>HYPERLINK("https://www.suredividend.com/sure-analysis-research-database/","Douglas Dynamics Inc")</f>
        <v>Douglas Dynamics Inc</v>
      </c>
      <c r="C1227">
        <v>-0.135805786373071</v>
      </c>
      <c r="D1227">
        <v>-0.1418012501084</v>
      </c>
      <c r="E1227">
        <v>-0.12216657341321201</v>
      </c>
      <c r="F1227">
        <v>-0.13308625336927199</v>
      </c>
      <c r="G1227">
        <v>-0.31120516341811411</v>
      </c>
      <c r="H1227">
        <v>-0.285279763111769</v>
      </c>
      <c r="I1227">
        <v>-0.16534207026308101</v>
      </c>
    </row>
    <row r="1228" spans="1:9" x14ac:dyDescent="0.25">
      <c r="A1228" s="1" t="s">
        <v>1240</v>
      </c>
      <c r="B1228" t="str">
        <f>HYPERLINK("https://www.suredividend.com/sure-analysis-research-database/","Preformed Line Products Co.")</f>
        <v>Preformed Line Products Co.</v>
      </c>
      <c r="C1228">
        <v>-3.1554479418886013E-2</v>
      </c>
      <c r="D1228">
        <v>-0.12318423232846799</v>
      </c>
      <c r="E1228">
        <v>-0.26880477456032598</v>
      </c>
      <c r="F1228">
        <v>-6.3315215151225998E-2</v>
      </c>
      <c r="G1228">
        <v>0.44459199724465298</v>
      </c>
      <c r="H1228">
        <v>1.0738034441164801</v>
      </c>
      <c r="I1228">
        <v>1.3231780644705611</v>
      </c>
    </row>
    <row r="1229" spans="1:9" x14ac:dyDescent="0.25">
      <c r="A1229" s="1" t="s">
        <v>1241</v>
      </c>
      <c r="B1229" t="str">
        <f>HYPERLINK("https://www.suredividend.com/sure-analysis-research-database/","ePlus Inc")</f>
        <v>ePlus Inc</v>
      </c>
      <c r="C1229">
        <v>4.1909670419095997E-2</v>
      </c>
      <c r="D1229">
        <v>0.14298467489956801</v>
      </c>
      <c r="E1229">
        <v>0.32311401997933098</v>
      </c>
      <c r="F1229">
        <v>-3.7825651302605012E-2</v>
      </c>
      <c r="G1229">
        <v>0.60409271246606799</v>
      </c>
      <c r="H1229">
        <v>0.51131221719456998</v>
      </c>
      <c r="I1229">
        <v>1.047168554297135</v>
      </c>
    </row>
    <row r="1230" spans="1:9" x14ac:dyDescent="0.25">
      <c r="A1230" s="1" t="s">
        <v>1242</v>
      </c>
      <c r="B1230" t="str">
        <f>HYPERLINK("https://www.suredividend.com/sure-analysis-research-database/","Plexus Corp.")</f>
        <v>Plexus Corp.</v>
      </c>
      <c r="C1230">
        <v>-1.0954165465551001E-2</v>
      </c>
      <c r="D1230">
        <v>9.8037123959889005E-2</v>
      </c>
      <c r="E1230">
        <v>1.8503859093607002E-2</v>
      </c>
      <c r="F1230">
        <v>-4.8090261722001003E-2</v>
      </c>
      <c r="G1230">
        <v>-9.2087853929610011E-2</v>
      </c>
      <c r="H1230">
        <v>0.115288763679705</v>
      </c>
      <c r="I1230">
        <v>0.89209558823529411</v>
      </c>
    </row>
    <row r="1231" spans="1:9" x14ac:dyDescent="0.25">
      <c r="A1231" s="1" t="s">
        <v>1243</v>
      </c>
      <c r="B1231" t="str">
        <f>HYPERLINK("https://www.suredividend.com/sure-analysis-PLYM/","Plymouth Industrial Reit Inc")</f>
        <v>Plymouth Industrial Reit Inc</v>
      </c>
      <c r="C1231">
        <v>-5.3318331499317001E-2</v>
      </c>
      <c r="D1231">
        <v>0.12163679867181</v>
      </c>
      <c r="E1231">
        <v>1.6763090216144999E-2</v>
      </c>
      <c r="F1231">
        <v>-4.5700041545492003E-2</v>
      </c>
      <c r="G1231">
        <v>0.14515043497769001</v>
      </c>
      <c r="H1231">
        <v>-0.137429261313495</v>
      </c>
      <c r="I1231">
        <v>1.1104955116366679</v>
      </c>
    </row>
    <row r="1232" spans="1:9" x14ac:dyDescent="0.25">
      <c r="A1232" s="1" t="s">
        <v>1244</v>
      </c>
      <c r="B1232" t="str">
        <f>HYPERLINK("https://www.suredividend.com/sure-analysis-PMT/","Pennymac Mortgage Investment Trust")</f>
        <v>Pennymac Mortgage Investment Trust</v>
      </c>
      <c r="C1232">
        <v>-1.3661202185789999E-3</v>
      </c>
      <c r="D1232">
        <v>0.307715701533122</v>
      </c>
      <c r="E1232">
        <v>0.13728296720393299</v>
      </c>
      <c r="F1232">
        <v>-2.2073578595317001E-2</v>
      </c>
      <c r="G1232">
        <v>0.14364385897666501</v>
      </c>
      <c r="H1232">
        <v>3.6078492512880013E-2</v>
      </c>
      <c r="I1232">
        <v>0.28677926718712798</v>
      </c>
    </row>
    <row r="1233" spans="1:9" x14ac:dyDescent="0.25">
      <c r="A1233" s="1" t="s">
        <v>1245</v>
      </c>
      <c r="B1233" t="str">
        <f>HYPERLINK("https://www.suredividend.com/sure-analysis-research-database/","PMV Pharmaceuticals Inc")</f>
        <v>PMV Pharmaceuticals Inc</v>
      </c>
      <c r="C1233">
        <v>8.9686098654700001E-3</v>
      </c>
      <c r="D1233">
        <v>0.125</v>
      </c>
      <c r="E1233">
        <v>-0.69635627530364308</v>
      </c>
      <c r="F1233">
        <v>-0.27419354838709598</v>
      </c>
      <c r="G1233">
        <v>-0.72694174757281504</v>
      </c>
      <c r="H1233">
        <v>-0.86788021139166105</v>
      </c>
      <c r="I1233">
        <v>-0.94001599573447003</v>
      </c>
    </row>
    <row r="1234" spans="1:9" x14ac:dyDescent="0.25">
      <c r="A1234" s="1" t="s">
        <v>1246</v>
      </c>
      <c r="B1234" t="str">
        <f>HYPERLINK("https://www.suredividend.com/sure-analysis-PNM/","PNM Resources Inc")</f>
        <v>PNM Resources Inc</v>
      </c>
      <c r="C1234">
        <v>-0.12643948296122101</v>
      </c>
      <c r="D1234">
        <v>-0.14309624202632201</v>
      </c>
      <c r="E1234">
        <v>-0.17480502354369801</v>
      </c>
      <c r="F1234">
        <v>-0.106490384615384</v>
      </c>
      <c r="G1234">
        <v>-0.21984862922555701</v>
      </c>
      <c r="H1234">
        <v>-0.13946580667267</v>
      </c>
      <c r="I1234">
        <v>2.9149546476471E-2</v>
      </c>
    </row>
    <row r="1235" spans="1:9" x14ac:dyDescent="0.25">
      <c r="A1235" s="1" t="s">
        <v>1247</v>
      </c>
      <c r="B1235" t="str">
        <f>HYPERLINK("https://www.suredividend.com/sure-analysis-research-database/","POINT Biopharma Global Inc")</f>
        <v>POINT Biopharma Global Inc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25">
      <c r="A1236" s="1" t="s">
        <v>1248</v>
      </c>
      <c r="B1236" t="str">
        <f>HYPERLINK("https://www.suredividend.com/sure-analysis-research-database/","Pennant Group Inc")</f>
        <v>Pennant Group Inc</v>
      </c>
      <c r="C1236">
        <v>8.2916368834881002E-2</v>
      </c>
      <c r="D1236">
        <v>0.43194706994328902</v>
      </c>
      <c r="E1236">
        <v>0.31510416666666602</v>
      </c>
      <c r="F1236">
        <v>8.8362068965517002E-2</v>
      </c>
      <c r="G1236">
        <v>0.36609558160504901</v>
      </c>
      <c r="H1236">
        <v>-0.2109375</v>
      </c>
      <c r="I1236">
        <v>3.9761431411529996E-3</v>
      </c>
    </row>
    <row r="1237" spans="1:9" x14ac:dyDescent="0.25">
      <c r="A1237" s="1" t="s">
        <v>1249</v>
      </c>
      <c r="B1237" t="str">
        <f>HYPERLINK("https://www.suredividend.com/sure-analysis-POR/","Portland General Electric Co")</f>
        <v>Portland General Electric Co</v>
      </c>
      <c r="C1237">
        <v>-4.2542601424420998E-2</v>
      </c>
      <c r="D1237">
        <v>2.7094719878845E-2</v>
      </c>
      <c r="E1237">
        <v>-9.0281793383046011E-2</v>
      </c>
      <c r="F1237">
        <v>-2.3534840793724001E-2</v>
      </c>
      <c r="G1237">
        <v>-8.5271619428035003E-2</v>
      </c>
      <c r="H1237">
        <v>-0.13904468952104199</v>
      </c>
      <c r="I1237">
        <v>0.122019635343618</v>
      </c>
    </row>
    <row r="1238" spans="1:9" x14ac:dyDescent="0.25">
      <c r="A1238" s="1" t="s">
        <v>1250</v>
      </c>
      <c r="B1238" t="str">
        <f>HYPERLINK("https://www.suredividend.com/sure-analysis-research-database/","Power Integrations Inc.")</f>
        <v>Power Integrations Inc.</v>
      </c>
      <c r="C1238">
        <v>-5.3174505710426007E-2</v>
      </c>
      <c r="D1238">
        <v>2.6349629795289001E-2</v>
      </c>
      <c r="E1238">
        <v>-0.21263219813482601</v>
      </c>
      <c r="F1238">
        <v>-6.1015710632079008E-2</v>
      </c>
      <c r="G1238">
        <v>-4.6195793364689007E-2</v>
      </c>
      <c r="H1238">
        <v>-5.1880928049936013E-2</v>
      </c>
      <c r="I1238">
        <v>1.5413505085997179</v>
      </c>
    </row>
    <row r="1239" spans="1:9" x14ac:dyDescent="0.25">
      <c r="A1239" s="1" t="s">
        <v>1251</v>
      </c>
      <c r="B1239" t="str">
        <f>HYPERLINK("https://www.suredividend.com/sure-analysis-research-database/","Powell Industries, Inc.")</f>
        <v>Powell Industries, Inc.</v>
      </c>
      <c r="C1239">
        <v>-7.4905940029643001E-2</v>
      </c>
      <c r="D1239">
        <v>1.3743128435781999E-2</v>
      </c>
      <c r="E1239">
        <v>0.34717142150327301</v>
      </c>
      <c r="F1239">
        <v>-8.2126696832579005E-2</v>
      </c>
      <c r="G1239">
        <v>1.139327880868386</v>
      </c>
      <c r="H1239">
        <v>2.1009825765595682</v>
      </c>
      <c r="I1239">
        <v>2.3469178986272441</v>
      </c>
    </row>
    <row r="1240" spans="1:9" x14ac:dyDescent="0.25">
      <c r="A1240" s="1" t="s">
        <v>1252</v>
      </c>
      <c r="B1240" t="str">
        <f>HYPERLINK("https://www.suredividend.com/sure-analysis-research-database/","AMMO Inc")</f>
        <v>AMMO Inc</v>
      </c>
      <c r="C1240">
        <v>7.0707070707070011E-2</v>
      </c>
      <c r="D1240">
        <v>-7.0175438596491002E-2</v>
      </c>
      <c r="E1240">
        <v>-4.0723981900451997E-2</v>
      </c>
      <c r="F1240">
        <v>9.5238095238090008E-3</v>
      </c>
      <c r="G1240">
        <v>-0.101694915254237</v>
      </c>
      <c r="H1240">
        <v>-0.56646216768916102</v>
      </c>
      <c r="I1240">
        <v>95.36363636363636</v>
      </c>
    </row>
    <row r="1241" spans="1:9" x14ac:dyDescent="0.25">
      <c r="A1241" s="1" t="s">
        <v>1253</v>
      </c>
      <c r="B1241" t="str">
        <f>HYPERLINK("https://www.suredividend.com/sure-analysis-research-database/","Pacific Premier Bancorp, Inc.")</f>
        <v>Pacific Premier Bancorp, Inc.</v>
      </c>
      <c r="C1241">
        <v>-1.8459353922611998E-2</v>
      </c>
      <c r="D1241">
        <v>0.35813505707605497</v>
      </c>
      <c r="E1241">
        <v>0.328496612693989</v>
      </c>
      <c r="F1241">
        <v>-5.0154586052902003E-2</v>
      </c>
      <c r="G1241">
        <v>-3.3182978425819E-2</v>
      </c>
      <c r="H1241">
        <v>-0.26887827682674598</v>
      </c>
      <c r="I1241">
        <v>0.32365683538304602</v>
      </c>
    </row>
    <row r="1242" spans="1:9" x14ac:dyDescent="0.25">
      <c r="A1242" s="1" t="s">
        <v>1254</v>
      </c>
      <c r="B1242" t="str">
        <f>HYPERLINK("https://www.suredividend.com/sure-analysis-research-database/","Permian Resources Corp")</f>
        <v>Permian Resources Corp</v>
      </c>
      <c r="C1242">
        <v>2.4539877300613001E-2</v>
      </c>
      <c r="D1242">
        <v>-9.4206583274009006E-2</v>
      </c>
      <c r="E1242">
        <v>0.17483599781916601</v>
      </c>
      <c r="F1242">
        <v>-1.7647058823528999E-2</v>
      </c>
      <c r="G1242">
        <v>0.35886977836996597</v>
      </c>
      <c r="H1242">
        <v>0.84022038567493107</v>
      </c>
      <c r="I1242">
        <v>2.5326170376055002E-2</v>
      </c>
    </row>
    <row r="1243" spans="1:9" x14ac:dyDescent="0.25">
      <c r="A1243" s="1" t="s">
        <v>1255</v>
      </c>
      <c r="B1243" t="str">
        <f>HYPERLINK("https://www.suredividend.com/sure-analysis-research-database/","Proassurance Corporation")</f>
        <v>Proassurance Corporation</v>
      </c>
      <c r="C1243">
        <v>-9.8828696925329002E-2</v>
      </c>
      <c r="D1243">
        <v>-0.31152125279642001</v>
      </c>
      <c r="E1243">
        <v>-0.202203499675955</v>
      </c>
      <c r="F1243">
        <v>-0.107324147933284</v>
      </c>
      <c r="G1243">
        <v>-0.34752419619857311</v>
      </c>
      <c r="H1243">
        <v>-0.50635205800263006</v>
      </c>
      <c r="I1243">
        <v>-0.67661005372318705</v>
      </c>
    </row>
    <row r="1244" spans="1:9" x14ac:dyDescent="0.25">
      <c r="A1244" s="1" t="s">
        <v>1256</v>
      </c>
      <c r="B1244" t="str">
        <f>HYPERLINK("https://www.suredividend.com/sure-analysis-research-database/","PRA Group Inc")</f>
        <v>PRA Group Inc</v>
      </c>
      <c r="C1244">
        <v>2.3692445239159001E-2</v>
      </c>
      <c r="D1244">
        <v>0.27292940522512499</v>
      </c>
      <c r="E1244">
        <v>-4.7805302042590002E-3</v>
      </c>
      <c r="F1244">
        <v>-0.12595419847328199</v>
      </c>
      <c r="G1244">
        <v>-0.35565559932470397</v>
      </c>
      <c r="H1244">
        <v>-0.5461751882679351</v>
      </c>
      <c r="I1244">
        <v>-0.19592696629213399</v>
      </c>
    </row>
    <row r="1245" spans="1:9" x14ac:dyDescent="0.25">
      <c r="A1245" s="1" t="s">
        <v>1257</v>
      </c>
      <c r="B1245" t="str">
        <f>HYPERLINK("https://www.suredividend.com/sure-analysis-research-database/","Praxis Precision Medicines Inc")</f>
        <v>Praxis Precision Medicines Inc</v>
      </c>
      <c r="C1245">
        <v>1.5877088305489251</v>
      </c>
      <c r="D1245">
        <v>1.1259803921568621</v>
      </c>
      <c r="E1245">
        <v>1.1739348370927309</v>
      </c>
      <c r="F1245">
        <v>0.94658886894075311</v>
      </c>
      <c r="G1245">
        <v>-0.187827715355805</v>
      </c>
      <c r="H1245">
        <v>-0.83091617933723105</v>
      </c>
      <c r="I1245">
        <v>-0.8959952038369301</v>
      </c>
    </row>
    <row r="1246" spans="1:9" x14ac:dyDescent="0.25">
      <c r="A1246" s="1" t="s">
        <v>1258</v>
      </c>
      <c r="B1246" t="str">
        <f>HYPERLINK("https://www.suredividend.com/sure-analysis-research-database/","Porch Group Inc")</f>
        <v>Porch Group Inc</v>
      </c>
      <c r="C1246">
        <v>0.104602510460251</v>
      </c>
      <c r="D1246">
        <v>3.1282251759186872</v>
      </c>
      <c r="E1246">
        <v>0.7837837837837841</v>
      </c>
      <c r="F1246">
        <v>-0.14285714285714199</v>
      </c>
      <c r="G1246">
        <v>0.1</v>
      </c>
      <c r="H1246">
        <v>-0.8023952095808381</v>
      </c>
      <c r="I1246">
        <v>-0.73333333333333306</v>
      </c>
    </row>
    <row r="1247" spans="1:9" x14ac:dyDescent="0.25">
      <c r="A1247" s="1" t="s">
        <v>1259</v>
      </c>
      <c r="B1247" t="str">
        <f>HYPERLINK("https://www.suredividend.com/sure-analysis-research-database/","Procept BioRobotics Corp")</f>
        <v>Procept BioRobotics Corp</v>
      </c>
      <c r="C1247">
        <v>0.15462392108508</v>
      </c>
      <c r="D1247">
        <v>0.73793615441722304</v>
      </c>
      <c r="E1247">
        <v>0.24919957310565599</v>
      </c>
      <c r="F1247">
        <v>0.117155810069196</v>
      </c>
      <c r="G1247">
        <v>0.28344298245614002</v>
      </c>
      <c r="H1247">
        <v>1.2455635491606709</v>
      </c>
      <c r="I1247">
        <v>0.116356700047687</v>
      </c>
    </row>
    <row r="1248" spans="1:9" x14ac:dyDescent="0.25">
      <c r="A1248" s="1" t="s">
        <v>1260</v>
      </c>
      <c r="B1248" t="str">
        <f>HYPERLINK("https://www.suredividend.com/sure-analysis-research-database/","Perdoceo Education Corporation")</f>
        <v>Perdoceo Education Corporation</v>
      </c>
      <c r="C1248">
        <v>-2.4239007891770002E-2</v>
      </c>
      <c r="D1248">
        <v>4.0428530826020007E-3</v>
      </c>
      <c r="E1248">
        <v>0.41472424727843299</v>
      </c>
      <c r="F1248">
        <v>-1.4236902050113E-2</v>
      </c>
      <c r="G1248">
        <v>0.18223169282465199</v>
      </c>
      <c r="H1248">
        <v>0.47705067708822102</v>
      </c>
      <c r="I1248">
        <v>0.42939719240297203</v>
      </c>
    </row>
    <row r="1249" spans="1:9" x14ac:dyDescent="0.25">
      <c r="A1249" s="1" t="s">
        <v>1261</v>
      </c>
      <c r="B1249" t="str">
        <f>HYPERLINK("https://www.suredividend.com/sure-analysis-research-database/","Pardes Biosciences Inc")</f>
        <v>Pardes Biosciences Inc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 s="1" t="s">
        <v>1262</v>
      </c>
      <c r="B1250" t="str">
        <f>HYPERLINK("https://www.suredividend.com/sure-analysis-research-database/","Perficient Inc.")</f>
        <v>Perficient Inc.</v>
      </c>
      <c r="C1250">
        <v>-2.5251788060137E-2</v>
      </c>
      <c r="D1250">
        <v>0.168095154801469</v>
      </c>
      <c r="E1250">
        <v>-0.26054700476137699</v>
      </c>
      <c r="F1250">
        <v>1.4585232452141999E-2</v>
      </c>
      <c r="G1250">
        <v>-0.110785619174433</v>
      </c>
      <c r="H1250">
        <v>-0.36472602739726001</v>
      </c>
      <c r="I1250">
        <v>1.7871452420701159</v>
      </c>
    </row>
    <row r="1251" spans="1:9" x14ac:dyDescent="0.25">
      <c r="A1251" s="1" t="s">
        <v>1263</v>
      </c>
      <c r="B1251" t="str">
        <f>HYPERLINK("https://www.suredividend.com/sure-analysis-research-database/","PROG Holdings Inc")</f>
        <v>PROG Holdings Inc</v>
      </c>
      <c r="C1251">
        <v>-3.7950048653907997E-2</v>
      </c>
      <c r="D1251">
        <v>-1.5272244355908999E-2</v>
      </c>
      <c r="E1251">
        <v>-9.7657438393671012E-2</v>
      </c>
      <c r="F1251">
        <v>-4.0439987059204013E-2</v>
      </c>
      <c r="G1251">
        <v>0.49345417925478302</v>
      </c>
      <c r="H1251">
        <v>-0.32636838519191402</v>
      </c>
      <c r="I1251">
        <v>-0.49527522475227398</v>
      </c>
    </row>
    <row r="1252" spans="1:9" x14ac:dyDescent="0.25">
      <c r="A1252" s="1" t="s">
        <v>1264</v>
      </c>
      <c r="B1252" t="str">
        <f>HYPERLINK("https://www.suredividend.com/sure-analysis-research-database/","Progress Software Corp.")</f>
        <v>Progress Software Corp.</v>
      </c>
      <c r="C1252">
        <v>-9.5377842993390003E-3</v>
      </c>
      <c r="D1252">
        <v>3.8597355038735001E-2</v>
      </c>
      <c r="E1252">
        <v>-6.0608169229698007E-2</v>
      </c>
      <c r="F1252">
        <v>-5.5248618784530003E-3</v>
      </c>
      <c r="G1252">
        <v>2.5880690075743999E-2</v>
      </c>
      <c r="H1252">
        <v>0.225570855017237</v>
      </c>
      <c r="I1252">
        <v>0.600915486485605</v>
      </c>
    </row>
    <row r="1253" spans="1:9" x14ac:dyDescent="0.25">
      <c r="A1253" s="1" t="s">
        <v>1265</v>
      </c>
      <c r="B1253" t="str">
        <f>HYPERLINK("https://www.suredividend.com/sure-analysis-research-database/","Primoris Services Corp")</f>
        <v>Primoris Services Corp</v>
      </c>
      <c r="C1253">
        <v>1.2354462740652E-2</v>
      </c>
      <c r="D1253">
        <v>0.10188679245283</v>
      </c>
      <c r="E1253">
        <v>9.5645478096878012E-2</v>
      </c>
      <c r="F1253">
        <v>1.1141222523336001E-2</v>
      </c>
      <c r="G1253">
        <v>0.36607353527463798</v>
      </c>
      <c r="H1253">
        <v>0.283511577595498</v>
      </c>
      <c r="I1253">
        <v>0.73877022653721602</v>
      </c>
    </row>
    <row r="1254" spans="1:9" x14ac:dyDescent="0.25">
      <c r="A1254" s="1" t="s">
        <v>1266</v>
      </c>
      <c r="B1254" t="str">
        <f>HYPERLINK("https://www.suredividend.com/sure-analysis-research-database/","Park National Corp.")</f>
        <v>Park National Corp.</v>
      </c>
      <c r="C1254">
        <v>-2.7843466320848002E-2</v>
      </c>
      <c r="D1254">
        <v>0.37851660190898101</v>
      </c>
      <c r="E1254">
        <v>0.256742764163502</v>
      </c>
      <c r="F1254">
        <v>-4.0794821616739002E-2</v>
      </c>
      <c r="G1254">
        <v>-5.7694056684760013E-2</v>
      </c>
      <c r="H1254">
        <v>-2.0403645352912999E-2</v>
      </c>
      <c r="I1254">
        <v>0.69700520659946408</v>
      </c>
    </row>
    <row r="1255" spans="1:9" x14ac:dyDescent="0.25">
      <c r="A1255" s="1" t="s">
        <v>1267</v>
      </c>
      <c r="B1255" t="str">
        <f>HYPERLINK("https://www.suredividend.com/sure-analysis-research-database/","Proto Labs Inc")</f>
        <v>Proto Labs Inc</v>
      </c>
      <c r="C1255">
        <v>-4.8497627833421E-2</v>
      </c>
      <c r="D1255">
        <v>0.41070730754200802</v>
      </c>
      <c r="E1255">
        <v>1.9774011299434999E-2</v>
      </c>
      <c r="F1255">
        <v>-7.3408624229979E-2</v>
      </c>
      <c r="G1255">
        <v>0.31177325581395299</v>
      </c>
      <c r="H1255">
        <v>-0.278721278721278</v>
      </c>
      <c r="I1255">
        <v>-0.69383428038334305</v>
      </c>
    </row>
    <row r="1256" spans="1:9" x14ac:dyDescent="0.25">
      <c r="A1256" s="1" t="s">
        <v>1268</v>
      </c>
      <c r="B1256" t="str">
        <f>HYPERLINK("https://www.suredividend.com/sure-analysis-research-database/","Perimeter Solutions SA")</f>
        <v>Perimeter Solutions SA</v>
      </c>
      <c r="C1256">
        <v>-4.7846889952150003E-3</v>
      </c>
      <c r="D1256">
        <v>0.28792569659442702</v>
      </c>
      <c r="E1256">
        <v>-0.24637681159420199</v>
      </c>
      <c r="F1256">
        <v>-9.5652173913043009E-2</v>
      </c>
      <c r="G1256">
        <v>-0.539313399778516</v>
      </c>
      <c r="H1256">
        <v>-0.68978374347501803</v>
      </c>
      <c r="I1256">
        <v>-0.6533333333333331</v>
      </c>
    </row>
    <row r="1257" spans="1:9" x14ac:dyDescent="0.25">
      <c r="A1257" s="1" t="s">
        <v>1269</v>
      </c>
      <c r="B1257" t="str">
        <f>HYPERLINK("https://www.suredividend.com/sure-analysis-research-database/","Prime Medicine Inc")</f>
        <v>Prime Medicine Inc</v>
      </c>
      <c r="C1257">
        <v>-9.2045454545454014E-2</v>
      </c>
      <c r="D1257">
        <v>0.12376933895921199</v>
      </c>
      <c r="E1257">
        <v>-0.45348837209302312</v>
      </c>
      <c r="F1257">
        <v>-9.8194130925507009E-2</v>
      </c>
      <c r="G1257">
        <v>-0.49937343358395903</v>
      </c>
      <c r="H1257">
        <v>-0.48015614834092302</v>
      </c>
      <c r="I1257">
        <v>-0.48015614834092302</v>
      </c>
    </row>
    <row r="1258" spans="1:9" x14ac:dyDescent="0.25">
      <c r="A1258" s="1" t="s">
        <v>1270</v>
      </c>
      <c r="B1258" t="str">
        <f>HYPERLINK("https://www.suredividend.com/sure-analysis-research-database/","Primo Water Corporation")</f>
        <v>Primo Water Corporation</v>
      </c>
      <c r="C1258">
        <v>-4.3281653746770003E-2</v>
      </c>
      <c r="D1258">
        <v>0.116455085486837</v>
      </c>
      <c r="E1258">
        <v>0.15806264954725299</v>
      </c>
      <c r="F1258">
        <v>-1.594684385382E-2</v>
      </c>
      <c r="G1258">
        <v>-2.6541692410836999E-2</v>
      </c>
      <c r="H1258">
        <v>-0.117007005514979</v>
      </c>
      <c r="I1258">
        <v>-8.0175757048030014E-3</v>
      </c>
    </row>
    <row r="1259" spans="1:9" x14ac:dyDescent="0.25">
      <c r="A1259" s="1" t="s">
        <v>1271</v>
      </c>
      <c r="B1259" t="str">
        <f>HYPERLINK("https://www.suredividend.com/sure-analysis-research-database/","Pros Holdings Inc")</f>
        <v>Pros Holdings Inc</v>
      </c>
      <c r="C1259">
        <v>-0.102551020408163</v>
      </c>
      <c r="D1259">
        <v>4.0828402366863012E-2</v>
      </c>
      <c r="E1259">
        <v>4.671228800952E-2</v>
      </c>
      <c r="F1259">
        <v>-9.3065222995617009E-2</v>
      </c>
      <c r="G1259">
        <v>0.47691015952980598</v>
      </c>
      <c r="H1259">
        <v>0.15647600262984801</v>
      </c>
      <c r="I1259">
        <v>8.3795440542205002E-2</v>
      </c>
    </row>
    <row r="1260" spans="1:9" x14ac:dyDescent="0.25">
      <c r="A1260" s="1" t="s">
        <v>1272</v>
      </c>
      <c r="B1260" t="str">
        <f>HYPERLINK("https://www.suredividend.com/sure-analysis-research-database/","Purple Innovation Inc")</f>
        <v>Purple Innovation Inc</v>
      </c>
      <c r="C1260">
        <v>-0.170980392156862</v>
      </c>
      <c r="D1260">
        <v>-0.37362962962962898</v>
      </c>
      <c r="E1260">
        <v>-0.72810289389067506</v>
      </c>
      <c r="F1260">
        <v>-0.17902912621359199</v>
      </c>
      <c r="G1260">
        <v>-0.85319444444444403</v>
      </c>
      <c r="H1260">
        <v>-0.92402515723270406</v>
      </c>
      <c r="I1260">
        <v>-0.84194392523364403</v>
      </c>
    </row>
    <row r="1261" spans="1:9" x14ac:dyDescent="0.25">
      <c r="A1261" s="1" t="s">
        <v>1273</v>
      </c>
      <c r="B1261" t="str">
        <f>HYPERLINK("https://www.suredividend.com/sure-analysis-research-database/","Prothena Corporation plc")</f>
        <v>Prothena Corporation plc</v>
      </c>
      <c r="C1261">
        <v>-9.8074921956295011E-2</v>
      </c>
      <c r="D1261">
        <v>-0.213475499092558</v>
      </c>
      <c r="E1261">
        <v>-0.49548894062863702</v>
      </c>
      <c r="F1261">
        <v>-4.5954870665932013E-2</v>
      </c>
      <c r="G1261">
        <v>-0.39068541300527199</v>
      </c>
      <c r="H1261">
        <v>-6.9011815252416009E-2</v>
      </c>
      <c r="I1261">
        <v>1.9556692242114231</v>
      </c>
    </row>
    <row r="1262" spans="1:9" x14ac:dyDescent="0.25">
      <c r="A1262" s="1" t="s">
        <v>1274</v>
      </c>
      <c r="B1262" t="str">
        <f>HYPERLINK("https://www.suredividend.com/sure-analysis-research-database/","Priority Technology Holdings Inc")</f>
        <v>Priority Technology Holdings Inc</v>
      </c>
      <c r="C1262">
        <v>1.3812154696131999E-2</v>
      </c>
      <c r="D1262">
        <v>0.13622291021671801</v>
      </c>
      <c r="E1262">
        <v>-2.9100529100528998E-2</v>
      </c>
      <c r="F1262">
        <v>3.0898876404494E-2</v>
      </c>
      <c r="G1262">
        <v>-0.24485596707818899</v>
      </c>
      <c r="H1262">
        <v>-0.38628762541806011</v>
      </c>
      <c r="I1262">
        <v>-0.46446030147820611</v>
      </c>
    </row>
    <row r="1263" spans="1:9" x14ac:dyDescent="0.25">
      <c r="A1263" s="1" t="s">
        <v>1275</v>
      </c>
      <c r="B1263" t="str">
        <f>HYPERLINK("https://www.suredividend.com/sure-analysis-research-database/","CarParts.com Inc")</f>
        <v>CarParts.com Inc</v>
      </c>
      <c r="C1263">
        <v>-9.9999999999999006E-2</v>
      </c>
      <c r="D1263">
        <v>-0.19895287958115099</v>
      </c>
      <c r="E1263">
        <v>-0.34193548387096701</v>
      </c>
      <c r="F1263">
        <v>-3.1645569620253E-2</v>
      </c>
      <c r="G1263">
        <v>-0.56472261735419604</v>
      </c>
      <c r="H1263">
        <v>-0.70576923076923004</v>
      </c>
      <c r="I1263">
        <v>1.9423076923076921</v>
      </c>
    </row>
    <row r="1264" spans="1:9" x14ac:dyDescent="0.25">
      <c r="A1264" s="1" t="s">
        <v>1276</v>
      </c>
      <c r="B1264" t="str">
        <f>HYPERLINK("https://www.suredividend.com/sure-analysis-research-database/","Privia Health Group Inc")</f>
        <v>Privia Health Group Inc</v>
      </c>
      <c r="C1264">
        <v>-8.2073434125269004E-2</v>
      </c>
      <c r="D1264">
        <v>-1.0246856078248E-2</v>
      </c>
      <c r="E1264">
        <v>-0.15406050955414</v>
      </c>
      <c r="F1264">
        <v>-7.7290490664350009E-2</v>
      </c>
      <c r="G1264">
        <v>-0.170245997657165</v>
      </c>
      <c r="H1264">
        <v>-0.10901467505241</v>
      </c>
      <c r="I1264">
        <v>-0.38848920863309311</v>
      </c>
    </row>
    <row r="1265" spans="1:9" x14ac:dyDescent="0.25">
      <c r="A1265" s="1" t="s">
        <v>1277</v>
      </c>
      <c r="B1265" t="str">
        <f>HYPERLINK("https://www.suredividend.com/sure-analysis-research-database/","Paysafe Limited")</f>
        <v>Paysafe Limited</v>
      </c>
      <c r="C1265">
        <v>0.213583556747095</v>
      </c>
      <c r="D1265">
        <v>0.30076628352490398</v>
      </c>
      <c r="E1265">
        <v>0.152801358234295</v>
      </c>
      <c r="F1265">
        <v>6.1767005473025008E-2</v>
      </c>
      <c r="G1265">
        <v>-0.25913802509547101</v>
      </c>
      <c r="H1265">
        <v>-0.7068221070811741</v>
      </c>
      <c r="I1265">
        <v>0.364824120603015</v>
      </c>
    </row>
    <row r="1266" spans="1:9" x14ac:dyDescent="0.25">
      <c r="A1266" s="1" t="s">
        <v>1278</v>
      </c>
      <c r="B1266" t="str">
        <f>HYPERLINK("https://www.suredividend.com/sure-analysis-research-database/","Pricesmart Inc.")</f>
        <v>Pricesmart Inc.</v>
      </c>
      <c r="C1266">
        <v>4.2371734127521002E-2</v>
      </c>
      <c r="D1266">
        <v>5.9001512859304002E-2</v>
      </c>
      <c r="E1266">
        <v>1.3880951942042001E-2</v>
      </c>
      <c r="F1266">
        <v>1.609923462655E-2</v>
      </c>
      <c r="G1266">
        <v>0.11664600146469099</v>
      </c>
      <c r="H1266">
        <v>6.9367212367995007E-2</v>
      </c>
      <c r="I1266">
        <v>0.25318993802406098</v>
      </c>
    </row>
    <row r="1267" spans="1:9" x14ac:dyDescent="0.25">
      <c r="A1267" s="1" t="s">
        <v>1279</v>
      </c>
      <c r="B1267" t="str">
        <f>HYPERLINK("https://www.suredividend.com/sure-analysis-research-database/","Parsons Corp")</f>
        <v>Parsons Corp</v>
      </c>
      <c r="C1267">
        <v>2.4827152734128999E-2</v>
      </c>
      <c r="D1267">
        <v>0.13268496005557401</v>
      </c>
      <c r="E1267">
        <v>0.37045597814666897</v>
      </c>
      <c r="F1267">
        <v>4.0025514272045003E-2</v>
      </c>
      <c r="G1267">
        <v>0.45515394912985202</v>
      </c>
      <c r="H1267">
        <v>0.98538812785388108</v>
      </c>
      <c r="I1267">
        <v>1.168939142001995</v>
      </c>
    </row>
    <row r="1268" spans="1:9" x14ac:dyDescent="0.25">
      <c r="A1268" s="1" t="s">
        <v>1280</v>
      </c>
      <c r="B1268" t="str">
        <f>HYPERLINK("https://www.suredividend.com/sure-analysis-PSTL/","Postal Realty Trust Inc")</f>
        <v>Postal Realty Trust Inc</v>
      </c>
      <c r="C1268">
        <v>-4.2225201072385997E-2</v>
      </c>
      <c r="D1268">
        <v>6.2564133069613004E-2</v>
      </c>
      <c r="E1268">
        <v>-1.2231347195520001E-3</v>
      </c>
      <c r="F1268">
        <v>-1.8543956043955999E-2</v>
      </c>
      <c r="G1268">
        <v>9.5372659837510004E-3</v>
      </c>
      <c r="H1268">
        <v>-0.12402763389381601</v>
      </c>
      <c r="I1268">
        <v>5.8494996407487003E-2</v>
      </c>
    </row>
    <row r="1269" spans="1:9" x14ac:dyDescent="0.25">
      <c r="A1269" s="1" t="s">
        <v>1281</v>
      </c>
      <c r="B1269" t="str">
        <f>HYPERLINK("https://www.suredividend.com/sure-analysis-research-database/","PTC Therapeutics Inc")</f>
        <v>PTC Therapeutics Inc</v>
      </c>
      <c r="C1269">
        <v>-2.0781082049444E-2</v>
      </c>
      <c r="D1269">
        <v>0.34036292300147097</v>
      </c>
      <c r="E1269">
        <v>-0.31366147664490202</v>
      </c>
      <c r="F1269">
        <v>-8.3454281567480002E-3</v>
      </c>
      <c r="G1269">
        <v>-0.42800334868145601</v>
      </c>
      <c r="H1269">
        <v>-0.35282974188965099</v>
      </c>
      <c r="I1269">
        <v>-0.23445378151260499</v>
      </c>
    </row>
    <row r="1270" spans="1:9" x14ac:dyDescent="0.25">
      <c r="A1270" s="1" t="s">
        <v>1282</v>
      </c>
      <c r="B1270" t="str">
        <f>HYPERLINK("https://www.suredividend.com/sure-analysis-research-database/","Patterson-UTI Energy Inc")</f>
        <v>Patterson-UTI Energy Inc</v>
      </c>
      <c r="C1270">
        <v>-6.6303360581289009E-2</v>
      </c>
      <c r="D1270">
        <v>-0.243784022362807</v>
      </c>
      <c r="E1270">
        <v>-0.25588128845457803</v>
      </c>
      <c r="F1270">
        <v>-4.8148148148148003E-2</v>
      </c>
      <c r="G1270">
        <v>-0.38365609449007698</v>
      </c>
      <c r="H1270">
        <v>9.2501275293317003E-2</v>
      </c>
      <c r="I1270">
        <v>-0.10610250256517199</v>
      </c>
    </row>
    <row r="1271" spans="1:9" x14ac:dyDescent="0.25">
      <c r="A1271" s="1" t="s">
        <v>1283</v>
      </c>
      <c r="B1271" t="str">
        <f>HYPERLINK("https://www.suredividend.com/sure-analysis-research-database/","Protagonist Therapeutics Inc")</f>
        <v>Protagonist Therapeutics Inc</v>
      </c>
      <c r="C1271">
        <v>0.27272727272727199</v>
      </c>
      <c r="D1271">
        <v>0.67746113989637302</v>
      </c>
      <c r="E1271">
        <v>0.21056321570460301</v>
      </c>
      <c r="F1271">
        <v>0.12952464020933199</v>
      </c>
      <c r="G1271">
        <v>1.128184059161873</v>
      </c>
      <c r="H1271">
        <v>-0.25467625899280499</v>
      </c>
      <c r="I1271">
        <v>2.5238095238095242</v>
      </c>
    </row>
    <row r="1272" spans="1:9" x14ac:dyDescent="0.25">
      <c r="A1272" s="1" t="s">
        <v>1284</v>
      </c>
      <c r="B1272" t="str">
        <f>HYPERLINK("https://www.suredividend.com/sure-analysis-research-database/","Portillos Inc")</f>
        <v>Portillos Inc</v>
      </c>
      <c r="C1272">
        <v>-0.128953771289537</v>
      </c>
      <c r="D1272">
        <v>8.4507042253520008E-3</v>
      </c>
      <c r="E1272">
        <v>-0.39450317124735701</v>
      </c>
      <c r="F1272">
        <v>-0.10106716886377801</v>
      </c>
      <c r="G1272">
        <v>-0.28148519819367701</v>
      </c>
      <c r="H1272">
        <v>-0.51621621621621605</v>
      </c>
      <c r="I1272">
        <v>-0.50790378006872805</v>
      </c>
    </row>
    <row r="1273" spans="1:9" x14ac:dyDescent="0.25">
      <c r="A1273" s="1" t="s">
        <v>1285</v>
      </c>
      <c r="B1273" t="str">
        <f>HYPERLINK("https://www.suredividend.com/sure-analysis-research-database/","Proterra Inc")</f>
        <v>Proterra Inc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 s="1" t="s">
        <v>1286</v>
      </c>
      <c r="B1274" t="str">
        <f>HYPERLINK("https://www.suredividend.com/sure-analysis-research-database/","P.A.M. Transportation Services, Inc.")</f>
        <v>P.A.M. Transportation Services, Inc.</v>
      </c>
      <c r="C1274">
        <v>0.15704263356718801</v>
      </c>
      <c r="D1274">
        <v>3.4749034749034E-2</v>
      </c>
      <c r="E1274">
        <v>-0.15089108910891</v>
      </c>
      <c r="F1274">
        <v>3.1761308950914002E-2</v>
      </c>
      <c r="G1274">
        <v>-0.23483226266952101</v>
      </c>
      <c r="H1274">
        <v>-0.40053124563120301</v>
      </c>
      <c r="I1274">
        <v>0.61263632944716007</v>
      </c>
    </row>
    <row r="1275" spans="1:9" x14ac:dyDescent="0.25">
      <c r="A1275" s="1" t="s">
        <v>1287</v>
      </c>
      <c r="B1275" t="str">
        <f>HYPERLINK("https://www.suredividend.com/sure-analysis-research-database/","Pactiv Evergreen Inc")</f>
        <v>Pactiv Evergreen Inc</v>
      </c>
      <c r="C1275">
        <v>0.118347895154884</v>
      </c>
      <c r="D1275">
        <v>0.81366171602282511</v>
      </c>
      <c r="E1275">
        <v>0.84561339118352608</v>
      </c>
      <c r="F1275">
        <v>2.6987600291757001E-2</v>
      </c>
      <c r="G1275">
        <v>0.373725547587687</v>
      </c>
      <c r="H1275">
        <v>0.238749637085067</v>
      </c>
      <c r="I1275">
        <v>0.47134124039918501</v>
      </c>
    </row>
    <row r="1276" spans="1:9" x14ac:dyDescent="0.25">
      <c r="A1276" s="1" t="s">
        <v>1288</v>
      </c>
      <c r="B1276" t="str">
        <f>HYPERLINK("https://www.suredividend.com/sure-analysis-research-database/","PubMatic Inc")</f>
        <v>PubMatic Inc</v>
      </c>
      <c r="C1276">
        <v>-0.14228341939185299</v>
      </c>
      <c r="D1276">
        <v>0.24479600333055701</v>
      </c>
      <c r="E1276">
        <v>-0.23451100870455699</v>
      </c>
      <c r="F1276">
        <v>-8.3384426732066003E-2</v>
      </c>
      <c r="G1276">
        <v>5.3558844256518003E-2</v>
      </c>
      <c r="H1276">
        <v>-0.44258016405667411</v>
      </c>
      <c r="I1276">
        <v>-0.49235993208828499</v>
      </c>
    </row>
    <row r="1277" spans="1:9" x14ac:dyDescent="0.25">
      <c r="A1277" s="1" t="s">
        <v>1289</v>
      </c>
      <c r="B1277" t="str">
        <f>HYPERLINK("https://www.suredividend.com/sure-analysis-research-database/","ProPetro Holding Corp")</f>
        <v>ProPetro Holding Corp</v>
      </c>
      <c r="C1277">
        <v>-6.6115702479337998E-2</v>
      </c>
      <c r="D1277">
        <v>-0.24015369836695399</v>
      </c>
      <c r="E1277">
        <v>-0.16649104320337099</v>
      </c>
      <c r="F1277">
        <v>-5.6085918854415003E-2</v>
      </c>
      <c r="G1277">
        <v>-0.27431192660550402</v>
      </c>
      <c r="H1277">
        <v>-0.20741482965931801</v>
      </c>
      <c r="I1277">
        <v>-0.46006825938566498</v>
      </c>
    </row>
    <row r="1278" spans="1:9" x14ac:dyDescent="0.25">
      <c r="A1278" s="1" t="s">
        <v>1290</v>
      </c>
      <c r="B1278" t="str">
        <f>HYPERLINK("https://www.suredividend.com/sure-analysis-research-database/","Provident Bancorp Inc")</f>
        <v>Provident Bancorp Inc</v>
      </c>
      <c r="C1278">
        <v>0.104771784232365</v>
      </c>
      <c r="D1278">
        <v>0.13297872340425501</v>
      </c>
      <c r="E1278">
        <v>0.19662921348314599</v>
      </c>
      <c r="F1278">
        <v>5.7596822244288998E-2</v>
      </c>
      <c r="G1278">
        <v>0.43337819650067311</v>
      </c>
      <c r="H1278">
        <v>-0.41263091712304911</v>
      </c>
      <c r="I1278">
        <v>1.1530497881959E-2</v>
      </c>
    </row>
    <row r="1279" spans="1:9" x14ac:dyDescent="0.25">
      <c r="A1279" s="1" t="s">
        <v>1291</v>
      </c>
      <c r="B1279" t="str">
        <f>HYPERLINK("https://www.suredividend.com/sure-analysis-research-database/","Perella Weinberg Partners")</f>
        <v>Perella Weinberg Partners</v>
      </c>
      <c r="C1279">
        <v>-8.5213032581453005E-2</v>
      </c>
      <c r="D1279">
        <v>0.130159254404524</v>
      </c>
      <c r="E1279">
        <v>0.215694111377564</v>
      </c>
      <c r="F1279">
        <v>-0.10466067048242</v>
      </c>
      <c r="G1279">
        <v>9.9430705744148001E-2</v>
      </c>
      <c r="H1279">
        <v>-7.7809312862665E-2</v>
      </c>
      <c r="I1279">
        <v>0.106619504800404</v>
      </c>
    </row>
    <row r="1280" spans="1:9" x14ac:dyDescent="0.25">
      <c r="A1280" s="1" t="s">
        <v>1292</v>
      </c>
      <c r="B1280" t="str">
        <f>HYPERLINK("https://www.suredividend.com/sure-analysis-research-database/","PowerSchool Holdings Inc")</f>
        <v>PowerSchool Holdings Inc</v>
      </c>
      <c r="C1280">
        <v>8.1405693950177008E-2</v>
      </c>
      <c r="D1280">
        <v>0.1743961352657</v>
      </c>
      <c r="E1280">
        <v>0.13757604117922301</v>
      </c>
      <c r="F1280">
        <v>3.1833616298811013E-2</v>
      </c>
      <c r="G1280">
        <v>-2.76E-2</v>
      </c>
      <c r="H1280">
        <v>0.78618662747979406</v>
      </c>
      <c r="I1280">
        <v>0.35055555555555501</v>
      </c>
    </row>
    <row r="1281" spans="1:9" x14ac:dyDescent="0.25">
      <c r="A1281" s="1" t="s">
        <v>1293</v>
      </c>
      <c r="B1281" t="str">
        <f>HYPERLINK("https://www.suredividend.com/sure-analysis-research-database/","Papa John`s International, Inc.")</f>
        <v>Papa John`s International, Inc.</v>
      </c>
      <c r="C1281">
        <v>-2.4559023066485001E-2</v>
      </c>
      <c r="D1281">
        <v>0.11246771615283301</v>
      </c>
      <c r="E1281">
        <v>-2.3918014001052999E-2</v>
      </c>
      <c r="F1281">
        <v>-5.6932966023875008E-2</v>
      </c>
      <c r="G1281">
        <v>-9.3946493816175008E-2</v>
      </c>
      <c r="H1281">
        <v>-0.36206595150139398</v>
      </c>
      <c r="I1281">
        <v>0.86078655698836704</v>
      </c>
    </row>
    <row r="1282" spans="1:9" x14ac:dyDescent="0.25">
      <c r="A1282" s="1" t="s">
        <v>1294</v>
      </c>
      <c r="B1282" t="str">
        <f>HYPERLINK("https://www.suredividend.com/sure-analysis-research-database/","QCR Holding, Inc.")</f>
        <v>QCR Holding, Inc.</v>
      </c>
      <c r="C1282">
        <v>-4.8638302470247002E-2</v>
      </c>
      <c r="D1282">
        <v>0.14591101681784999</v>
      </c>
      <c r="E1282">
        <v>0.28099431208041997</v>
      </c>
      <c r="F1282">
        <v>-5.0008563110121002E-2</v>
      </c>
      <c r="G1282">
        <v>0.11013935280897</v>
      </c>
      <c r="H1282">
        <v>-7.3086936324230009E-2</v>
      </c>
      <c r="I1282">
        <v>0.7132161950972421</v>
      </c>
    </row>
    <row r="1283" spans="1:9" x14ac:dyDescent="0.25">
      <c r="A1283" s="1" t="s">
        <v>1295</v>
      </c>
      <c r="B1283" t="str">
        <f>HYPERLINK("https://www.suredividend.com/sure-analysis-research-database/","Qualys Inc")</f>
        <v>Qualys Inc</v>
      </c>
      <c r="C1283">
        <v>-2.4795949994830002E-3</v>
      </c>
      <c r="D1283">
        <v>0.199229909328033</v>
      </c>
      <c r="E1283">
        <v>0.48584179747614598</v>
      </c>
      <c r="F1283">
        <v>-1.6201345017322E-2</v>
      </c>
      <c r="G1283">
        <v>0.83033175355450206</v>
      </c>
      <c r="H1283">
        <v>0.55688139966137207</v>
      </c>
      <c r="I1283">
        <v>1.461126688758603</v>
      </c>
    </row>
    <row r="1284" spans="1:9" x14ac:dyDescent="0.25">
      <c r="A1284" s="1" t="s">
        <v>1296</v>
      </c>
      <c r="B1284" t="str">
        <f>HYPERLINK("https://www.suredividend.com/sure-analysis-research-database/","QuinStreet Inc")</f>
        <v>QuinStreet Inc</v>
      </c>
      <c r="C1284">
        <v>-9.4281298299845009E-2</v>
      </c>
      <c r="D1284">
        <v>0.25347593582887701</v>
      </c>
      <c r="E1284">
        <v>0.28932893289328898</v>
      </c>
      <c r="F1284">
        <v>-8.5803432137285002E-2</v>
      </c>
      <c r="G1284">
        <v>-0.25207402680280699</v>
      </c>
      <c r="H1284">
        <v>-0.29184290030211402</v>
      </c>
      <c r="I1284">
        <v>-0.36165577342047911</v>
      </c>
    </row>
    <row r="1285" spans="1:9" x14ac:dyDescent="0.25">
      <c r="A1285" s="1" t="s">
        <v>1297</v>
      </c>
      <c r="B1285" t="str">
        <f>HYPERLINK("https://www.suredividend.com/sure-analysis-research-database/","Qurate Retail Inc")</f>
        <v>Qurate Retail Inc</v>
      </c>
      <c r="C1285">
        <v>-0.10171814061347099</v>
      </c>
      <c r="D1285">
        <v>0.73422873422873403</v>
      </c>
      <c r="E1285">
        <v>-0.26534482758620598</v>
      </c>
      <c r="F1285">
        <v>-2.6613363792118001E-2</v>
      </c>
      <c r="G1285">
        <v>-0.56072164948453607</v>
      </c>
      <c r="H1285">
        <v>-0.89239898989898903</v>
      </c>
      <c r="I1285">
        <v>-0.94631608123771604</v>
      </c>
    </row>
    <row r="1286" spans="1:9" x14ac:dyDescent="0.25">
      <c r="A1286" s="1" t="s">
        <v>1298</v>
      </c>
      <c r="B1286" t="str">
        <f>HYPERLINK("https://www.suredividend.com/sure-analysis-research-database/","Quantum-Si Incorporated")</f>
        <v>Quantum-Si Incorporated</v>
      </c>
      <c r="C1286">
        <v>5.8139534883720001E-3</v>
      </c>
      <c r="D1286">
        <v>0.29104477611940199</v>
      </c>
      <c r="E1286">
        <v>-0.32945736434108502</v>
      </c>
      <c r="F1286">
        <v>-0.13930348258706399</v>
      </c>
      <c r="G1286">
        <v>-0.217194570135746</v>
      </c>
      <c r="H1286">
        <v>-0.70017331022530305</v>
      </c>
      <c r="I1286">
        <v>-0.82489878542510109</v>
      </c>
    </row>
    <row r="1287" spans="1:9" x14ac:dyDescent="0.25">
      <c r="A1287" s="1" t="s">
        <v>1299</v>
      </c>
      <c r="B1287" t="str">
        <f>HYPERLINK("https://www.suredividend.com/sure-analysis-research-database/","Quanterix Corp")</f>
        <v>Quanterix Corp</v>
      </c>
      <c r="C1287">
        <v>-8.5794094173982011E-2</v>
      </c>
      <c r="D1287">
        <v>0.119198827552515</v>
      </c>
      <c r="E1287">
        <v>-7.0588235294117008E-2</v>
      </c>
      <c r="F1287">
        <v>-0.16203365032918801</v>
      </c>
      <c r="G1287">
        <v>0.73692191053828604</v>
      </c>
      <c r="H1287">
        <v>-0.30764581444545103</v>
      </c>
      <c r="I1287">
        <v>-2.4275979557069002E-2</v>
      </c>
    </row>
    <row r="1288" spans="1:9" x14ac:dyDescent="0.25">
      <c r="A1288" s="1" t="s">
        <v>1300</v>
      </c>
      <c r="B1288" t="str">
        <f>HYPERLINK("https://www.suredividend.com/sure-analysis-research-database/","Q2 Holdings Inc")</f>
        <v>Q2 Holdings Inc</v>
      </c>
      <c r="C1288">
        <v>5.8999999999998998E-2</v>
      </c>
      <c r="D1288">
        <v>0.320860617399438</v>
      </c>
      <c r="E1288">
        <v>0.242957746478873</v>
      </c>
      <c r="F1288">
        <v>-2.4187975120938999E-2</v>
      </c>
      <c r="G1288">
        <v>0.37845753335502702</v>
      </c>
      <c r="H1288">
        <v>-0.38250728862973699</v>
      </c>
      <c r="I1288">
        <v>-0.19329651494953301</v>
      </c>
    </row>
    <row r="1289" spans="1:9" x14ac:dyDescent="0.25">
      <c r="A1289" s="1" t="s">
        <v>1301</v>
      </c>
      <c r="B1289" t="str">
        <f>HYPERLINK("https://www.suredividend.com/sure-analysis-research-database/","Quad/Graphics Inc")</f>
        <v>Quad/Graphics Inc</v>
      </c>
      <c r="C1289">
        <v>-1.1673151750972E-2</v>
      </c>
      <c r="D1289">
        <v>7.3995771670190003E-2</v>
      </c>
      <c r="E1289">
        <v>4.3121149897330013E-2</v>
      </c>
      <c r="F1289">
        <v>-6.2730627306272005E-2</v>
      </c>
      <c r="G1289">
        <v>0.16513761467889801</v>
      </c>
      <c r="H1289">
        <v>4.0983606557376012E-2</v>
      </c>
      <c r="I1289">
        <v>-0.58144516766911103</v>
      </c>
    </row>
    <row r="1290" spans="1:9" x14ac:dyDescent="0.25">
      <c r="A1290" s="1" t="s">
        <v>1302</v>
      </c>
      <c r="B1290" t="str">
        <f>HYPERLINK("https://www.suredividend.com/sure-analysis-research-database/","Quotient Technology Inc")</f>
        <v>Quotient Technology Inc</v>
      </c>
      <c r="C1290">
        <v>7.5757575757570009E-3</v>
      </c>
      <c r="D1290">
        <v>0.32119205298013198</v>
      </c>
      <c r="E1290">
        <v>0.20909090909090899</v>
      </c>
      <c r="F1290">
        <v>0.163265306122448</v>
      </c>
      <c r="G1290">
        <v>1.2931034482758621</v>
      </c>
      <c r="H1290">
        <v>-0.42424242424242398</v>
      </c>
      <c r="I1290">
        <v>-0.73663366336633607</v>
      </c>
    </row>
    <row r="1291" spans="1:9" x14ac:dyDescent="0.25">
      <c r="A1291" s="1" t="s">
        <v>1303</v>
      </c>
      <c r="B1291" t="str">
        <f>HYPERLINK("https://www.suredividend.com/sure-analysis-research-database/","Rite Aid Corp.")</f>
        <v>Rite Aid Corp.</v>
      </c>
      <c r="C1291">
        <v>-2.9200359389037998E-2</v>
      </c>
      <c r="D1291">
        <v>-0.579025974025974</v>
      </c>
      <c r="E1291">
        <v>-0.73538775510204002</v>
      </c>
      <c r="F1291">
        <v>-0.80589820359281406</v>
      </c>
      <c r="G1291">
        <v>-0.83204663212435204</v>
      </c>
      <c r="H1291">
        <v>-0.95319133574007209</v>
      </c>
      <c r="I1291">
        <v>-0.9699861111111111</v>
      </c>
    </row>
    <row r="1292" spans="1:9" x14ac:dyDescent="0.25">
      <c r="A1292" s="1" t="s">
        <v>1304</v>
      </c>
      <c r="B1292" t="str">
        <f>HYPERLINK("https://www.suredividend.com/sure-analysis-research-database/","Radius Global Infrastructure Inc")</f>
        <v>Radius Global Infrastructure Inc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25">
      <c r="A1293" s="1" t="s">
        <v>1305</v>
      </c>
      <c r="B1293" t="str">
        <f>HYPERLINK("https://www.suredividend.com/sure-analysis-research-database/","LiveRamp Holdings Inc")</f>
        <v>LiveRamp Holdings Inc</v>
      </c>
      <c r="C1293">
        <v>0.108030040439052</v>
      </c>
      <c r="D1293">
        <v>0.344549596915527</v>
      </c>
      <c r="E1293">
        <v>0.32093663911845699</v>
      </c>
      <c r="F1293">
        <v>1.2671594508975001E-2</v>
      </c>
      <c r="G1293">
        <v>0.5877483443708601</v>
      </c>
      <c r="H1293">
        <v>-0.16608695652173899</v>
      </c>
      <c r="I1293">
        <v>-7.2533849129593E-2</v>
      </c>
    </row>
    <row r="1294" spans="1:9" x14ac:dyDescent="0.25">
      <c r="A1294" s="1" t="s">
        <v>1306</v>
      </c>
      <c r="B1294" t="str">
        <f>HYPERLINK("https://www.suredividend.com/sure-analysis-research-database/","RAPT Therapeutics Inc")</f>
        <v>RAPT Therapeutics Inc</v>
      </c>
      <c r="C1294">
        <v>0.28770053475935797</v>
      </c>
      <c r="D1294">
        <v>0.96732026143790806</v>
      </c>
      <c r="E1294">
        <v>0.140151515151514</v>
      </c>
      <c r="F1294">
        <v>-3.0985915492957001E-2</v>
      </c>
      <c r="G1294">
        <v>-8.4410646387832008E-2</v>
      </c>
      <c r="H1294">
        <v>-0.18345201763309499</v>
      </c>
      <c r="I1294">
        <v>0.8523076923076921</v>
      </c>
    </row>
    <row r="1295" spans="1:9" x14ac:dyDescent="0.25">
      <c r="A1295" s="1" t="s">
        <v>1307</v>
      </c>
      <c r="B1295" t="str">
        <f>HYPERLINK("https://www.suredividend.com/sure-analysis-research-database/","RBB Bancorp")</f>
        <v>RBB Bancorp</v>
      </c>
      <c r="C1295">
        <v>-2.0589872008902999E-2</v>
      </c>
      <c r="D1295">
        <v>0.44347483760908002</v>
      </c>
      <c r="E1295">
        <v>0.43091757589554303</v>
      </c>
      <c r="F1295">
        <v>-7.5630252100840012E-2</v>
      </c>
      <c r="G1295">
        <v>-0.1005723630417</v>
      </c>
      <c r="H1295">
        <v>-0.29543634907926303</v>
      </c>
      <c r="I1295">
        <v>0.156114928334012</v>
      </c>
    </row>
    <row r="1296" spans="1:9" x14ac:dyDescent="0.25">
      <c r="A1296" s="1" t="s">
        <v>1308</v>
      </c>
      <c r="B1296" t="str">
        <f>HYPERLINK("https://www.suredividend.com/sure-analysis-research-database/","Ribbon Communications Inc")</f>
        <v>Ribbon Communications Inc</v>
      </c>
      <c r="C1296">
        <v>0.159999999999999</v>
      </c>
      <c r="D1296">
        <v>0.40096618357487901</v>
      </c>
      <c r="E1296">
        <v>-3.6544850498338E-2</v>
      </c>
      <c r="F1296">
        <v>0</v>
      </c>
      <c r="G1296">
        <v>-5.5374592833876003E-2</v>
      </c>
      <c r="H1296">
        <v>-0.526143790849673</v>
      </c>
      <c r="I1296">
        <v>-0.44866920152091211</v>
      </c>
    </row>
    <row r="1297" spans="1:9" x14ac:dyDescent="0.25">
      <c r="A1297" s="1" t="s">
        <v>1309</v>
      </c>
      <c r="B1297" t="str">
        <f>HYPERLINK("https://www.suredividend.com/sure-analysis-research-database/","RBC Bearings Inc.")</f>
        <v>RBC Bearings Inc.</v>
      </c>
      <c r="C1297">
        <v>2.0898876404494001E-2</v>
      </c>
      <c r="D1297">
        <v>0.14635377239465</v>
      </c>
      <c r="E1297">
        <v>0.21981562695784401</v>
      </c>
      <c r="F1297">
        <v>-4.3209659868721002E-2</v>
      </c>
      <c r="G1297">
        <v>0.217799222624313</v>
      </c>
      <c r="H1297">
        <v>0.34720506103889598</v>
      </c>
      <c r="I1297">
        <v>1.0681335356600909</v>
      </c>
    </row>
    <row r="1298" spans="1:9" x14ac:dyDescent="0.25">
      <c r="A1298" s="1" t="s">
        <v>1310</v>
      </c>
      <c r="B1298" t="str">
        <f>HYPERLINK("https://www.suredividend.com/sure-analysis-RBCAA/","Republic Bancorp, Inc. (KY)")</f>
        <v>Republic Bancorp, Inc. (KY)</v>
      </c>
      <c r="C1298">
        <v>-4.8624499624470002E-3</v>
      </c>
      <c r="D1298">
        <v>0.17811515325121699</v>
      </c>
      <c r="E1298">
        <v>0.20055111858390501</v>
      </c>
      <c r="F1298">
        <v>-6.7984046410442006E-2</v>
      </c>
      <c r="G1298">
        <v>0.26340261036034301</v>
      </c>
      <c r="H1298">
        <v>8.4981417503635012E-2</v>
      </c>
      <c r="I1298">
        <v>0.50573473763135901</v>
      </c>
    </row>
    <row r="1299" spans="1:9" x14ac:dyDescent="0.25">
      <c r="A1299" s="1" t="s">
        <v>1311</v>
      </c>
      <c r="B1299" t="str">
        <f>HYPERLINK("https://www.suredividend.com/sure-analysis-research-database/","Vicarious Surgical Inc")</f>
        <v>Vicarious Surgical Inc</v>
      </c>
      <c r="C1299">
        <v>1.0057142857142849</v>
      </c>
      <c r="D1299">
        <v>0.308480894687791</v>
      </c>
      <c r="E1299">
        <v>-0.6996791443850261</v>
      </c>
      <c r="F1299">
        <v>0.53149713662394305</v>
      </c>
      <c r="G1299">
        <v>-0.80014234875444801</v>
      </c>
      <c r="H1299">
        <v>-0.92649214659685808</v>
      </c>
      <c r="I1299">
        <v>-0.94240000000000002</v>
      </c>
    </row>
    <row r="1300" spans="1:9" x14ac:dyDescent="0.25">
      <c r="A1300" s="1" t="s">
        <v>1312</v>
      </c>
      <c r="B1300" t="str">
        <f>HYPERLINK("https://www.suredividend.com/sure-analysis-research-database/","Ready Capital Corp")</f>
        <v>Ready Capital Corp</v>
      </c>
      <c r="C1300">
        <v>-7.3641386514197008E-2</v>
      </c>
      <c r="D1300">
        <v>2.6031359415434999E-2</v>
      </c>
      <c r="E1300">
        <v>-7.654366094263701E-2</v>
      </c>
      <c r="F1300">
        <v>-1.3658536585365E-2</v>
      </c>
      <c r="G1300">
        <v>-5.1372273047149003E-2</v>
      </c>
      <c r="H1300">
        <v>-0.13456599897277799</v>
      </c>
      <c r="I1300">
        <v>0.303658237804799</v>
      </c>
    </row>
    <row r="1301" spans="1:9" x14ac:dyDescent="0.25">
      <c r="A1301" s="1" t="s">
        <v>1313</v>
      </c>
      <c r="B1301" t="str">
        <f>HYPERLINK("https://www.suredividend.com/sure-analysis-research-database/","Rocket Pharmaceuticals Inc")</f>
        <v>Rocket Pharmaceuticals Inc</v>
      </c>
      <c r="C1301">
        <v>6.1201780415430007E-2</v>
      </c>
      <c r="D1301">
        <v>0.63019943019943003</v>
      </c>
      <c r="E1301">
        <v>0.43624497991967798</v>
      </c>
      <c r="F1301">
        <v>-4.5378712045378002E-2</v>
      </c>
      <c r="G1301">
        <v>0.27894501564595398</v>
      </c>
      <c r="H1301">
        <v>0.53569511540526005</v>
      </c>
      <c r="I1301">
        <v>0.76932591218305402</v>
      </c>
    </row>
    <row r="1302" spans="1:9" x14ac:dyDescent="0.25">
      <c r="A1302" s="1" t="s">
        <v>1314</v>
      </c>
      <c r="B1302" t="str">
        <f>HYPERLINK("https://www.suredividend.com/sure-analysis-research-database/","Rocky Brands, Inc")</f>
        <v>Rocky Brands, Inc</v>
      </c>
      <c r="C1302">
        <v>-9.8005502063273006E-2</v>
      </c>
      <c r="D1302">
        <v>1.1188254776041029</v>
      </c>
      <c r="E1302">
        <v>0.261112259665081</v>
      </c>
      <c r="F1302">
        <v>-0.130881378396288</v>
      </c>
      <c r="G1302">
        <v>-0.116022471834379</v>
      </c>
      <c r="H1302">
        <v>-0.36103403839642201</v>
      </c>
      <c r="I1302">
        <v>0.110904054820976</v>
      </c>
    </row>
    <row r="1303" spans="1:9" x14ac:dyDescent="0.25">
      <c r="A1303" s="1" t="s">
        <v>1315</v>
      </c>
      <c r="B1303" t="str">
        <f>HYPERLINK("https://www.suredividend.com/sure-analysis-research-database/","R1 RCM Inc.")</f>
        <v>R1 RCM Inc.</v>
      </c>
      <c r="C1303">
        <v>-0.13793103448275801</v>
      </c>
      <c r="D1303">
        <v>-0.29924242424242398</v>
      </c>
      <c r="E1303">
        <v>-0.48781838316721998</v>
      </c>
      <c r="F1303">
        <v>-0.12488174077578</v>
      </c>
      <c r="G1303">
        <v>-0.255233494363929</v>
      </c>
      <c r="H1303">
        <v>-0.54767726161369101</v>
      </c>
      <c r="I1303">
        <v>-0.54767726161369101</v>
      </c>
    </row>
    <row r="1304" spans="1:9" x14ac:dyDescent="0.25">
      <c r="A1304" s="1" t="s">
        <v>1316</v>
      </c>
      <c r="B1304" t="str">
        <f>HYPERLINK("https://www.suredividend.com/sure-analysis-research-database/","Arcus Biosciences Inc")</f>
        <v>Arcus Biosciences Inc</v>
      </c>
      <c r="C1304">
        <v>1.5661252900232001E-2</v>
      </c>
      <c r="D1304">
        <v>8.6228287841191006E-2</v>
      </c>
      <c r="E1304">
        <v>-0.22795414462081101</v>
      </c>
      <c r="F1304">
        <v>-8.3246073298429007E-2</v>
      </c>
      <c r="G1304">
        <v>-0.14082433758586799</v>
      </c>
      <c r="H1304">
        <v>-0.518956043956043</v>
      </c>
      <c r="I1304">
        <v>0.75275275275275211</v>
      </c>
    </row>
    <row r="1305" spans="1:9" x14ac:dyDescent="0.25">
      <c r="A1305" s="1" t="s">
        <v>1317</v>
      </c>
      <c r="B1305" t="str">
        <f>HYPERLINK("https://www.suredividend.com/sure-analysis-research-database/","Redfin Corp")</f>
        <v>Redfin Corp</v>
      </c>
      <c r="C1305">
        <v>2.7315914489311002E-2</v>
      </c>
      <c r="D1305">
        <v>0.46859083191850598</v>
      </c>
      <c r="E1305">
        <v>-0.49147560258671302</v>
      </c>
      <c r="F1305">
        <v>-0.16182170542635599</v>
      </c>
      <c r="G1305">
        <v>0.40650406504065001</v>
      </c>
      <c r="H1305">
        <v>-0.73636086558975911</v>
      </c>
      <c r="I1305">
        <v>-0.48997641509433898</v>
      </c>
    </row>
    <row r="1306" spans="1:9" x14ac:dyDescent="0.25">
      <c r="A1306" s="1" t="s">
        <v>1318</v>
      </c>
      <c r="B1306" t="str">
        <f>HYPERLINK("https://www.suredividend.com/sure-analysis-research-database/","Radian Group, Inc.")</f>
        <v>Radian Group, Inc.</v>
      </c>
      <c r="C1306">
        <v>5.4419284149013002E-2</v>
      </c>
      <c r="D1306">
        <v>0.109202887692727</v>
      </c>
      <c r="E1306">
        <v>0.13864490607264099</v>
      </c>
      <c r="F1306">
        <v>1.1208406304728E-2</v>
      </c>
      <c r="G1306">
        <v>0.52105077369693809</v>
      </c>
      <c r="H1306">
        <v>0.32139032048406702</v>
      </c>
      <c r="I1306">
        <v>0.91545969042137409</v>
      </c>
    </row>
    <row r="1307" spans="1:9" x14ac:dyDescent="0.25">
      <c r="A1307" s="1" t="s">
        <v>1319</v>
      </c>
      <c r="B1307" t="str">
        <f>HYPERLINK("https://www.suredividend.com/sure-analysis-research-database/","Radnet Inc")</f>
        <v>Radnet Inc</v>
      </c>
      <c r="C1307">
        <v>-2.5544501210001999E-2</v>
      </c>
      <c r="D1307">
        <v>0.235594953972042</v>
      </c>
      <c r="E1307">
        <v>0.18470088264138601</v>
      </c>
      <c r="F1307">
        <v>4.2277825711819997E-2</v>
      </c>
      <c r="G1307">
        <v>0.81200000000000006</v>
      </c>
      <c r="H1307">
        <v>0.29660107334525898</v>
      </c>
      <c r="I1307">
        <v>2.0685859441151568</v>
      </c>
    </row>
    <row r="1308" spans="1:9" x14ac:dyDescent="0.25">
      <c r="A1308" s="1" t="s">
        <v>1320</v>
      </c>
      <c r="B1308" t="str">
        <f>HYPERLINK("https://www.suredividend.com/sure-analysis-research-database/","Red Violet Inc")</f>
        <v>Red Violet Inc</v>
      </c>
      <c r="C1308">
        <v>-0.119059049447911</v>
      </c>
      <c r="D1308">
        <v>-7.8352586639879013E-2</v>
      </c>
      <c r="E1308">
        <v>-0.13849765258215899</v>
      </c>
      <c r="F1308">
        <v>-8.1121682523785002E-2</v>
      </c>
      <c r="G1308">
        <v>-0.219148936170212</v>
      </c>
      <c r="H1308">
        <v>-0.40787350758309099</v>
      </c>
      <c r="I1308">
        <v>1.4499332443257671</v>
      </c>
    </row>
    <row r="1309" spans="1:9" x14ac:dyDescent="0.25">
      <c r="A1309" s="1" t="s">
        <v>1321</v>
      </c>
      <c r="B1309" t="str">
        <f>HYPERLINK("https://www.suredividend.com/sure-analysis-research-database/","Redwire Corporation")</f>
        <v>Redwire Corporation</v>
      </c>
      <c r="C1309">
        <v>0</v>
      </c>
      <c r="D1309">
        <v>8.6466165413533011E-2</v>
      </c>
      <c r="E1309">
        <v>-5.5555555555554997E-2</v>
      </c>
      <c r="F1309">
        <v>1.4035087719298E-2</v>
      </c>
      <c r="G1309">
        <v>9.0566037735849009E-2</v>
      </c>
      <c r="H1309">
        <v>-0.48576512455516002</v>
      </c>
      <c r="I1309">
        <v>-0.76388888888888806</v>
      </c>
    </row>
    <row r="1310" spans="1:9" x14ac:dyDescent="0.25">
      <c r="A1310" s="1" t="s">
        <v>1322</v>
      </c>
      <c r="B1310" t="str">
        <f>HYPERLINK("https://www.suredividend.com/sure-analysis-research-database/","Therealreal Inc")</f>
        <v>Therealreal Inc</v>
      </c>
      <c r="C1310">
        <v>-0.25847457627118597</v>
      </c>
      <c r="D1310">
        <v>0.10062893081761</v>
      </c>
      <c r="E1310">
        <v>-0.36823104693140801</v>
      </c>
      <c r="F1310">
        <v>-0.12935323383084499</v>
      </c>
      <c r="G1310">
        <v>0.16666666666666599</v>
      </c>
      <c r="H1310">
        <v>-0.84003656307129804</v>
      </c>
      <c r="I1310">
        <v>-0.9394463667820061</v>
      </c>
    </row>
    <row r="1311" spans="1:9" x14ac:dyDescent="0.25">
      <c r="A1311" s="1" t="s">
        <v>1323</v>
      </c>
      <c r="B1311" t="str">
        <f>HYPERLINK("https://www.suredividend.com/sure-analysis-research-database/","Chicago Atlantic Real Estate Finance Inc")</f>
        <v>Chicago Atlantic Real Estate Finance Inc</v>
      </c>
      <c r="C1311">
        <v>7.4480590667141008E-2</v>
      </c>
      <c r="D1311">
        <v>0.14769825482146101</v>
      </c>
      <c r="E1311">
        <v>0.18211210811203499</v>
      </c>
      <c r="F1311">
        <v>5.5624227441280014E-3</v>
      </c>
      <c r="G1311">
        <v>0.27707003869671298</v>
      </c>
      <c r="H1311">
        <v>0.23672628594449499</v>
      </c>
      <c r="I1311">
        <v>0.35222739361702099</v>
      </c>
    </row>
    <row r="1312" spans="1:9" x14ac:dyDescent="0.25">
      <c r="A1312" s="1" t="s">
        <v>1324</v>
      </c>
      <c r="B1312" t="str">
        <f>HYPERLINK("https://www.suredividend.com/sure-analysis-research-database/","Ring Energy Inc")</f>
        <v>Ring Energy Inc</v>
      </c>
      <c r="C1312">
        <v>-6.0402684563757997E-2</v>
      </c>
      <c r="D1312">
        <v>-0.209039548022598</v>
      </c>
      <c r="E1312">
        <v>-0.34883720930232498</v>
      </c>
      <c r="F1312">
        <v>-4.1095890410958E-2</v>
      </c>
      <c r="G1312">
        <v>-0.42148760330578511</v>
      </c>
      <c r="H1312">
        <v>-0.49090909090909002</v>
      </c>
      <c r="I1312">
        <v>-0.77419354838709609</v>
      </c>
    </row>
    <row r="1313" spans="1:9" x14ac:dyDescent="0.25">
      <c r="A1313" s="1" t="s">
        <v>1325</v>
      </c>
      <c r="B1313" t="str">
        <f>HYPERLINK("https://www.suredividend.com/sure-analysis-research-database/","Remitly Global Inc")</f>
        <v>Remitly Global Inc</v>
      </c>
      <c r="C1313">
        <v>-8.6450960566228002E-2</v>
      </c>
      <c r="D1313">
        <v>-0.31083142639206701</v>
      </c>
      <c r="E1313">
        <v>-9.4235588972431006E-2</v>
      </c>
      <c r="F1313">
        <v>-6.9515962924819E-2</v>
      </c>
      <c r="G1313">
        <v>0.50583333333333302</v>
      </c>
      <c r="H1313">
        <v>0.194315928618638</v>
      </c>
      <c r="I1313">
        <v>-0.62703818369453002</v>
      </c>
    </row>
    <row r="1314" spans="1:9" x14ac:dyDescent="0.25">
      <c r="A1314" s="1" t="s">
        <v>1326</v>
      </c>
      <c r="B1314" t="str">
        <f>HYPERLINK("https://www.suredividend.com/sure-analysis-research-database/","Rent the Runway Inc")</f>
        <v>Rent the Runway Inc</v>
      </c>
      <c r="C1314">
        <v>-0.118548799182422</v>
      </c>
      <c r="D1314">
        <v>0.15927419354838701</v>
      </c>
      <c r="E1314">
        <v>-0.62702702702702706</v>
      </c>
      <c r="F1314">
        <v>0.30805687203791399</v>
      </c>
      <c r="G1314">
        <v>-0.82575757575757502</v>
      </c>
      <c r="H1314">
        <v>-0.87915936952714502</v>
      </c>
      <c r="I1314">
        <v>-0.96423017107309406</v>
      </c>
    </row>
    <row r="1315" spans="1:9" x14ac:dyDescent="0.25">
      <c r="A1315" s="1" t="s">
        <v>1327</v>
      </c>
      <c r="B1315" t="str">
        <f>HYPERLINK("https://www.suredividend.com/sure-analysis-research-database/","Replimune Group Inc")</f>
        <v>Replimune Group Inc</v>
      </c>
      <c r="C1315">
        <v>9.0090090090090003E-2</v>
      </c>
      <c r="D1315">
        <v>-0.44386080105055797</v>
      </c>
      <c r="E1315">
        <v>-0.58642578125</v>
      </c>
      <c r="F1315">
        <v>4.744958481613E-3</v>
      </c>
      <c r="G1315">
        <v>-0.69814682822523111</v>
      </c>
      <c r="H1315">
        <v>-0.63679245283018804</v>
      </c>
      <c r="I1315">
        <v>-0.22789425706472199</v>
      </c>
    </row>
    <row r="1316" spans="1:9" x14ac:dyDescent="0.25">
      <c r="A1316" s="1" t="s">
        <v>1328</v>
      </c>
      <c r="B1316" t="str">
        <f>HYPERLINK("https://www.suredividend.com/sure-analysis-research-database/","Riley Exploration Permian Inc.")</f>
        <v>Riley Exploration Permian Inc.</v>
      </c>
      <c r="C1316">
        <v>-9.9961553248750001E-2</v>
      </c>
      <c r="D1316">
        <v>-0.242571310244862</v>
      </c>
      <c r="E1316">
        <v>-0.327992100103628</v>
      </c>
      <c r="F1316">
        <v>-0.140602055800293</v>
      </c>
      <c r="G1316">
        <v>-0.28424888937808201</v>
      </c>
      <c r="H1316">
        <v>-4.0907880451482012E-2</v>
      </c>
      <c r="I1316">
        <v>1.1295176064986221</v>
      </c>
    </row>
    <row r="1317" spans="1:9" x14ac:dyDescent="0.25">
      <c r="A1317" s="1" t="s">
        <v>1329</v>
      </c>
      <c r="B1317" t="str">
        <f>HYPERLINK("https://www.suredividend.com/sure-analysis-research-database/","RPC, Inc.")</f>
        <v>RPC, Inc.</v>
      </c>
      <c r="C1317">
        <v>-5.2039381153305003E-2</v>
      </c>
      <c r="D1317">
        <v>-0.24026376599222199</v>
      </c>
      <c r="E1317">
        <v>-0.17754728492983499</v>
      </c>
      <c r="F1317">
        <v>-7.4175824175824009E-2</v>
      </c>
      <c r="G1317">
        <v>-0.296656509579663</v>
      </c>
      <c r="H1317">
        <v>0.22532087408646301</v>
      </c>
      <c r="I1317">
        <v>-0.36259350677599</v>
      </c>
    </row>
    <row r="1318" spans="1:9" x14ac:dyDescent="0.25">
      <c r="A1318" s="1" t="s">
        <v>1330</v>
      </c>
      <c r="B1318" t="str">
        <f>HYPERLINK("https://www.suredividend.com/sure-analysis-research-database/","Reata Pharmaceuticals Inc")</f>
        <v>Reata Pharmaceuticals Inc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25">
      <c r="A1319" s="1" t="s">
        <v>1331</v>
      </c>
      <c r="B1319" t="str">
        <f>HYPERLINK("https://www.suredividend.com/sure-analysis-research-database/","REV Group Inc")</f>
        <v>REV Group Inc</v>
      </c>
      <c r="C1319">
        <v>-6.0401960149385002E-2</v>
      </c>
      <c r="D1319">
        <v>0.135829853862212</v>
      </c>
      <c r="E1319">
        <v>0.34509746355257098</v>
      </c>
      <c r="F1319">
        <v>-4.1827187671986003E-2</v>
      </c>
      <c r="G1319">
        <v>0.30683140298597</v>
      </c>
      <c r="H1319">
        <v>0.29381776565623502</v>
      </c>
      <c r="I1319">
        <v>1.2890425727734089</v>
      </c>
    </row>
    <row r="1320" spans="1:9" x14ac:dyDescent="0.25">
      <c r="A1320" s="1" t="s">
        <v>1332</v>
      </c>
      <c r="B1320" t="str">
        <f>HYPERLINK("https://www.suredividend.com/sure-analysis-research-database/","REX American Resources Corp")</f>
        <v>REX American Resources Corp</v>
      </c>
      <c r="C1320">
        <v>7.2501788695444006E-2</v>
      </c>
      <c r="D1320">
        <v>0.25125208681135203</v>
      </c>
      <c r="E1320">
        <v>0.28339041095890399</v>
      </c>
      <c r="F1320">
        <v>-4.9260042283298007E-2</v>
      </c>
      <c r="G1320">
        <v>0.39745183343691698</v>
      </c>
      <c r="H1320">
        <v>0.33640416047548211</v>
      </c>
      <c r="I1320">
        <v>0.92811480365128407</v>
      </c>
    </row>
    <row r="1321" spans="1:9" x14ac:dyDescent="0.25">
      <c r="A1321" s="1" t="s">
        <v>1333</v>
      </c>
      <c r="B1321" t="str">
        <f>HYPERLINK("https://www.suredividend.com/sure-analysis-research-database/","Resideo Technologies Inc")</f>
        <v>Resideo Technologies Inc</v>
      </c>
      <c r="C1321">
        <v>-4.7006155567991002E-2</v>
      </c>
      <c r="D1321">
        <v>0.15614392396469801</v>
      </c>
      <c r="E1321">
        <v>-5.6509695290858003E-2</v>
      </c>
      <c r="F1321">
        <v>-9.5111583421891008E-2</v>
      </c>
      <c r="G1321">
        <v>-6.4285714285714002E-2</v>
      </c>
      <c r="H1321">
        <v>-0.33554428404213799</v>
      </c>
      <c r="I1321">
        <v>-0.21952337305224501</v>
      </c>
    </row>
    <row r="1322" spans="1:9" x14ac:dyDescent="0.25">
      <c r="A1322" s="1" t="s">
        <v>1334</v>
      </c>
      <c r="B1322" t="str">
        <f>HYPERLINK("https://www.suredividend.com/sure-analysis-research-database/","Regenxbio Inc")</f>
        <v>Regenxbio Inc</v>
      </c>
      <c r="C1322">
        <v>-0.24913151364764199</v>
      </c>
      <c r="D1322">
        <v>-5.9664387818520008E-2</v>
      </c>
      <c r="E1322">
        <v>-0.20660723649711499</v>
      </c>
      <c r="F1322">
        <v>-0.15710306406685201</v>
      </c>
      <c r="G1322">
        <v>-0.38370672097759601</v>
      </c>
      <c r="H1322">
        <v>-0.43077501881113611</v>
      </c>
      <c r="I1322">
        <v>-0.66212594908441202</v>
      </c>
    </row>
    <row r="1323" spans="1:9" x14ac:dyDescent="0.25">
      <c r="A1323" s="1" t="s">
        <v>1335</v>
      </c>
      <c r="B1323" t="str">
        <f>HYPERLINK("https://www.suredividend.com/sure-analysis-research-database/","Resources Connection Inc")</f>
        <v>Resources Connection Inc</v>
      </c>
      <c r="C1323">
        <v>-8.2402234636871005E-2</v>
      </c>
      <c r="D1323">
        <v>-3.6077407238955E-2</v>
      </c>
      <c r="E1323">
        <v>-0.15888927295771299</v>
      </c>
      <c r="F1323">
        <v>-7.2688779110797005E-2</v>
      </c>
      <c r="G1323">
        <v>-0.213216054224622</v>
      </c>
      <c r="H1323">
        <v>-0.21953885080956501</v>
      </c>
      <c r="I1323">
        <v>-0.151705304746964</v>
      </c>
    </row>
    <row r="1324" spans="1:9" x14ac:dyDescent="0.25">
      <c r="A1324" s="1" t="s">
        <v>1336</v>
      </c>
      <c r="B1324" t="str">
        <f>HYPERLINK("https://www.suredividend.com/sure-analysis-research-database/","Sturm, Ruger &amp; Co., Inc.")</f>
        <v>Sturm, Ruger &amp; Co., Inc.</v>
      </c>
      <c r="C1324">
        <v>2.7173913043469998E-3</v>
      </c>
      <c r="D1324">
        <v>-0.18170326949091101</v>
      </c>
      <c r="E1324">
        <v>-0.16972145917515899</v>
      </c>
      <c r="F1324">
        <v>-2.5742574257424999E-2</v>
      </c>
      <c r="G1324">
        <v>-0.17859753134054801</v>
      </c>
      <c r="H1324">
        <v>-0.24372331340734399</v>
      </c>
      <c r="I1324">
        <v>9.0743770766010014E-3</v>
      </c>
    </row>
    <row r="1325" spans="1:9" x14ac:dyDescent="0.25">
      <c r="A1325" s="1" t="s">
        <v>1337</v>
      </c>
      <c r="B1325" t="str">
        <f>HYPERLINK("https://www.suredividend.com/sure-analysis-research-database/","Rigetti Computing Inc")</f>
        <v>Rigetti Computing Inc</v>
      </c>
      <c r="C1325">
        <v>3.8379313855236998E-2</v>
      </c>
      <c r="D1325">
        <v>-0.27142857142857102</v>
      </c>
      <c r="E1325">
        <v>-0.49</v>
      </c>
      <c r="F1325">
        <v>3.5638135851355002E-2</v>
      </c>
      <c r="G1325">
        <v>0.10857515487447</v>
      </c>
      <c r="H1325">
        <v>-0.89183457051961812</v>
      </c>
      <c r="I1325">
        <v>-0.89183457051961812</v>
      </c>
    </row>
    <row r="1326" spans="1:9" x14ac:dyDescent="0.25">
      <c r="A1326" s="1" t="s">
        <v>1338</v>
      </c>
      <c r="B1326" t="str">
        <f>HYPERLINK("https://www.suredividend.com/sure-analysis-research-database/","Ryman Hospitality Properties Inc")</f>
        <v>Ryman Hospitality Properties Inc</v>
      </c>
      <c r="C1326">
        <v>4.0729496856691E-2</v>
      </c>
      <c r="D1326">
        <v>0.34569716159674302</v>
      </c>
      <c r="E1326">
        <v>0.189951895561668</v>
      </c>
      <c r="F1326">
        <v>1.6354715609667E-2</v>
      </c>
      <c r="G1326">
        <v>0.36336157723846702</v>
      </c>
      <c r="H1326">
        <v>0.30408982434541898</v>
      </c>
      <c r="I1326">
        <v>0.67595840219106107</v>
      </c>
    </row>
    <row r="1327" spans="1:9" x14ac:dyDescent="0.25">
      <c r="A1327" s="1" t="s">
        <v>1339</v>
      </c>
      <c r="B1327" t="str">
        <f>HYPERLINK("https://www.suredividend.com/sure-analysis-research-database/","RCI Hospitality Holdings Inc")</f>
        <v>RCI Hospitality Holdings Inc</v>
      </c>
      <c r="C1327">
        <v>-4.8678686804706002E-2</v>
      </c>
      <c r="D1327">
        <v>0.208435428492422</v>
      </c>
      <c r="E1327">
        <v>-8.9462185117127002E-2</v>
      </c>
      <c r="F1327">
        <v>-5.0256565046785003E-2</v>
      </c>
      <c r="G1327">
        <v>-0.33427696109545402</v>
      </c>
      <c r="H1327">
        <v>-0.24847138626158399</v>
      </c>
      <c r="I1327">
        <v>2.0215440459785561</v>
      </c>
    </row>
    <row r="1328" spans="1:9" x14ac:dyDescent="0.25">
      <c r="A1328" s="1" t="s">
        <v>1340</v>
      </c>
      <c r="B1328" t="str">
        <f>HYPERLINK("https://www.suredividend.com/sure-analysis-research-database/","Lordstown Motors Corp.")</f>
        <v>Lordstown Motors Corp.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 s="1" t="s">
        <v>1341</v>
      </c>
      <c r="B1329" t="str">
        <f>HYPERLINK("https://www.suredividend.com/sure-analysis-research-database/","Rigel Pharmaceuticals")</f>
        <v>Rigel Pharmaceuticals</v>
      </c>
      <c r="C1329">
        <v>2.3076923076921999E-2</v>
      </c>
      <c r="D1329">
        <v>0.41459263986385803</v>
      </c>
      <c r="E1329">
        <v>1.5267175572519E-2</v>
      </c>
      <c r="F1329">
        <v>-8.2758620689655005E-2</v>
      </c>
      <c r="G1329">
        <v>-0.248587570621468</v>
      </c>
      <c r="H1329">
        <v>-0.42424242424242398</v>
      </c>
      <c r="I1329">
        <v>-0.395454545454545</v>
      </c>
    </row>
    <row r="1330" spans="1:9" x14ac:dyDescent="0.25">
      <c r="A1330" s="1" t="s">
        <v>1342</v>
      </c>
      <c r="B1330" t="str">
        <f>HYPERLINK("https://www.suredividend.com/sure-analysis-research-database/","B. Riley Financial Inc")</f>
        <v>B. Riley Financial Inc</v>
      </c>
      <c r="C1330">
        <v>7.2685185185185006E-2</v>
      </c>
      <c r="D1330">
        <v>-0.36117123202690898</v>
      </c>
      <c r="E1330">
        <v>-0.47354788283089</v>
      </c>
      <c r="F1330">
        <v>0.103858980466889</v>
      </c>
      <c r="G1330">
        <v>-0.28428232081573901</v>
      </c>
      <c r="H1330">
        <v>-0.63299351838358708</v>
      </c>
      <c r="I1330">
        <v>1.2671232876712319</v>
      </c>
    </row>
    <row r="1331" spans="1:9" x14ac:dyDescent="0.25">
      <c r="A1331" s="1" t="s">
        <v>1343</v>
      </c>
      <c r="B1331" t="str">
        <f>HYPERLINK("https://www.suredividend.com/sure-analysis-research-database/","Riot Platforms Inc")</f>
        <v>Riot Platforms Inc</v>
      </c>
      <c r="C1331">
        <v>-0.23031496062992099</v>
      </c>
      <c r="D1331">
        <v>0.28196721311475398</v>
      </c>
      <c r="E1331">
        <v>-0.42188270083785101</v>
      </c>
      <c r="F1331">
        <v>-0.24175824175824101</v>
      </c>
      <c r="G1331">
        <v>0.94850498338870404</v>
      </c>
      <c r="H1331">
        <v>-0.41786600496277898</v>
      </c>
      <c r="I1331">
        <v>6.2407407407407396</v>
      </c>
    </row>
    <row r="1332" spans="1:9" x14ac:dyDescent="0.25">
      <c r="A1332" s="1" t="s">
        <v>1344</v>
      </c>
      <c r="B1332" t="str">
        <f>HYPERLINK("https://www.suredividend.com/sure-analysis-research-database/","Rocket Lab USA Inc")</f>
        <v>Rocket Lab USA Inc</v>
      </c>
      <c r="C1332">
        <v>4.8681541582149997E-2</v>
      </c>
      <c r="D1332">
        <v>0.20512820512820501</v>
      </c>
      <c r="E1332">
        <v>-0.22138554216867401</v>
      </c>
      <c r="F1332">
        <v>-6.5099457504520009E-2</v>
      </c>
      <c r="G1332">
        <v>4.0241448692152001E-2</v>
      </c>
      <c r="H1332">
        <v>-0.51409774436090205</v>
      </c>
      <c r="I1332">
        <v>-0.50431447746883995</v>
      </c>
    </row>
    <row r="1333" spans="1:9" x14ac:dyDescent="0.25">
      <c r="A1333" s="1" t="s">
        <v>1345</v>
      </c>
      <c r="B1333" t="str">
        <f>HYPERLINK("https://www.suredividend.com/sure-analysis-research-database/","Relay Therapeutics Inc")</f>
        <v>Relay Therapeutics Inc</v>
      </c>
      <c r="C1333">
        <v>9.1269841269841001E-2</v>
      </c>
      <c r="D1333">
        <v>0.42118863049095601</v>
      </c>
      <c r="E1333">
        <v>-0.132492113564668</v>
      </c>
      <c r="F1333">
        <v>-9.0826521344200008E-4</v>
      </c>
      <c r="G1333">
        <v>-0.47038998555609002</v>
      </c>
      <c r="H1333">
        <v>-0.57298136645962705</v>
      </c>
      <c r="I1333">
        <v>-0.686162624821683</v>
      </c>
    </row>
    <row r="1334" spans="1:9" x14ac:dyDescent="0.25">
      <c r="A1334" s="1" t="s">
        <v>1346</v>
      </c>
      <c r="B1334" t="str">
        <f>HYPERLINK("https://www.suredividend.com/sure-analysis-research-database/","Radiant Logistics, Inc.")</f>
        <v>Radiant Logistics, Inc.</v>
      </c>
      <c r="C1334">
        <v>-2.9595015576322999E-2</v>
      </c>
      <c r="D1334">
        <v>7.0446735395188004E-2</v>
      </c>
      <c r="E1334">
        <v>-0.12988826815642401</v>
      </c>
      <c r="F1334">
        <v>-6.1746987951806998E-2</v>
      </c>
      <c r="G1334">
        <v>0.184410646387832</v>
      </c>
      <c r="H1334">
        <v>-9.4476744186046013E-2</v>
      </c>
      <c r="I1334">
        <v>0.31157894736842101</v>
      </c>
    </row>
    <row r="1335" spans="1:9" x14ac:dyDescent="0.25">
      <c r="A1335" s="1" t="s">
        <v>1347</v>
      </c>
      <c r="B1335" t="str">
        <f>HYPERLINK("https://www.suredividend.com/sure-analysis-RLI/","RLI Corp.")</f>
        <v>RLI Corp.</v>
      </c>
      <c r="C1335">
        <v>4.4905914986131001E-2</v>
      </c>
      <c r="D1335">
        <v>3.5113503782716E-2</v>
      </c>
      <c r="E1335">
        <v>4.8073156077778997E-2</v>
      </c>
      <c r="F1335">
        <v>4.7025240384615002E-2</v>
      </c>
      <c r="G1335">
        <v>6.3501575806580004E-3</v>
      </c>
      <c r="H1335">
        <v>0.28740498945635801</v>
      </c>
      <c r="I1335">
        <v>1.1972928746417451</v>
      </c>
    </row>
    <row r="1336" spans="1:9" x14ac:dyDescent="0.25">
      <c r="A1336" s="1" t="s">
        <v>1348</v>
      </c>
      <c r="B1336" t="str">
        <f>HYPERLINK("https://www.suredividend.com/sure-analysis-research-database/","RLJ Lodging Trust")</f>
        <v>RLJ Lodging Trust</v>
      </c>
      <c r="C1336">
        <v>2.9806432055064998E-2</v>
      </c>
      <c r="D1336">
        <v>0.21577667603498901</v>
      </c>
      <c r="E1336">
        <v>0.139199305630899</v>
      </c>
      <c r="F1336">
        <v>-1.4505119453923999E-2</v>
      </c>
      <c r="G1336">
        <v>6.1141990904497012E-2</v>
      </c>
      <c r="H1336">
        <v>-0.16942924328172501</v>
      </c>
      <c r="I1336">
        <v>-0.27325124113586702</v>
      </c>
    </row>
    <row r="1337" spans="1:9" x14ac:dyDescent="0.25">
      <c r="A1337" s="1" t="s">
        <v>1349</v>
      </c>
      <c r="B1337" t="str">
        <f>HYPERLINK("https://www.suredividend.com/sure-analysis-research-database/","Relmada Therapeutics Inc")</f>
        <v>Relmada Therapeutics Inc</v>
      </c>
      <c r="C1337">
        <v>0.25600000000000001</v>
      </c>
      <c r="D1337">
        <v>1.2903225806451001E-2</v>
      </c>
      <c r="E1337">
        <v>0.113475177304964</v>
      </c>
      <c r="F1337">
        <v>-0.241545893719806</v>
      </c>
      <c r="G1337">
        <v>-0.237864077669902</v>
      </c>
      <c r="H1337">
        <v>-0.83235451147891004</v>
      </c>
      <c r="I1337">
        <v>0.65263157894736801</v>
      </c>
    </row>
    <row r="1338" spans="1:9" x14ac:dyDescent="0.25">
      <c r="A1338" s="1" t="s">
        <v>1350</v>
      </c>
      <c r="B1338" t="str">
        <f>HYPERLINK("https://www.suredividend.com/sure-analysis-research-database/","Rallybio Corp")</f>
        <v>Rallybio Corp</v>
      </c>
      <c r="C1338">
        <v>-0.35690235690235611</v>
      </c>
      <c r="D1338">
        <v>-0.48097826086956502</v>
      </c>
      <c r="E1338">
        <v>-0.675721561969439</v>
      </c>
      <c r="F1338">
        <v>-0.20083682008368201</v>
      </c>
      <c r="G1338">
        <v>-0.69043760129659604</v>
      </c>
      <c r="H1338">
        <v>-0.78171428571428503</v>
      </c>
      <c r="I1338">
        <v>-0.86453900709219811</v>
      </c>
    </row>
    <row r="1339" spans="1:9" x14ac:dyDescent="0.25">
      <c r="A1339" s="1" t="s">
        <v>1351</v>
      </c>
      <c r="B1339" t="str">
        <f>HYPERLINK("https://www.suredividend.com/sure-analysis-research-database/","Regional Management Corp")</f>
        <v>Regional Management Corp</v>
      </c>
      <c r="C1339">
        <v>2.999178307313E-2</v>
      </c>
      <c r="D1339">
        <v>-8.0907761166600003E-4</v>
      </c>
      <c r="E1339">
        <v>-0.23548426445474499</v>
      </c>
      <c r="F1339">
        <v>-3.9872408293399999E-4</v>
      </c>
      <c r="G1339">
        <v>-0.18834479967624401</v>
      </c>
      <c r="H1339">
        <v>-0.51175526610993305</v>
      </c>
      <c r="I1339">
        <v>6.0477235906481012E-2</v>
      </c>
    </row>
    <row r="1340" spans="1:9" x14ac:dyDescent="0.25">
      <c r="A1340" s="1" t="s">
        <v>1352</v>
      </c>
      <c r="B1340" t="str">
        <f>HYPERLINK("https://www.suredividend.com/sure-analysis-research-database/","RE/MAX Holdings Inc")</f>
        <v>RE/MAX Holdings Inc</v>
      </c>
      <c r="C1340">
        <v>-0.115415657788539</v>
      </c>
      <c r="D1340">
        <v>-2.5777777777777001E-2</v>
      </c>
      <c r="E1340">
        <v>-0.45801066176106903</v>
      </c>
      <c r="F1340">
        <v>-0.17779444861215299</v>
      </c>
      <c r="G1340">
        <v>-0.46207532908621501</v>
      </c>
      <c r="H1340">
        <v>-0.62555005876404102</v>
      </c>
      <c r="I1340">
        <v>-0.64729696244163104</v>
      </c>
    </row>
    <row r="1341" spans="1:9" x14ac:dyDescent="0.25">
      <c r="A1341" s="1" t="s">
        <v>1353</v>
      </c>
      <c r="B1341" t="str">
        <f>HYPERLINK("https://www.suredividend.com/sure-analysis-research-database/","RumbleON Inc")</f>
        <v>RumbleON Inc</v>
      </c>
      <c r="C1341">
        <v>6.0317460317460013E-2</v>
      </c>
      <c r="D1341">
        <v>7.2231139646869003E-2</v>
      </c>
      <c r="E1341">
        <v>-0.33399800598205298</v>
      </c>
      <c r="F1341">
        <v>-0.17936117936117901</v>
      </c>
      <c r="G1341">
        <v>-0.31275720164609</v>
      </c>
      <c r="H1341">
        <v>-0.82462588605933307</v>
      </c>
      <c r="I1341">
        <v>-0.94241379310344808</v>
      </c>
    </row>
    <row r="1342" spans="1:9" x14ac:dyDescent="0.25">
      <c r="A1342" s="1" t="s">
        <v>1354</v>
      </c>
      <c r="B1342" t="str">
        <f>HYPERLINK("https://www.suredividend.com/sure-analysis-research-database/","Rambus Inc.")</f>
        <v>Rambus Inc.</v>
      </c>
      <c r="C1342">
        <v>-3.9737991266375013E-2</v>
      </c>
      <c r="D1342">
        <v>0.15271710641271999</v>
      </c>
      <c r="E1342">
        <v>1.6643550624132999E-2</v>
      </c>
      <c r="F1342">
        <v>-3.3406593406593001E-2</v>
      </c>
      <c r="G1342">
        <v>0.67777212614445503</v>
      </c>
      <c r="H1342">
        <v>1.3679109834888721</v>
      </c>
      <c r="I1342">
        <v>6.9481927710843374</v>
      </c>
    </row>
    <row r="1343" spans="1:9" x14ac:dyDescent="0.25">
      <c r="A1343" s="1" t="s">
        <v>1355</v>
      </c>
      <c r="B1343" t="str">
        <f>HYPERLINK("https://www.suredividend.com/sure-analysis-research-database/","Rimini Street Inc.")</f>
        <v>Rimini Street Inc.</v>
      </c>
      <c r="C1343">
        <v>-9.2024539877300013E-3</v>
      </c>
      <c r="D1343">
        <v>0.60696517412935302</v>
      </c>
      <c r="E1343">
        <v>-0.38476190476190397</v>
      </c>
      <c r="F1343">
        <v>-1.223241590214E-2</v>
      </c>
      <c r="G1343">
        <v>-0.24708624708624699</v>
      </c>
      <c r="H1343">
        <v>-0.37403100775193798</v>
      </c>
      <c r="I1343">
        <v>-0.42114695340501801</v>
      </c>
    </row>
    <row r="1344" spans="1:9" x14ac:dyDescent="0.25">
      <c r="A1344" s="1" t="s">
        <v>1356</v>
      </c>
      <c r="B1344" t="str">
        <f>HYPERLINK("https://www.suredividend.com/sure-analysis-research-database/","RMR Group Inc (The)")</f>
        <v>RMR Group Inc (The)</v>
      </c>
      <c r="C1344">
        <v>5.6667925953910007E-3</v>
      </c>
      <c r="D1344">
        <v>0.17359715021338101</v>
      </c>
      <c r="E1344">
        <v>0.16736465893393501</v>
      </c>
      <c r="F1344">
        <v>-5.7031526744597001E-2</v>
      </c>
      <c r="G1344">
        <v>8.79952099076E-3</v>
      </c>
      <c r="H1344">
        <v>-8.0416886889895012E-2</v>
      </c>
      <c r="I1344">
        <v>-0.28537488288684898</v>
      </c>
    </row>
    <row r="1345" spans="1:9" x14ac:dyDescent="0.25">
      <c r="A1345" s="1" t="s">
        <v>1357</v>
      </c>
      <c r="B1345" t="str">
        <f>HYPERLINK("https://www.suredividend.com/sure-analysis-research-database/","Avidity Biosciences Inc")</f>
        <v>Avidity Biosciences Inc</v>
      </c>
      <c r="C1345">
        <v>0.44955300127713899</v>
      </c>
      <c r="D1345">
        <v>0.83656957928802511</v>
      </c>
      <c r="E1345">
        <v>2.4368231046931001E-2</v>
      </c>
      <c r="F1345">
        <v>0.25414364640883902</v>
      </c>
      <c r="G1345">
        <v>-0.49889624724061798</v>
      </c>
      <c r="H1345">
        <v>-0.32959243945658601</v>
      </c>
      <c r="I1345">
        <v>-0.60175438596491204</v>
      </c>
    </row>
    <row r="1346" spans="1:9" x14ac:dyDescent="0.25">
      <c r="A1346" s="1" t="s">
        <v>1358</v>
      </c>
      <c r="B1346" t="str">
        <f>HYPERLINK("https://www.suredividend.com/sure-analysis-research-database/","Renasant Corp.")</f>
        <v>Renasant Corp.</v>
      </c>
      <c r="C1346">
        <v>-2.4821325390178998E-2</v>
      </c>
      <c r="D1346">
        <v>0.28315111991120401</v>
      </c>
      <c r="E1346">
        <v>0.13717026206081401</v>
      </c>
      <c r="F1346">
        <v>-6.2945368171021004E-2</v>
      </c>
      <c r="G1346">
        <v>-0.131583292058774</v>
      </c>
      <c r="H1346">
        <v>-0.15102638112889799</v>
      </c>
      <c r="I1346">
        <v>0.115020986136431</v>
      </c>
    </row>
    <row r="1347" spans="1:9" x14ac:dyDescent="0.25">
      <c r="A1347" s="1" t="s">
        <v>1359</v>
      </c>
      <c r="B1347" t="str">
        <f>HYPERLINK("https://www.suredividend.com/sure-analysis-research-database/","Construction Partners Inc")</f>
        <v>Construction Partners Inc</v>
      </c>
      <c r="C1347">
        <v>-4.2285714285714003E-2</v>
      </c>
      <c r="D1347">
        <v>7.4358974358974012E-2</v>
      </c>
      <c r="E1347">
        <v>0.45385149201943098</v>
      </c>
      <c r="F1347">
        <v>-3.7224264705882013E-2</v>
      </c>
      <c r="G1347">
        <v>0.51591895803183707</v>
      </c>
      <c r="H1347">
        <v>0.57400450788880508</v>
      </c>
      <c r="I1347">
        <v>2.8125568698817101</v>
      </c>
    </row>
    <row r="1348" spans="1:9" x14ac:dyDescent="0.25">
      <c r="A1348" s="1" t="s">
        <v>1360</v>
      </c>
      <c r="B1348" t="str">
        <f>HYPERLINK("https://www.suredividend.com/sure-analysis-research-database/","Ranger Oil Corp")</f>
        <v>Ranger Oil Corp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25">
      <c r="A1349" s="1" t="s">
        <v>1361</v>
      </c>
      <c r="B1349" t="str">
        <f>HYPERLINK("https://www.suredividend.com/sure-analysis-research-database/","Gibraltar Industries Inc.")</f>
        <v>Gibraltar Industries Inc.</v>
      </c>
      <c r="C1349">
        <v>8.9312662916723004E-2</v>
      </c>
      <c r="D1349">
        <v>0.264129915618532</v>
      </c>
      <c r="E1349">
        <v>0.277348777348777</v>
      </c>
      <c r="F1349">
        <v>5.3178019751830008E-3</v>
      </c>
      <c r="G1349">
        <v>0.542346542346542</v>
      </c>
      <c r="H1349">
        <v>0.26031746031746</v>
      </c>
      <c r="I1349">
        <v>1.1813186813186809</v>
      </c>
    </row>
    <row r="1350" spans="1:9" x14ac:dyDescent="0.25">
      <c r="A1350" s="1" t="s">
        <v>1362</v>
      </c>
      <c r="B1350" t="str">
        <f>HYPERLINK("https://www.suredividend.com/sure-analysis-research-database/","Rogers Corp.")</f>
        <v>Rogers Corp.</v>
      </c>
      <c r="C1350">
        <v>-0.101373903593883</v>
      </c>
      <c r="D1350">
        <v>-5.9239395416868998E-2</v>
      </c>
      <c r="E1350">
        <v>-0.31783630899770199</v>
      </c>
      <c r="F1350">
        <v>-0.123419398803664</v>
      </c>
      <c r="G1350">
        <v>-0.10953003615106501</v>
      </c>
      <c r="H1350">
        <v>-0.57627552887782707</v>
      </c>
      <c r="I1350">
        <v>2.4150743099787E-2</v>
      </c>
    </row>
    <row r="1351" spans="1:9" x14ac:dyDescent="0.25">
      <c r="A1351" s="1" t="s">
        <v>1363</v>
      </c>
      <c r="B1351" t="str">
        <f>HYPERLINK("https://www.suredividend.com/sure-analysis-research-database/","Retail Opportunity Investments Corp")</f>
        <v>Retail Opportunity Investments Corp</v>
      </c>
      <c r="C1351">
        <v>2.5159729993140999E-2</v>
      </c>
      <c r="D1351">
        <v>0.23454643459512001</v>
      </c>
      <c r="E1351">
        <v>6.8118907209050006E-2</v>
      </c>
      <c r="F1351">
        <v>1.2116892373485001E-2</v>
      </c>
      <c r="G1351">
        <v>-8.6152729100630009E-3</v>
      </c>
      <c r="H1351">
        <v>-0.191104427279148</v>
      </c>
      <c r="I1351">
        <v>3.7549046112479001E-2</v>
      </c>
    </row>
    <row r="1352" spans="1:9" x14ac:dyDescent="0.25">
      <c r="A1352" s="1" t="s">
        <v>1364</v>
      </c>
      <c r="B1352" t="str">
        <f>HYPERLINK("https://www.suredividend.com/sure-analysis-research-database/","Root Inc")</f>
        <v>Root Inc</v>
      </c>
      <c r="C1352">
        <v>-1.0121457489878E-2</v>
      </c>
      <c r="D1352">
        <v>1.5576323987538001E-2</v>
      </c>
      <c r="E1352">
        <v>-8.6834733893557003E-2</v>
      </c>
      <c r="F1352">
        <v>-6.6793893129771006E-2</v>
      </c>
      <c r="G1352">
        <v>0.84877126654064206</v>
      </c>
      <c r="H1352">
        <v>-0.79340937896070907</v>
      </c>
      <c r="I1352">
        <v>-0.97987654320987605</v>
      </c>
    </row>
    <row r="1353" spans="1:9" x14ac:dyDescent="0.25">
      <c r="A1353" s="1" t="s">
        <v>1365</v>
      </c>
      <c r="B1353" t="str">
        <f>HYPERLINK("https://www.suredividend.com/sure-analysis-research-database/","Rover Group Inc")</f>
        <v>Rover Group Inc</v>
      </c>
      <c r="C1353">
        <v>2.7548209366390001E-3</v>
      </c>
      <c r="D1353">
        <v>0.6671755725190841</v>
      </c>
      <c r="E1353">
        <v>1.1328125</v>
      </c>
      <c r="F1353">
        <v>3.676470588235E-3</v>
      </c>
      <c r="G1353">
        <v>1.904255319148936</v>
      </c>
      <c r="H1353">
        <v>0.52513966480446905</v>
      </c>
      <c r="I1353">
        <v>-7.2727272727270004E-3</v>
      </c>
    </row>
    <row r="1354" spans="1:9" x14ac:dyDescent="0.25">
      <c r="A1354" s="1" t="s">
        <v>1366</v>
      </c>
      <c r="B1354" t="str">
        <f>HYPERLINK("https://www.suredividend.com/sure-analysis-research-database/","Repay Holdings Corporation")</f>
        <v>Repay Holdings Corporation</v>
      </c>
      <c r="C1354">
        <v>-1.7565872020075E-2</v>
      </c>
      <c r="D1354">
        <v>0.258842443729903</v>
      </c>
      <c r="E1354">
        <v>-1.1363636363636E-2</v>
      </c>
      <c r="F1354">
        <v>-8.3138173302107002E-2</v>
      </c>
      <c r="G1354">
        <v>-0.12611607142857101</v>
      </c>
      <c r="H1354">
        <v>-0.554100227790432</v>
      </c>
      <c r="I1354">
        <v>-0.20988900100908101</v>
      </c>
    </row>
    <row r="1355" spans="1:9" x14ac:dyDescent="0.25">
      <c r="A1355" s="1" t="s">
        <v>1367</v>
      </c>
      <c r="B1355" t="str">
        <f>HYPERLINK("https://www.suredividend.com/sure-analysis-research-database/","Rapid7 Inc")</f>
        <v>Rapid7 Inc</v>
      </c>
      <c r="C1355">
        <v>-4.0773653946680012E-2</v>
      </c>
      <c r="D1355">
        <v>0.115953780660855</v>
      </c>
      <c r="E1355">
        <v>0.254843856849783</v>
      </c>
      <c r="F1355">
        <v>-3.5901926444832997E-2</v>
      </c>
      <c r="G1355">
        <v>0.62293632075471606</v>
      </c>
      <c r="H1355">
        <v>-0.43573185731857311</v>
      </c>
      <c r="I1355">
        <v>0.55114116652578105</v>
      </c>
    </row>
    <row r="1356" spans="1:9" x14ac:dyDescent="0.25">
      <c r="A1356" s="1" t="s">
        <v>1368</v>
      </c>
      <c r="B1356" t="str">
        <f>HYPERLINK("https://www.suredividend.com/sure-analysis-RPT/","RPT Realty")</f>
        <v>RPT Realty</v>
      </c>
      <c r="C1356">
        <v>7.3334783408904008E-2</v>
      </c>
      <c r="D1356">
        <v>0.228844809256084</v>
      </c>
      <c r="E1356">
        <v>0.25736238105038201</v>
      </c>
      <c r="F1356">
        <v>0</v>
      </c>
      <c r="G1356">
        <v>0.34658578055794598</v>
      </c>
      <c r="H1356">
        <v>6.2077300684596007E-2</v>
      </c>
      <c r="I1356">
        <v>0.36373299319727898</v>
      </c>
    </row>
    <row r="1357" spans="1:9" x14ac:dyDescent="0.25">
      <c r="A1357" s="1" t="s">
        <v>1369</v>
      </c>
      <c r="B1357" t="str">
        <f>HYPERLINK("https://www.suredividend.com/sure-analysis-research-database/","Red River Bancshares Inc")</f>
        <v>Red River Bancshares Inc</v>
      </c>
      <c r="C1357">
        <v>-1.0363636363636001E-2</v>
      </c>
      <c r="D1357">
        <v>0.172461479804496</v>
      </c>
      <c r="E1357">
        <v>0.12963512557151</v>
      </c>
      <c r="F1357">
        <v>-2.9941186954197001E-2</v>
      </c>
      <c r="G1357">
        <v>0.105539069624791</v>
      </c>
      <c r="H1357">
        <v>4.4242660276762998E-2</v>
      </c>
      <c r="I1357">
        <v>0.11325184894299301</v>
      </c>
    </row>
    <row r="1358" spans="1:9" x14ac:dyDescent="0.25">
      <c r="A1358" s="1" t="s">
        <v>1370</v>
      </c>
      <c r="B1358" t="str">
        <f>HYPERLINK("https://www.suredividend.com/sure-analysis-research-database/","Red Rock Resorts Inc")</f>
        <v>Red Rock Resorts Inc</v>
      </c>
      <c r="C1358">
        <v>4.7328565418594003E-2</v>
      </c>
      <c r="D1358">
        <v>0.23676359905907601</v>
      </c>
      <c r="E1358">
        <v>4.0054310930074E-2</v>
      </c>
      <c r="F1358">
        <v>-6.6379148696793011E-2</v>
      </c>
      <c r="G1358">
        <v>0.18172561845381199</v>
      </c>
      <c r="H1358">
        <v>8.4418695822624013E-2</v>
      </c>
      <c r="I1358">
        <v>1.4332553036559921</v>
      </c>
    </row>
    <row r="1359" spans="1:9" x14ac:dyDescent="0.25">
      <c r="A1359" s="1" t="s">
        <v>1371</v>
      </c>
      <c r="B1359" t="str">
        <f>HYPERLINK("https://www.suredividend.com/sure-analysis-research-database/","Rush Street Interactive Inc")</f>
        <v>Rush Street Interactive Inc</v>
      </c>
      <c r="C1359">
        <v>-0.12765957446808501</v>
      </c>
      <c r="D1359">
        <v>-2.3809523809523E-2</v>
      </c>
      <c r="E1359">
        <v>-3.1496062992125998E-2</v>
      </c>
      <c r="F1359">
        <v>-0.17817371937639201</v>
      </c>
      <c r="G1359">
        <v>-9.9999999999999006E-2</v>
      </c>
      <c r="H1359">
        <v>-0.70456365092073603</v>
      </c>
      <c r="I1359">
        <v>-0.6164241164241161</v>
      </c>
    </row>
    <row r="1360" spans="1:9" x14ac:dyDescent="0.25">
      <c r="A1360" s="1" t="s">
        <v>1372</v>
      </c>
      <c r="B1360" t="str">
        <f>HYPERLINK("https://www.suredividend.com/sure-analysis-research-database/","Reservoir Media Inc")</f>
        <v>Reservoir Media Inc</v>
      </c>
      <c r="C1360">
        <v>9.6723868954758013E-2</v>
      </c>
      <c r="D1360">
        <v>0.205831903945111</v>
      </c>
      <c r="E1360">
        <v>0.181512605042016</v>
      </c>
      <c r="F1360">
        <v>-1.4025245441795E-2</v>
      </c>
      <c r="G1360">
        <v>5.8734939759036008E-2</v>
      </c>
      <c r="H1360">
        <v>1.2968299711815E-2</v>
      </c>
      <c r="I1360">
        <v>-0.29840319361277401</v>
      </c>
    </row>
    <row r="1361" spans="1:9" x14ac:dyDescent="0.25">
      <c r="A1361" s="1" t="s">
        <v>1373</v>
      </c>
      <c r="B1361" t="str">
        <f>HYPERLINK("https://www.suredividend.com/sure-analysis-research-database/","Necessity Retail REIT Inc (The)")</f>
        <v>Necessity Retail REIT Inc (The)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25">
      <c r="A1362" s="1" t="s">
        <v>1374</v>
      </c>
      <c r="B1362" t="str">
        <f>HYPERLINK("https://www.suredividend.com/sure-analysis-research-database/","Rush Enterprises Inc")</f>
        <v>Rush Enterprises Inc</v>
      </c>
      <c r="C1362">
        <v>4.7050394076904013E-2</v>
      </c>
      <c r="D1362">
        <v>0.105699751066228</v>
      </c>
      <c r="E1362">
        <v>9.0205557462089012E-2</v>
      </c>
      <c r="F1362">
        <v>-0.12842942345924399</v>
      </c>
      <c r="G1362">
        <v>0.296504406458863</v>
      </c>
      <c r="H1362">
        <v>0.19865916411022</v>
      </c>
      <c r="I1362">
        <v>1.847603829715369</v>
      </c>
    </row>
    <row r="1363" spans="1:9" x14ac:dyDescent="0.25">
      <c r="A1363" s="1" t="s">
        <v>1375</v>
      </c>
      <c r="B1363" t="str">
        <f>HYPERLINK("https://www.suredividend.com/sure-analysis-research-database/","Rush Enterprises Inc")</f>
        <v>Rush Enterprises Inc</v>
      </c>
      <c r="C1363">
        <v>7.6536190684450009E-3</v>
      </c>
      <c r="D1363">
        <v>1.3299556681444001E-2</v>
      </c>
      <c r="E1363">
        <v>2.8360247449184001E-2</v>
      </c>
      <c r="F1363">
        <v>-0.13023782559456301</v>
      </c>
      <c r="G1363">
        <v>0.26743827839633799</v>
      </c>
      <c r="H1363">
        <v>0.312528839745013</v>
      </c>
      <c r="I1363">
        <v>3.3601267918815338</v>
      </c>
    </row>
    <row r="1364" spans="1:9" x14ac:dyDescent="0.25">
      <c r="A1364" s="1" t="s">
        <v>1376</v>
      </c>
      <c r="B1364" t="str">
        <f>HYPERLINK("https://www.suredividend.com/sure-analysis-research-database/","Revolve Group Inc")</f>
        <v>Revolve Group Inc</v>
      </c>
      <c r="C1364">
        <v>-0.11978221415607899</v>
      </c>
      <c r="D1364">
        <v>2.7567195037900001E-3</v>
      </c>
      <c r="E1364">
        <v>-0.21223605847319901</v>
      </c>
      <c r="F1364">
        <v>-0.12243667068757499</v>
      </c>
      <c r="G1364">
        <v>-0.39223057644110199</v>
      </c>
      <c r="H1364">
        <v>-0.71911196911196906</v>
      </c>
      <c r="I1364">
        <v>-0.57205882352941106</v>
      </c>
    </row>
    <row r="1365" spans="1:9" x14ac:dyDescent="0.25">
      <c r="A1365" s="1" t="s">
        <v>1377</v>
      </c>
      <c r="B1365" t="str">
        <f>HYPERLINK("https://www.suredividend.com/sure-analysis-research-database/","Revolution Medicines Inc")</f>
        <v>Revolution Medicines Inc</v>
      </c>
      <c r="C1365">
        <v>0.109381082133125</v>
      </c>
      <c r="D1365">
        <v>-4.7141424272818012E-2</v>
      </c>
      <c r="E1365">
        <v>7.4255559743686E-2</v>
      </c>
      <c r="F1365">
        <v>-6.2761506276150002E-3</v>
      </c>
      <c r="G1365">
        <v>-5.2841475573280013E-2</v>
      </c>
      <c r="H1365">
        <v>0.135458167330677</v>
      </c>
      <c r="I1365">
        <v>-1.3840830449826E-2</v>
      </c>
    </row>
    <row r="1366" spans="1:9" x14ac:dyDescent="0.25">
      <c r="A1366" s="1" t="s">
        <v>1378</v>
      </c>
      <c r="B1366" t="str">
        <f>HYPERLINK("https://www.suredividend.com/sure-analysis-research-database/","Revance Therapeutics Inc")</f>
        <v>Revance Therapeutics Inc</v>
      </c>
      <c r="C1366">
        <v>-0.249999999999999</v>
      </c>
      <c r="D1366">
        <v>-0.3125</v>
      </c>
      <c r="E1366">
        <v>-0.74429616874730908</v>
      </c>
      <c r="F1366">
        <v>-0.32423208191126202</v>
      </c>
      <c r="G1366">
        <v>-0.78724928366762104</v>
      </c>
      <c r="H1366">
        <v>-0.60531561461794003</v>
      </c>
      <c r="I1366">
        <v>-0.69969666329625801</v>
      </c>
    </row>
    <row r="1367" spans="1:9" x14ac:dyDescent="0.25">
      <c r="A1367" s="1" t="s">
        <v>1379</v>
      </c>
      <c r="B1367" t="str">
        <f>HYPERLINK("https://www.suredividend.com/sure-analysis-research-database/","Redwood Trust Inc.")</f>
        <v>Redwood Trust Inc.</v>
      </c>
      <c r="C1367">
        <v>-1.7236586043925001E-2</v>
      </c>
      <c r="D1367">
        <v>2.6035468609409002E-2</v>
      </c>
      <c r="E1367">
        <v>0.13188818801831501</v>
      </c>
      <c r="F1367">
        <v>-4.5883940620782E-2</v>
      </c>
      <c r="G1367">
        <v>3.0732446932586002E-2</v>
      </c>
      <c r="H1367">
        <v>-0.31499549466626597</v>
      </c>
      <c r="I1367">
        <v>-0.31070791369711998</v>
      </c>
    </row>
    <row r="1368" spans="1:9" x14ac:dyDescent="0.25">
      <c r="A1368" s="1" t="s">
        <v>1380</v>
      </c>
      <c r="B1368" t="str">
        <f>HYPERLINK("https://www.suredividend.com/sure-analysis-research-database/","Prometheus Biosciences Inc")</f>
        <v>Prometheus Biosciences Inc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25">
      <c r="A1369" s="1" t="s">
        <v>1381</v>
      </c>
      <c r="B1369" t="str">
        <f>HYPERLINK("https://www.suredividend.com/sure-analysis-research-database/","Recursion Pharmaceuticals Inc")</f>
        <v>Recursion Pharmaceuticals Inc</v>
      </c>
      <c r="C1369">
        <v>0.33973589435774298</v>
      </c>
      <c r="D1369">
        <v>0.74921630094043801</v>
      </c>
      <c r="E1369">
        <v>-0.102533172496984</v>
      </c>
      <c r="F1369">
        <v>0.13184584178498901</v>
      </c>
      <c r="G1369">
        <v>0.28275862068965502</v>
      </c>
      <c r="H1369">
        <v>-0.19712230215827301</v>
      </c>
      <c r="I1369">
        <v>-0.64345047923322607</v>
      </c>
    </row>
    <row r="1370" spans="1:9" x14ac:dyDescent="0.25">
      <c r="A1370" s="1" t="s">
        <v>1382</v>
      </c>
      <c r="B1370" t="str">
        <f>HYPERLINK("https://www.suredividend.com/sure-analysis-research-database/","RxSight Inc")</f>
        <v>RxSight Inc</v>
      </c>
      <c r="C1370">
        <v>0.16566113624937101</v>
      </c>
      <c r="D1370">
        <v>0.91532424617926411</v>
      </c>
      <c r="E1370">
        <v>0.49773901808785498</v>
      </c>
      <c r="F1370">
        <v>0.150049603174603</v>
      </c>
      <c r="G1370">
        <v>2.5451070336391441</v>
      </c>
      <c r="H1370">
        <v>3.2078039927404718</v>
      </c>
      <c r="I1370">
        <v>1.8981250000000001</v>
      </c>
    </row>
    <row r="1371" spans="1:9" x14ac:dyDescent="0.25">
      <c r="A1371" s="1" t="s">
        <v>1383</v>
      </c>
      <c r="B1371" t="str">
        <f>HYPERLINK("https://www.suredividend.com/sure-analysis-research-database/","Rackspace Technology Inc")</f>
        <v>Rackspace Technology Inc</v>
      </c>
      <c r="C1371">
        <v>2.9411764705881999E-2</v>
      </c>
      <c r="D1371">
        <v>0.30111524163568698</v>
      </c>
      <c r="E1371">
        <v>-0.34456928838951301</v>
      </c>
      <c r="F1371">
        <v>-0.125</v>
      </c>
      <c r="G1371">
        <v>-0.379432624113475</v>
      </c>
      <c r="H1371">
        <v>-0.86455108359133104</v>
      </c>
      <c r="I1371">
        <v>-0.8932275777913361</v>
      </c>
    </row>
    <row r="1372" spans="1:9" x14ac:dyDescent="0.25">
      <c r="A1372" s="1" t="s">
        <v>1384</v>
      </c>
      <c r="B1372" t="str">
        <f>HYPERLINK("https://www.suredividend.com/sure-analysis-research-database/","Rayonier Advanced Materials Inc")</f>
        <v>Rayonier Advanced Materials Inc</v>
      </c>
      <c r="C1372">
        <v>0.16430594900849799</v>
      </c>
      <c r="D1372">
        <v>0.46263345195729499</v>
      </c>
      <c r="E1372">
        <v>-0.10457516339869199</v>
      </c>
      <c r="F1372">
        <v>1.4814814814814E-2</v>
      </c>
      <c r="G1372">
        <v>-0.38748137108792802</v>
      </c>
      <c r="H1372">
        <v>-0.37915407854984801</v>
      </c>
      <c r="I1372">
        <v>-0.68461520753240102</v>
      </c>
    </row>
    <row r="1373" spans="1:9" x14ac:dyDescent="0.25">
      <c r="A1373" s="1" t="s">
        <v>1385</v>
      </c>
      <c r="B1373" t="str">
        <f>HYPERLINK("https://www.suredividend.com/sure-analysis-research-database/","Ryerson Holding Corp.")</f>
        <v>Ryerson Holding Corp.</v>
      </c>
      <c r="C1373">
        <v>5.1650866296174998E-2</v>
      </c>
      <c r="D1373">
        <v>0.166975006348169</v>
      </c>
      <c r="E1373">
        <v>-0.23024281926857501</v>
      </c>
      <c r="F1373">
        <v>-7.2376009227220012E-2</v>
      </c>
      <c r="G1373">
        <v>-7.2305218751830009E-3</v>
      </c>
      <c r="H1373">
        <v>0.33670174972056799</v>
      </c>
      <c r="I1373">
        <v>3.8650283553875249</v>
      </c>
    </row>
    <row r="1374" spans="1:9" x14ac:dyDescent="0.25">
      <c r="A1374" s="1" t="s">
        <v>1386</v>
      </c>
      <c r="B1374" t="str">
        <f>HYPERLINK("https://www.suredividend.com/sure-analysis-research-database/","Sabre Corp")</f>
        <v>Sabre Corp</v>
      </c>
      <c r="C1374">
        <v>-1.8561484918793E-2</v>
      </c>
      <c r="D1374">
        <v>0.143243243243243</v>
      </c>
      <c r="E1374">
        <v>9.0206185567010003E-2</v>
      </c>
      <c r="F1374">
        <v>-3.8636363636362997E-2</v>
      </c>
      <c r="G1374">
        <v>-0.37702503681885102</v>
      </c>
      <c r="H1374">
        <v>-0.55567226890756205</v>
      </c>
      <c r="I1374">
        <v>-0.80303502996381904</v>
      </c>
    </row>
    <row r="1375" spans="1:9" x14ac:dyDescent="0.25">
      <c r="A1375" s="1" t="s">
        <v>1387</v>
      </c>
      <c r="B1375" t="str">
        <f>HYPERLINK("https://www.suredividend.com/sure-analysis-SAFE/","Safehold Inc.")</f>
        <v>Safehold Inc.</v>
      </c>
      <c r="C1375">
        <v>2.2226161419199998E-3</v>
      </c>
      <c r="D1375">
        <v>0.35318412509435398</v>
      </c>
      <c r="E1375">
        <v>-0.12698161316377099</v>
      </c>
      <c r="F1375">
        <v>-5.7692307692307002E-2</v>
      </c>
      <c r="G1375">
        <v>1.5609756097560969</v>
      </c>
      <c r="H1375">
        <v>0.141038577970969</v>
      </c>
      <c r="I1375">
        <v>2.3532551667503081</v>
      </c>
    </row>
    <row r="1376" spans="1:9" x14ac:dyDescent="0.25">
      <c r="A1376" s="1" t="s">
        <v>1388</v>
      </c>
      <c r="B1376" t="str">
        <f>HYPERLINK("https://www.suredividend.com/sure-analysis-SAFT/","Safety Insurance Group, Inc.")</f>
        <v>Safety Insurance Group, Inc.</v>
      </c>
      <c r="C1376">
        <v>-4.3883984867591007E-2</v>
      </c>
      <c r="D1376">
        <v>0.105046456549462</v>
      </c>
      <c r="E1376">
        <v>0.160855499365372</v>
      </c>
      <c r="F1376">
        <v>-2.2371364653240001E-3</v>
      </c>
      <c r="G1376">
        <v>-3.7128096759609E-2</v>
      </c>
      <c r="H1376">
        <v>3.1006339424366001E-2</v>
      </c>
      <c r="I1376">
        <v>0.21670392307581199</v>
      </c>
    </row>
    <row r="1377" spans="1:9" x14ac:dyDescent="0.25">
      <c r="A1377" s="1" t="s">
        <v>1389</v>
      </c>
      <c r="B1377" t="str">
        <f>HYPERLINK("https://www.suredividend.com/sure-analysis-research-database/","Sage Therapeutics Inc")</f>
        <v>Sage Therapeutics Inc</v>
      </c>
      <c r="C1377">
        <v>0.243559718969555</v>
      </c>
      <c r="D1377">
        <v>0.35597548518896799</v>
      </c>
      <c r="E1377">
        <v>-0.44210968690901398</v>
      </c>
      <c r="F1377">
        <v>0.22519612367328001</v>
      </c>
      <c r="G1377">
        <v>-0.41750767880649398</v>
      </c>
      <c r="H1377">
        <v>-0.37396840367837703</v>
      </c>
      <c r="I1377">
        <v>-0.78776978417266108</v>
      </c>
    </row>
    <row r="1378" spans="1:9" x14ac:dyDescent="0.25">
      <c r="A1378" s="1" t="s">
        <v>1390</v>
      </c>
      <c r="B1378" t="str">
        <f>HYPERLINK("https://www.suredividend.com/sure-analysis-research-database/","Sonic Automotive, Inc.")</f>
        <v>Sonic Automotive, Inc.</v>
      </c>
      <c r="C1378">
        <v>-4.4691683952479001E-2</v>
      </c>
      <c r="D1378">
        <v>0.21765381712599</v>
      </c>
      <c r="E1378">
        <v>-8.4281648679010012E-3</v>
      </c>
      <c r="F1378">
        <v>-9.8736879558797008E-2</v>
      </c>
      <c r="G1378">
        <v>5.0847668574344002E-2</v>
      </c>
      <c r="H1378">
        <v>8.9200020640189004E-2</v>
      </c>
      <c r="I1378">
        <v>2.5055912311780331</v>
      </c>
    </row>
    <row r="1379" spans="1:9" x14ac:dyDescent="0.25">
      <c r="A1379" s="1" t="s">
        <v>1391</v>
      </c>
      <c r="B1379" t="str">
        <f>HYPERLINK("https://www.suredividend.com/sure-analysis-research-database/","Saia Inc.")</f>
        <v>Saia Inc.</v>
      </c>
      <c r="C1379">
        <v>0.103014193289533</v>
      </c>
      <c r="D1379">
        <v>0.124760273096887</v>
      </c>
      <c r="E1379">
        <v>0.21133509583608701</v>
      </c>
      <c r="F1379">
        <v>3.7424124868779998E-3</v>
      </c>
      <c r="G1379">
        <v>0.81692758891321404</v>
      </c>
      <c r="H1379">
        <v>0.62489841152567405</v>
      </c>
      <c r="I1379">
        <v>6.7741251325556737</v>
      </c>
    </row>
    <row r="1380" spans="1:9" x14ac:dyDescent="0.25">
      <c r="A1380" s="1" t="s">
        <v>1392</v>
      </c>
      <c r="B1380" t="str">
        <f>HYPERLINK("https://www.suredividend.com/sure-analysis-research-database/","Silvercrest Asset Management Group Inc")</f>
        <v>Silvercrest Asset Management Group Inc</v>
      </c>
      <c r="C1380">
        <v>6.544996853366801E-2</v>
      </c>
      <c r="D1380">
        <v>6.9339700104849009E-2</v>
      </c>
      <c r="E1380">
        <v>-0.14151120396334799</v>
      </c>
      <c r="F1380">
        <v>-4.1176470588230006E-3</v>
      </c>
      <c r="G1380">
        <v>-2.6737414559272001E-2</v>
      </c>
      <c r="H1380">
        <v>0.121028724291825</v>
      </c>
      <c r="I1380">
        <v>0.65161063742610104</v>
      </c>
    </row>
    <row r="1381" spans="1:9" x14ac:dyDescent="0.25">
      <c r="A1381" s="1" t="s">
        <v>1393</v>
      </c>
      <c r="B1381" t="str">
        <f>HYPERLINK("https://www.suredividend.com/sure-analysis-research-database/","Sana Biotechnology Inc")</f>
        <v>Sana Biotechnology Inc</v>
      </c>
      <c r="C1381">
        <v>0.7472375690607731</v>
      </c>
      <c r="D1381">
        <v>0.8880597014925371</v>
      </c>
      <c r="E1381">
        <v>6.6610455311973002E-2</v>
      </c>
      <c r="F1381">
        <v>0.55024509803921506</v>
      </c>
      <c r="G1381">
        <v>0.33720930232558111</v>
      </c>
      <c r="H1381">
        <v>-0.45095486111111099</v>
      </c>
      <c r="I1381">
        <v>-0.81980056980056903</v>
      </c>
    </row>
    <row r="1382" spans="1:9" x14ac:dyDescent="0.25">
      <c r="A1382" s="1" t="s">
        <v>1394</v>
      </c>
      <c r="B1382" t="str">
        <f>HYPERLINK("https://www.suredividend.com/sure-analysis-research-database/","Sanmina Corp")</f>
        <v>Sanmina Corp</v>
      </c>
      <c r="C1382">
        <v>-1.1851564017873999E-2</v>
      </c>
      <c r="D1382">
        <v>-3.6924824843779E-2</v>
      </c>
      <c r="E1382">
        <v>-0.20975761342448701</v>
      </c>
      <c r="F1382">
        <v>-9.9279735254030003E-3</v>
      </c>
      <c r="G1382">
        <v>-0.165545529122231</v>
      </c>
      <c r="H1382">
        <v>0.268645547518084</v>
      </c>
      <c r="I1382">
        <v>0.98516783762685411</v>
      </c>
    </row>
    <row r="1383" spans="1:9" x14ac:dyDescent="0.25">
      <c r="A1383" s="1" t="s">
        <v>1395</v>
      </c>
      <c r="B1383" t="str">
        <f>HYPERLINK("https://www.suredividend.com/sure-analysis-research-database/","Sandy Spring Bancorp")</f>
        <v>Sandy Spring Bancorp</v>
      </c>
      <c r="C1383">
        <v>6.6536203522500007E-3</v>
      </c>
      <c r="D1383">
        <v>0.29848493262720999</v>
      </c>
      <c r="E1383">
        <v>0.16362188622564799</v>
      </c>
      <c r="F1383">
        <v>-5.5800293685756001E-2</v>
      </c>
      <c r="G1383">
        <v>-0.201234794112988</v>
      </c>
      <c r="H1383">
        <v>-0.42656357296376501</v>
      </c>
      <c r="I1383">
        <v>-8.874656555030001E-3</v>
      </c>
    </row>
    <row r="1384" spans="1:9" x14ac:dyDescent="0.25">
      <c r="A1384" s="1" t="s">
        <v>1396</v>
      </c>
      <c r="B1384" t="str">
        <f>HYPERLINK("https://www.suredividend.com/sure-analysis-research-database/","EchoStar Corp")</f>
        <v>EchoStar Corp</v>
      </c>
      <c r="C1384">
        <v>0.26059654631083201</v>
      </c>
      <c r="D1384">
        <v>0.106822880771881</v>
      </c>
      <c r="E1384">
        <v>-0.16571428571428501</v>
      </c>
      <c r="F1384">
        <v>-3.0778515389257001E-2</v>
      </c>
      <c r="G1384">
        <v>-0.11123408965135501</v>
      </c>
      <c r="H1384">
        <v>-0.35527900441589699</v>
      </c>
      <c r="I1384">
        <v>-0.58650875386199808</v>
      </c>
    </row>
    <row r="1385" spans="1:9" x14ac:dyDescent="0.25">
      <c r="A1385" s="1" t="s">
        <v>1397</v>
      </c>
      <c r="B1385" t="str">
        <f>HYPERLINK("https://www.suredividend.com/sure-analysis-research-database/","Cassava Sciences Inc")</f>
        <v>Cassava Sciences Inc</v>
      </c>
      <c r="C1385">
        <v>-9.641873278236901E-2</v>
      </c>
      <c r="D1385">
        <v>0.76581426648721407</v>
      </c>
      <c r="E1385">
        <v>0.19708029197080201</v>
      </c>
      <c r="F1385">
        <v>0.16570413149711199</v>
      </c>
      <c r="G1385">
        <v>-0.22823529411764701</v>
      </c>
      <c r="H1385">
        <v>-0.42569490041584501</v>
      </c>
      <c r="I1385">
        <v>23.073394495412838</v>
      </c>
    </row>
    <row r="1386" spans="1:9" x14ac:dyDescent="0.25">
      <c r="A1386" s="1" t="s">
        <v>1398</v>
      </c>
      <c r="B1386" t="str">
        <f>HYPERLINK("https://www.suredividend.com/sure-analysis-research-database/","Spirit Airlines Inc")</f>
        <v>Spirit Airlines Inc</v>
      </c>
      <c r="C1386">
        <v>3.5319828760728013E-2</v>
      </c>
      <c r="D1386">
        <v>-4.1073075740494E-2</v>
      </c>
      <c r="E1386">
        <v>-0.174929315086613</v>
      </c>
      <c r="F1386">
        <v>-8.6638194020744005E-2</v>
      </c>
      <c r="G1386">
        <v>-0.22116435149055699</v>
      </c>
      <c r="H1386">
        <v>-0.323350072546635</v>
      </c>
      <c r="I1386">
        <v>-0.73231193438155406</v>
      </c>
    </row>
    <row r="1387" spans="1:9" x14ac:dyDescent="0.25">
      <c r="A1387" s="1" t="s">
        <v>1399</v>
      </c>
      <c r="B1387" t="str">
        <f>HYPERLINK("https://www.suredividend.com/sure-analysis-research-database/","Safe Bulkers, Inc")</f>
        <v>Safe Bulkers, Inc</v>
      </c>
      <c r="C1387">
        <v>1.8421052631579001E-2</v>
      </c>
      <c r="D1387">
        <v>0.18569809124053999</v>
      </c>
      <c r="E1387">
        <v>0.186025130248237</v>
      </c>
      <c r="F1387">
        <v>-1.5267175572519E-2</v>
      </c>
      <c r="G1387">
        <v>0.35632425612448698</v>
      </c>
      <c r="H1387">
        <v>0.198624833524328</v>
      </c>
      <c r="I1387">
        <v>1.1362331640538741</v>
      </c>
    </row>
    <row r="1388" spans="1:9" x14ac:dyDescent="0.25">
      <c r="A1388" s="1" t="s">
        <v>1400</v>
      </c>
      <c r="B1388" t="str">
        <f>HYPERLINK("https://www.suredividend.com/sure-analysis-research-database/","Seacoast Banking Corp. Of Florida")</f>
        <v>Seacoast Banking Corp. Of Florida</v>
      </c>
      <c r="C1388">
        <v>-3.5665474424961E-2</v>
      </c>
      <c r="D1388">
        <v>0.301498219208995</v>
      </c>
      <c r="E1388">
        <v>0.13785989697928799</v>
      </c>
      <c r="F1388">
        <v>-6.7814476458186002E-2</v>
      </c>
      <c r="G1388">
        <v>-0.14686852835625</v>
      </c>
      <c r="H1388">
        <v>-0.25484644724942002</v>
      </c>
      <c r="I1388">
        <v>5.8963469153148013E-2</v>
      </c>
    </row>
    <row r="1389" spans="1:9" x14ac:dyDescent="0.25">
      <c r="A1389" s="1" t="s">
        <v>1401</v>
      </c>
      <c r="B1389" t="str">
        <f>HYPERLINK("https://www.suredividend.com/sure-analysis-research-database/","Sinclair Inc")</f>
        <v>Sinclair Inc</v>
      </c>
      <c r="C1389">
        <v>0.105955143078112</v>
      </c>
      <c r="D1389">
        <v>0.52676645811535106</v>
      </c>
      <c r="E1389">
        <v>9.9247438292246012E-2</v>
      </c>
      <c r="F1389">
        <v>9.7467382962394003E-2</v>
      </c>
      <c r="G1389">
        <v>2.2809364070066E-2</v>
      </c>
      <c r="H1389">
        <v>2.2809364070066E-2</v>
      </c>
      <c r="I1389">
        <v>2.2809364070066E-2</v>
      </c>
    </row>
    <row r="1390" spans="1:9" x14ac:dyDescent="0.25">
      <c r="A1390" s="1" t="s">
        <v>1402</v>
      </c>
      <c r="B1390" t="str">
        <f>HYPERLINK("https://www.suredividend.com/sure-analysis-research-database/","Sally Beauty Holdings Inc")</f>
        <v>Sally Beauty Holdings Inc</v>
      </c>
      <c r="C1390">
        <v>-3.1941031941031997E-2</v>
      </c>
      <c r="D1390">
        <v>0.62809917355371903</v>
      </c>
      <c r="E1390">
        <v>8.4674005080400002E-4</v>
      </c>
      <c r="F1390">
        <v>-0.109939759036144</v>
      </c>
      <c r="G1390">
        <v>-0.19755600814663901</v>
      </c>
      <c r="H1390">
        <v>-0.350906095551894</v>
      </c>
      <c r="I1390">
        <v>-0.36073553272038911</v>
      </c>
    </row>
    <row r="1391" spans="1:9" x14ac:dyDescent="0.25">
      <c r="A1391" s="1" t="s">
        <v>1403</v>
      </c>
      <c r="B1391" t="str">
        <f>HYPERLINK("https://www.suredividend.com/sure-analysis-research-database/","SilverBow Resources Inc")</f>
        <v>SilverBow Resources Inc</v>
      </c>
      <c r="C1391">
        <v>-2.2743425728500001E-2</v>
      </c>
      <c r="D1391">
        <v>-0.205202312138728</v>
      </c>
      <c r="E1391">
        <v>-0.114046391752577</v>
      </c>
      <c r="F1391">
        <v>-5.4332874828060013E-2</v>
      </c>
      <c r="G1391">
        <v>4.749725977347E-3</v>
      </c>
      <c r="H1391">
        <v>0.14966555183946401</v>
      </c>
      <c r="I1391">
        <v>0.100440176070428</v>
      </c>
    </row>
    <row r="1392" spans="1:9" x14ac:dyDescent="0.25">
      <c r="A1392" s="1" t="s">
        <v>1404</v>
      </c>
      <c r="B1392" t="str">
        <f>HYPERLINK("https://www.suredividend.com/sure-analysis-SBRA/","Sabra Healthcare REIT Inc")</f>
        <v>Sabra Healthcare REIT Inc</v>
      </c>
      <c r="C1392">
        <v>-9.0340514246000005E-3</v>
      </c>
      <c r="D1392">
        <v>4.4994870291660001E-2</v>
      </c>
      <c r="E1392">
        <v>0.21902221766299901</v>
      </c>
      <c r="F1392">
        <v>-7.0077084793200009E-4</v>
      </c>
      <c r="G1392">
        <v>0.220650043227789</v>
      </c>
      <c r="H1392">
        <v>0.23496349669608199</v>
      </c>
      <c r="I1392">
        <v>0.22670887600433501</v>
      </c>
    </row>
    <row r="1393" spans="1:9" x14ac:dyDescent="0.25">
      <c r="A1393" s="1" t="s">
        <v>1405</v>
      </c>
      <c r="B1393" t="str">
        <f>HYPERLINK("https://www.suredividend.com/sure-analysis-SBSI/","Southside Bancshares Inc")</f>
        <v>Southside Bancshares Inc</v>
      </c>
      <c r="C1393">
        <v>-4.8494453248811013E-2</v>
      </c>
      <c r="D1393">
        <v>8.7196647870695004E-2</v>
      </c>
      <c r="E1393">
        <v>0.14818115407122301</v>
      </c>
      <c r="F1393">
        <v>-4.1507024265645003E-2</v>
      </c>
      <c r="G1393">
        <v>-0.13797806754323699</v>
      </c>
      <c r="H1393">
        <v>-0.27063162523779699</v>
      </c>
      <c r="I1393">
        <v>5.3377686078010002E-2</v>
      </c>
    </row>
    <row r="1394" spans="1:9" x14ac:dyDescent="0.25">
      <c r="A1394" s="1" t="s">
        <v>1406</v>
      </c>
      <c r="B1394" t="str">
        <f>HYPERLINK("https://www.suredividend.com/sure-analysis-research-database/","Sterling Bancorp Inc")</f>
        <v>Sterling Bancorp Inc</v>
      </c>
      <c r="C1394">
        <v>-0.102866779089375</v>
      </c>
      <c r="D1394">
        <v>-7.7989601386481006E-2</v>
      </c>
      <c r="E1394">
        <v>-5.8407079646016997E-2</v>
      </c>
      <c r="F1394">
        <v>-7.7989601386481006E-2</v>
      </c>
      <c r="G1394">
        <v>-0.13355048859934801</v>
      </c>
      <c r="H1394">
        <v>-8.2758620689655005E-2</v>
      </c>
      <c r="I1394">
        <v>-0.34848633290878811</v>
      </c>
    </row>
    <row r="1395" spans="1:9" x14ac:dyDescent="0.25">
      <c r="A1395" s="1" t="s">
        <v>1407</v>
      </c>
      <c r="B1395" t="str">
        <f>HYPERLINK("https://www.suredividend.com/sure-analysis-SCHL/","Scholastic Corp.")</f>
        <v>Scholastic Corp.</v>
      </c>
      <c r="C1395">
        <v>-5.7456907319510003E-2</v>
      </c>
      <c r="D1395">
        <v>2.719773488334E-2</v>
      </c>
      <c r="E1395">
        <v>-2.8766329879657E-2</v>
      </c>
      <c r="F1395">
        <v>7.9575596816900004E-4</v>
      </c>
      <c r="G1395">
        <v>-9.1338210998347005E-2</v>
      </c>
      <c r="H1395">
        <v>-8.0776211764992001E-2</v>
      </c>
      <c r="I1395">
        <v>1.5210670340403E-2</v>
      </c>
    </row>
    <row r="1396" spans="1:9" x14ac:dyDescent="0.25">
      <c r="A1396" s="1" t="s">
        <v>1408</v>
      </c>
      <c r="B1396" t="str">
        <f>HYPERLINK("https://www.suredividend.com/sure-analysis-SCL/","Stepan Co.")</f>
        <v>Stepan Co.</v>
      </c>
      <c r="C1396">
        <v>-8.5139318885440012E-3</v>
      </c>
      <c r="D1396">
        <v>0.41502511444707901</v>
      </c>
      <c r="E1396">
        <v>-3.1707346044491012E-2</v>
      </c>
      <c r="F1396">
        <v>-5.1612903225806007E-2</v>
      </c>
      <c r="G1396">
        <v>-0.19650753627006301</v>
      </c>
      <c r="H1396">
        <v>-0.24220016327303201</v>
      </c>
      <c r="I1396">
        <v>0.219518829305444</v>
      </c>
    </row>
    <row r="1397" spans="1:9" x14ac:dyDescent="0.25">
      <c r="A1397" s="1" t="s">
        <v>1409</v>
      </c>
      <c r="B1397" t="str">
        <f>HYPERLINK("https://www.suredividend.com/sure-analysis-research-database/","Steelcase, Inc.")</f>
        <v>Steelcase, Inc.</v>
      </c>
      <c r="C1397">
        <v>1.4770459081835999E-2</v>
      </c>
      <c r="D1397">
        <v>0.11553854795674701</v>
      </c>
      <c r="E1397">
        <v>0.65667361835245008</v>
      </c>
      <c r="F1397">
        <v>-5.2779061274984003E-2</v>
      </c>
      <c r="G1397">
        <v>0.71541171230750511</v>
      </c>
      <c r="H1397">
        <v>9.8321840272376004E-2</v>
      </c>
      <c r="I1397">
        <v>-4.9797773641045998E-2</v>
      </c>
    </row>
    <row r="1398" spans="1:9" x14ac:dyDescent="0.25">
      <c r="A1398" s="1" t="s">
        <v>1410</v>
      </c>
      <c r="B1398" t="str">
        <f>HYPERLINK("https://www.suredividend.com/sure-analysis-research-database/","Scansource, Inc.")</f>
        <v>Scansource, Inc.</v>
      </c>
      <c r="C1398">
        <v>-2.0865936358890002E-3</v>
      </c>
      <c r="D1398">
        <v>0.19152911865462399</v>
      </c>
      <c r="E1398">
        <v>0.29256756756756702</v>
      </c>
      <c r="F1398">
        <v>-3.4082302448876001E-2</v>
      </c>
      <c r="G1398">
        <v>0.18195860364534999</v>
      </c>
      <c r="H1398">
        <v>0.10482240831648799</v>
      </c>
      <c r="I1398">
        <v>5.1965905966455013E-2</v>
      </c>
    </row>
    <row r="1399" spans="1:9" x14ac:dyDescent="0.25">
      <c r="A1399" s="1" t="s">
        <v>1411</v>
      </c>
      <c r="B1399" t="str">
        <f>HYPERLINK("https://www.suredividend.com/sure-analysis-research-database/","Sculptor Capital Management Inc")</f>
        <v>Sculptor Capital Management Inc</v>
      </c>
      <c r="C1399">
        <v>3.6674816625916012E-2</v>
      </c>
      <c r="D1399">
        <v>0.15321849501359899</v>
      </c>
      <c r="E1399">
        <v>0.54933008526187499</v>
      </c>
      <c r="F1399">
        <v>0.51369104994466408</v>
      </c>
      <c r="G1399">
        <v>0.52428429340075899</v>
      </c>
      <c r="H1399">
        <v>-0.33848538115099303</v>
      </c>
      <c r="I1399">
        <v>-0.234422115089467</v>
      </c>
    </row>
    <row r="1400" spans="1:9" x14ac:dyDescent="0.25">
      <c r="A1400" s="1" t="s">
        <v>1412</v>
      </c>
      <c r="B1400" t="str">
        <f>HYPERLINK("https://www.suredividend.com/sure-analysis-research-database/","Shoe Carnival, Inc.")</f>
        <v>Shoe Carnival, Inc.</v>
      </c>
      <c r="C1400">
        <v>-6.9136823223582E-2</v>
      </c>
      <c r="D1400">
        <v>0.13221858594122801</v>
      </c>
      <c r="E1400">
        <v>0.164753174905859</v>
      </c>
      <c r="F1400">
        <v>-0.11289030155719899</v>
      </c>
      <c r="G1400">
        <v>6.5245804366826005E-2</v>
      </c>
      <c r="H1400">
        <v>-0.261593701452634</v>
      </c>
      <c r="I1400">
        <v>0.514918267394192</v>
      </c>
    </row>
    <row r="1401" spans="1:9" x14ac:dyDescent="0.25">
      <c r="A1401" s="1" t="s">
        <v>1413</v>
      </c>
      <c r="B1401" t="str">
        <f>HYPERLINK("https://www.suredividend.com/sure-analysis-research-database/","SecureWorks Corp")</f>
        <v>SecureWorks Corp</v>
      </c>
      <c r="C1401">
        <v>0.175697865353037</v>
      </c>
      <c r="D1401">
        <v>0.245217391304347</v>
      </c>
      <c r="E1401">
        <v>-3.7634408602149998E-2</v>
      </c>
      <c r="F1401">
        <v>-2.9810298102979998E-2</v>
      </c>
      <c r="G1401">
        <v>5.6179775280890002E-3</v>
      </c>
      <c r="H1401">
        <v>-0.54539682539682499</v>
      </c>
      <c r="I1401">
        <v>-0.57683215130023602</v>
      </c>
    </row>
    <row r="1402" spans="1:9" x14ac:dyDescent="0.25">
      <c r="A1402" s="1" t="s">
        <v>1414</v>
      </c>
      <c r="B1402" t="str">
        <f>HYPERLINK("https://www.suredividend.com/sure-analysis-research-database/","Sandridge Energy Inc")</f>
        <v>Sandridge Energy Inc</v>
      </c>
      <c r="C1402">
        <v>7.3206442166900011E-4</v>
      </c>
      <c r="D1402">
        <v>-0.15334543134789599</v>
      </c>
      <c r="E1402">
        <v>-0.13437731523989799</v>
      </c>
      <c r="F1402">
        <v>0</v>
      </c>
      <c r="G1402">
        <v>-9.3110425581318004E-2</v>
      </c>
      <c r="H1402">
        <v>0.39222715606795111</v>
      </c>
      <c r="I1402">
        <v>0.78071306681256203</v>
      </c>
    </row>
    <row r="1403" spans="1:9" x14ac:dyDescent="0.25">
      <c r="A1403" s="1" t="s">
        <v>1415</v>
      </c>
      <c r="B1403" t="str">
        <f>HYPERLINK("https://www.suredividend.com/sure-analysis-research-database/","Schrodinger Inc")</f>
        <v>Schrodinger Inc</v>
      </c>
      <c r="C1403">
        <v>-9.4676442460949001E-2</v>
      </c>
      <c r="D1403">
        <v>0.211087420042643</v>
      </c>
      <c r="E1403">
        <v>-0.47417144973153103</v>
      </c>
      <c r="F1403">
        <v>-0.206703910614525</v>
      </c>
      <c r="G1403">
        <v>0.191775073436844</v>
      </c>
      <c r="H1403">
        <v>-4.3126684636117997E-2</v>
      </c>
      <c r="I1403">
        <v>-8.3798882681560011E-3</v>
      </c>
    </row>
    <row r="1404" spans="1:9" x14ac:dyDescent="0.25">
      <c r="A1404" s="1" t="s">
        <v>1416</v>
      </c>
      <c r="B1404" t="str">
        <f>HYPERLINK("https://www.suredividend.com/sure-analysis-research-database/","SeaWorld Entertainment Inc")</f>
        <v>SeaWorld Entertainment Inc</v>
      </c>
      <c r="C1404">
        <v>-5.5140186915887013E-2</v>
      </c>
      <c r="D1404">
        <v>0.189691692162861</v>
      </c>
      <c r="E1404">
        <v>-9.1644204851752009E-2</v>
      </c>
      <c r="F1404">
        <v>-4.3157296990345997E-2</v>
      </c>
      <c r="G1404">
        <v>-0.13352759684607399</v>
      </c>
      <c r="H1404">
        <v>-0.230827754108338</v>
      </c>
      <c r="I1404">
        <v>1.018769968051118</v>
      </c>
    </row>
    <row r="1405" spans="1:9" x14ac:dyDescent="0.25">
      <c r="A1405" s="1" t="s">
        <v>1417</v>
      </c>
      <c r="B1405" t="str">
        <f>HYPERLINK("https://www.suredividend.com/sure-analysis-research-database/","Vivid Seats Inc")</f>
        <v>Vivid Seats Inc</v>
      </c>
      <c r="C1405">
        <v>-0.14000000000000001</v>
      </c>
      <c r="D1405">
        <v>-7.2419106317411011E-2</v>
      </c>
      <c r="E1405">
        <v>-0.25770653514179998</v>
      </c>
      <c r="F1405">
        <v>-4.7468354430379001E-2</v>
      </c>
      <c r="G1405">
        <v>-0.27469879518072299</v>
      </c>
      <c r="H1405">
        <v>-0.44000000000000011</v>
      </c>
      <c r="I1405">
        <v>-0.39800000000000002</v>
      </c>
    </row>
    <row r="1406" spans="1:9" x14ac:dyDescent="0.25">
      <c r="A1406" s="1" t="s">
        <v>1418</v>
      </c>
      <c r="B1406" t="str">
        <f>HYPERLINK("https://www.suredividend.com/sure-analysis-research-database/","Seer Inc")</f>
        <v>Seer Inc</v>
      </c>
      <c r="C1406">
        <v>-3.2432432432431997E-2</v>
      </c>
      <c r="D1406">
        <v>-1.1049723756906001E-2</v>
      </c>
      <c r="E1406">
        <v>-0.65377176015473804</v>
      </c>
      <c r="F1406">
        <v>-7.7319587628865011E-2</v>
      </c>
      <c r="G1406">
        <v>-0.6557692307692301</v>
      </c>
      <c r="H1406">
        <v>-0.90720580611715906</v>
      </c>
      <c r="I1406">
        <v>-0.96829613885936905</v>
      </c>
    </row>
    <row r="1407" spans="1:9" x14ac:dyDescent="0.25">
      <c r="A1407" s="1" t="s">
        <v>1419</v>
      </c>
      <c r="B1407" t="str">
        <f>HYPERLINK("https://www.suredividend.com/sure-analysis-research-database/","Select Medical Holdings Corporation")</f>
        <v>Select Medical Holdings Corporation</v>
      </c>
      <c r="C1407">
        <v>6.6639741518578002E-2</v>
      </c>
      <c r="D1407">
        <v>0.146386776400319</v>
      </c>
      <c r="E1407">
        <v>-0.11548882555269301</v>
      </c>
      <c r="F1407">
        <v>0.123829787234042</v>
      </c>
      <c r="G1407">
        <v>-5.8661667106265997E-2</v>
      </c>
      <c r="H1407">
        <v>-2.9636324889956E-2</v>
      </c>
      <c r="I1407">
        <v>0.8599377438483311</v>
      </c>
    </row>
    <row r="1408" spans="1:9" x14ac:dyDescent="0.25">
      <c r="A1408" s="1" t="s">
        <v>1420</v>
      </c>
      <c r="B1408" t="str">
        <f>HYPERLINK("https://www.suredividend.com/sure-analysis-research-database/","Seneca Foods Corp.")</f>
        <v>Seneca Foods Corp.</v>
      </c>
      <c r="C1408">
        <v>2.0357211446130001E-2</v>
      </c>
      <c r="D1408">
        <v>-8.0283793876020013E-3</v>
      </c>
      <c r="E1408">
        <v>0.45561643835616411</v>
      </c>
      <c r="F1408">
        <v>1.3157894736842E-2</v>
      </c>
      <c r="G1408">
        <v>-0.16317530319735299</v>
      </c>
      <c r="H1408">
        <v>0.13428693424423499</v>
      </c>
      <c r="I1408">
        <v>0.74712265702071701</v>
      </c>
    </row>
    <row r="1409" spans="1:9" x14ac:dyDescent="0.25">
      <c r="A1409" s="1" t="s">
        <v>1421</v>
      </c>
      <c r="B1409" t="str">
        <f>HYPERLINK("https://www.suredividend.com/sure-analysis-research-database/","Senseonics Holdings Inc")</f>
        <v>Senseonics Holdings Inc</v>
      </c>
      <c r="C1409">
        <v>-0.170611596505162</v>
      </c>
      <c r="D1409">
        <v>-5.2622028669932007E-2</v>
      </c>
      <c r="E1409">
        <v>-0.42657880285557298</v>
      </c>
      <c r="F1409">
        <v>-8.4195755130678007E-2</v>
      </c>
      <c r="G1409">
        <v>-0.53796460176991101</v>
      </c>
      <c r="H1409">
        <v>-0.81219424460431611</v>
      </c>
      <c r="I1409">
        <v>-0.80591078066914501</v>
      </c>
    </row>
    <row r="1410" spans="1:9" x14ac:dyDescent="0.25">
      <c r="A1410" s="1" t="s">
        <v>1422</v>
      </c>
      <c r="B1410" t="str">
        <f>HYPERLINK("https://www.suredividend.com/sure-analysis-research-database/","ServisFirst Bancshares Inc")</f>
        <v>ServisFirst Bancshares Inc</v>
      </c>
      <c r="C1410">
        <v>1.1228210674185E-2</v>
      </c>
      <c r="D1410">
        <v>0.20661228230262799</v>
      </c>
      <c r="E1410">
        <v>0.44526091861553202</v>
      </c>
      <c r="F1410">
        <v>-7.5191355245384006E-2</v>
      </c>
      <c r="G1410">
        <v>-0.12696051345262799</v>
      </c>
      <c r="H1410">
        <v>-0.27976492424791399</v>
      </c>
      <c r="I1410">
        <v>1.015602767283253</v>
      </c>
    </row>
    <row r="1411" spans="1:9" x14ac:dyDescent="0.25">
      <c r="A1411" s="1" t="s">
        <v>1423</v>
      </c>
      <c r="B1411" t="str">
        <f>HYPERLINK("https://www.suredividend.com/sure-analysis-research-database/","Stitch Fix Inc")</f>
        <v>Stitch Fix Inc</v>
      </c>
      <c r="C1411">
        <v>-0.247113163972286</v>
      </c>
      <c r="D1411">
        <v>7.5907590759075008E-2</v>
      </c>
      <c r="E1411">
        <v>-0.22380952380952299</v>
      </c>
      <c r="F1411">
        <v>-8.6834733893557003E-2</v>
      </c>
      <c r="G1411">
        <v>-0.29589632829373602</v>
      </c>
      <c r="H1411">
        <v>-0.80755608028335302</v>
      </c>
      <c r="I1411">
        <v>-0.8416707139388051</v>
      </c>
    </row>
    <row r="1412" spans="1:9" x14ac:dyDescent="0.25">
      <c r="A1412" s="1" t="s">
        <v>1424</v>
      </c>
      <c r="B1412" t="str">
        <f>HYPERLINK("https://www.suredividend.com/sure-analysis-SFL/","SFL Corporation Ltd")</f>
        <v>SFL Corporation Ltd</v>
      </c>
      <c r="C1412">
        <v>8.3788706739526E-2</v>
      </c>
      <c r="D1412">
        <v>8.9613873806231009E-2</v>
      </c>
      <c r="E1412">
        <v>0.30245386686513598</v>
      </c>
      <c r="F1412">
        <v>5.4964539007092007E-2</v>
      </c>
      <c r="G1412">
        <v>0.35617172097051703</v>
      </c>
      <c r="H1412">
        <v>0.66545373117617401</v>
      </c>
      <c r="I1412">
        <v>0.6682320945424971</v>
      </c>
    </row>
    <row r="1413" spans="1:9" x14ac:dyDescent="0.25">
      <c r="A1413" s="1" t="s">
        <v>1425</v>
      </c>
      <c r="B1413" t="str">
        <f>HYPERLINK("https://www.suredividend.com/sure-analysis-research-database/","Sprouts Farmers Market Inc")</f>
        <v>Sprouts Farmers Market Inc</v>
      </c>
      <c r="C1413">
        <v>2.5992632009824001E-2</v>
      </c>
      <c r="D1413">
        <v>0.160148113862531</v>
      </c>
      <c r="E1413">
        <v>0.31024568740198599</v>
      </c>
      <c r="F1413">
        <v>4.1987112866348E-2</v>
      </c>
      <c r="G1413">
        <v>0.56656250000000008</v>
      </c>
      <c r="H1413">
        <v>0.70220713073005103</v>
      </c>
      <c r="I1413">
        <v>1.0852745424292849</v>
      </c>
    </row>
    <row r="1414" spans="1:9" x14ac:dyDescent="0.25">
      <c r="A1414" s="1" t="s">
        <v>1426</v>
      </c>
      <c r="B1414" t="str">
        <f>HYPERLINK("https://www.suredividend.com/sure-analysis-research-database/","Simmons First National Corp.")</f>
        <v>Simmons First National Corp.</v>
      </c>
      <c r="C1414">
        <v>1.2338724529037001E-2</v>
      </c>
      <c r="D1414">
        <v>0.18735269266687399</v>
      </c>
      <c r="E1414">
        <v>8.9897599776072007E-2</v>
      </c>
      <c r="F1414">
        <v>-5.7963709677418998E-2</v>
      </c>
      <c r="G1414">
        <v>-0.12705566946749899</v>
      </c>
      <c r="H1414">
        <v>-0.34348259824928601</v>
      </c>
      <c r="I1414">
        <v>-0.116504211849904</v>
      </c>
    </row>
    <row r="1415" spans="1:9" x14ac:dyDescent="0.25">
      <c r="A1415" s="1" t="s">
        <v>1427</v>
      </c>
      <c r="B1415" t="str">
        <f>HYPERLINK("https://www.suredividend.com/sure-analysis-research-database/","Southern First Bancshares Inc")</f>
        <v>Southern First Bancshares Inc</v>
      </c>
      <c r="C1415">
        <v>9.4215861657722014E-2</v>
      </c>
      <c r="D1415">
        <v>0.36380527684875502</v>
      </c>
      <c r="E1415">
        <v>0.46917534027221702</v>
      </c>
      <c r="F1415">
        <v>-1.0781671159029E-2</v>
      </c>
      <c r="G1415">
        <v>-0.165719481700386</v>
      </c>
      <c r="H1415">
        <v>-0.41270603296527397</v>
      </c>
      <c r="I1415">
        <v>0.125766871165644</v>
      </c>
    </row>
    <row r="1416" spans="1:9" x14ac:dyDescent="0.25">
      <c r="A1416" s="1" t="s">
        <v>1428</v>
      </c>
      <c r="B1416" t="str">
        <f>HYPERLINK("https://www.suredividend.com/sure-analysis-research-database/","Sweetgreen Inc")</f>
        <v>Sweetgreen Inc</v>
      </c>
      <c r="C1416">
        <v>6.4220183486230001E-3</v>
      </c>
      <c r="D1416">
        <v>3.6596523330279999E-3</v>
      </c>
      <c r="E1416">
        <v>-0.290426908150064</v>
      </c>
      <c r="F1416">
        <v>-2.9203539823007999E-2</v>
      </c>
      <c r="G1416">
        <v>0.11144883485309</v>
      </c>
      <c r="H1416">
        <v>-0.59654284663479207</v>
      </c>
      <c r="I1416">
        <v>-0.77838383838383807</v>
      </c>
    </row>
    <row r="1417" spans="1:9" x14ac:dyDescent="0.25">
      <c r="A1417" s="1" t="s">
        <v>1429</v>
      </c>
      <c r="B1417" t="str">
        <f>HYPERLINK("https://www.suredividend.com/sure-analysis-research-database/","Superior Group of Companies Inc..")</f>
        <v>Superior Group of Companies Inc..</v>
      </c>
      <c r="C1417">
        <v>6.6412213740458012E-2</v>
      </c>
      <c r="D1417">
        <v>0.88036718981344408</v>
      </c>
      <c r="E1417">
        <v>0.39021574715388901</v>
      </c>
      <c r="F1417">
        <v>3.4814814814814E-2</v>
      </c>
      <c r="G1417">
        <v>0.25710891944424402</v>
      </c>
      <c r="H1417">
        <v>-0.23085816848445401</v>
      </c>
      <c r="I1417">
        <v>-3.4040228732635E-2</v>
      </c>
    </row>
    <row r="1418" spans="1:9" x14ac:dyDescent="0.25">
      <c r="A1418" s="1" t="s">
        <v>1430</v>
      </c>
      <c r="B1418" t="str">
        <f>HYPERLINK("https://www.suredividend.com/sure-analysis-research-database/","SMART Global Holdings Inc")</f>
        <v>SMART Global Holdings Inc</v>
      </c>
      <c r="C1418">
        <v>0.176373626373626</v>
      </c>
      <c r="D1418">
        <v>0.63435114503816803</v>
      </c>
      <c r="E1418">
        <v>-0.22651734104046201</v>
      </c>
      <c r="F1418">
        <v>0.13100898045430501</v>
      </c>
      <c r="G1418">
        <v>0.28357314148681001</v>
      </c>
      <c r="H1418">
        <v>-0.32139461172741601</v>
      </c>
      <c r="I1418">
        <v>0.74065040650406411</v>
      </c>
    </row>
    <row r="1419" spans="1:9" x14ac:dyDescent="0.25">
      <c r="A1419" s="1" t="s">
        <v>1431</v>
      </c>
      <c r="B1419" t="str">
        <f>HYPERLINK("https://www.suredividend.com/sure-analysis-research-database/","Sight Sciences Inc")</f>
        <v>Sight Sciences Inc</v>
      </c>
      <c r="C1419">
        <v>0.63174603174603106</v>
      </c>
      <c r="D1419">
        <v>0.35978835978835899</v>
      </c>
      <c r="E1419">
        <v>-0.34102564102564098</v>
      </c>
      <c r="F1419">
        <v>-3.8759689922479999E-3</v>
      </c>
      <c r="G1419">
        <v>-0.58548387096774102</v>
      </c>
      <c r="H1419">
        <v>-0.68998793727382302</v>
      </c>
      <c r="I1419">
        <v>-0.84656716417910405</v>
      </c>
    </row>
    <row r="1420" spans="1:9" x14ac:dyDescent="0.25">
      <c r="A1420" s="1" t="s">
        <v>1432</v>
      </c>
      <c r="B1420" t="str">
        <f>HYPERLINK("https://www.suredividend.com/sure-analysis-research-database/","Sangamo Therapeutics Inc")</f>
        <v>Sangamo Therapeutics Inc</v>
      </c>
      <c r="C1420">
        <v>0.17770671539515701</v>
      </c>
      <c r="D1420">
        <v>-7.9285714285714001E-2</v>
      </c>
      <c r="E1420">
        <v>-0.6419444444444441</v>
      </c>
      <c r="F1420">
        <v>-5.0984722989140002E-2</v>
      </c>
      <c r="G1420">
        <v>-0.85835164835164812</v>
      </c>
      <c r="H1420">
        <v>-0.9173717948717941</v>
      </c>
      <c r="I1420">
        <v>-0.95469244288224908</v>
      </c>
    </row>
    <row r="1421" spans="1:9" x14ac:dyDescent="0.25">
      <c r="A1421" s="1" t="s">
        <v>1433</v>
      </c>
      <c r="B1421" t="str">
        <f>HYPERLINK("https://www.suredividend.com/sure-analysis-research-database/","Surgery Partners Inc")</f>
        <v>Surgery Partners Inc</v>
      </c>
      <c r="C1421">
        <v>-5.3644314868804013E-2</v>
      </c>
      <c r="D1421">
        <v>0.37951551211219697</v>
      </c>
      <c r="E1421">
        <v>-0.27121688370004399</v>
      </c>
      <c r="F1421">
        <v>1.4692091278524E-2</v>
      </c>
      <c r="G1421">
        <v>8.0745341614900015E-3</v>
      </c>
      <c r="H1421">
        <v>-0.31082802547770699</v>
      </c>
      <c r="I1421">
        <v>1.6198547215496359</v>
      </c>
    </row>
    <row r="1422" spans="1:9" x14ac:dyDescent="0.25">
      <c r="A1422" s="1" t="s">
        <v>1434</v>
      </c>
      <c r="B1422" t="str">
        <f>HYPERLINK("https://www.suredividend.com/sure-analysis-research-database/","Shake Shack Inc")</f>
        <v>Shake Shack Inc</v>
      </c>
      <c r="C1422">
        <v>-4.7412546978895007E-2</v>
      </c>
      <c r="D1422">
        <v>0.231315396113602</v>
      </c>
      <c r="E1422">
        <v>-0.15696558782141401</v>
      </c>
      <c r="F1422">
        <v>-0.110901241230437</v>
      </c>
      <c r="G1422">
        <v>0.16926898509581201</v>
      </c>
      <c r="H1422">
        <v>-7.986595922926501E-2</v>
      </c>
      <c r="I1422">
        <v>0.29749950777712098</v>
      </c>
    </row>
    <row r="1423" spans="1:9" x14ac:dyDescent="0.25">
      <c r="A1423" s="1" t="s">
        <v>1435</v>
      </c>
      <c r="B1423" t="str">
        <f>HYPERLINK("https://www.suredividend.com/sure-analysis-research-database/","Shore Bancshares Inc.")</f>
        <v>Shore Bancshares Inc.</v>
      </c>
      <c r="C1423">
        <v>-5.9420289855072007E-2</v>
      </c>
      <c r="D1423">
        <v>0.29559020222386301</v>
      </c>
      <c r="E1423">
        <v>0.14084816523840901</v>
      </c>
      <c r="F1423">
        <v>-8.9122807017543007E-2</v>
      </c>
      <c r="G1423">
        <v>-0.224722859327217</v>
      </c>
      <c r="H1423">
        <v>-0.32515337423312801</v>
      </c>
      <c r="I1423">
        <v>8.7129492365804001E-2</v>
      </c>
    </row>
    <row r="1424" spans="1:9" x14ac:dyDescent="0.25">
      <c r="A1424" s="1" t="s">
        <v>1436</v>
      </c>
      <c r="B1424" t="str">
        <f>HYPERLINK("https://www.suredividend.com/sure-analysis-research-database/","Sharecare Inc")</f>
        <v>Sharecare Inc</v>
      </c>
      <c r="C1424">
        <v>3.7260825780462997E-2</v>
      </c>
      <c r="D1424">
        <v>-0.16935483870967699</v>
      </c>
      <c r="E1424">
        <v>-0.40804597701149398</v>
      </c>
      <c r="F1424">
        <v>-4.6296296296296002E-2</v>
      </c>
      <c r="G1424">
        <v>-0.54017857142857106</v>
      </c>
      <c r="H1424">
        <v>-0.72386058981233203</v>
      </c>
      <c r="I1424">
        <v>-0.89700000000000002</v>
      </c>
    </row>
    <row r="1425" spans="1:9" x14ac:dyDescent="0.25">
      <c r="A1425" s="1" t="s">
        <v>1437</v>
      </c>
      <c r="B1425" t="str">
        <f>HYPERLINK("https://www.suredividend.com/sure-analysis-research-database/","Shenandoah Telecommunications Co.")</f>
        <v>Shenandoah Telecommunications Co.</v>
      </c>
      <c r="C1425">
        <v>-2.8243178554332001E-2</v>
      </c>
      <c r="D1425">
        <v>-5.5945681997860007E-2</v>
      </c>
      <c r="E1425">
        <v>8.5364158388314001E-2</v>
      </c>
      <c r="F1425">
        <v>-6.1054579093432003E-2</v>
      </c>
      <c r="G1425">
        <v>0.12973598682160101</v>
      </c>
      <c r="H1425">
        <v>-0.16581056092048399</v>
      </c>
      <c r="I1425">
        <v>-0.32721084151672503</v>
      </c>
    </row>
    <row r="1426" spans="1:9" x14ac:dyDescent="0.25">
      <c r="A1426" s="1" t="s">
        <v>1438</v>
      </c>
      <c r="B1426" t="str">
        <f>HYPERLINK("https://www.suredividend.com/sure-analysis-research-database/","Shoals Technologies Group Inc")</f>
        <v>Shoals Technologies Group Inc</v>
      </c>
      <c r="C1426">
        <v>-7.7498300475866005E-2</v>
      </c>
      <c r="D1426">
        <v>-0.155569383945239</v>
      </c>
      <c r="E1426">
        <v>-0.47707129094412298</v>
      </c>
      <c r="F1426">
        <v>-0.126769626769626</v>
      </c>
      <c r="G1426">
        <v>-0.52083333333333304</v>
      </c>
      <c r="H1426">
        <v>-0.37923147301006399</v>
      </c>
      <c r="I1426">
        <v>-0.56197546804389908</v>
      </c>
    </row>
    <row r="1427" spans="1:9" x14ac:dyDescent="0.25">
      <c r="A1427" s="1" t="s">
        <v>1439</v>
      </c>
      <c r="B1427" t="str">
        <f>HYPERLINK("https://www.suredividend.com/sure-analysis-research-database/","Sunstone Hotel Investors Inc")</f>
        <v>Sunstone Hotel Investors Inc</v>
      </c>
      <c r="C1427">
        <v>3.4284067991933002E-2</v>
      </c>
      <c r="D1427">
        <v>0.15941092882056501</v>
      </c>
      <c r="E1427">
        <v>5.8258246455277003E-2</v>
      </c>
      <c r="F1427">
        <v>3.727865796831E-3</v>
      </c>
      <c r="G1427">
        <v>0.10367584517795</v>
      </c>
      <c r="H1427">
        <v>-5.8335956352953001E-2</v>
      </c>
      <c r="I1427">
        <v>-0.15925714865613799</v>
      </c>
    </row>
    <row r="1428" spans="1:9" x14ac:dyDescent="0.25">
      <c r="A1428" s="1" t="s">
        <v>1440</v>
      </c>
      <c r="B1428" t="str">
        <f>HYPERLINK("https://www.suredividend.com/sure-analysis-research-database/","Steven Madden Ltd.")</f>
        <v>Steven Madden Ltd.</v>
      </c>
      <c r="C1428">
        <v>3.6284785679708997E-2</v>
      </c>
      <c r="D1428">
        <v>0.32648383782502111</v>
      </c>
      <c r="E1428">
        <v>0.29252056912797902</v>
      </c>
      <c r="F1428">
        <v>-9.5238095238000013E-4</v>
      </c>
      <c r="G1428">
        <v>0.30419511952531703</v>
      </c>
      <c r="H1428">
        <v>4.7967751764512012E-2</v>
      </c>
      <c r="I1428">
        <v>0.50132743679468705</v>
      </c>
    </row>
    <row r="1429" spans="1:9" x14ac:dyDescent="0.25">
      <c r="A1429" s="1" t="s">
        <v>1441</v>
      </c>
      <c r="B1429" t="str">
        <f>HYPERLINK("https://www.suredividend.com/sure-analysis-research-database/","Shyft Group Inc (The)")</f>
        <v>Shyft Group Inc (The)</v>
      </c>
      <c r="C1429">
        <v>-6.8908941755537009E-2</v>
      </c>
      <c r="D1429">
        <v>-0.18165169365653799</v>
      </c>
      <c r="E1429">
        <v>-0.45638898600979899</v>
      </c>
      <c r="F1429">
        <v>-7.1194762684124002E-2</v>
      </c>
      <c r="G1429">
        <v>-0.61904825836247801</v>
      </c>
      <c r="H1429">
        <v>-0.75326569697549406</v>
      </c>
      <c r="I1429">
        <v>0.40021465845865301</v>
      </c>
    </row>
    <row r="1430" spans="1:9" x14ac:dyDescent="0.25">
      <c r="A1430" s="1" t="s">
        <v>1442</v>
      </c>
      <c r="B1430" t="str">
        <f>HYPERLINK("https://www.suredividend.com/sure-analysis-research-database/","SI-BONE Inc")</f>
        <v>SI-BONE Inc</v>
      </c>
      <c r="C1430">
        <v>-3.3519553072624997E-2</v>
      </c>
      <c r="D1430">
        <v>0.11026837806301</v>
      </c>
      <c r="E1430">
        <v>-0.29203869047619002</v>
      </c>
      <c r="F1430">
        <v>-9.3377798951881003E-2</v>
      </c>
      <c r="G1430">
        <v>0.18125387957790201</v>
      </c>
      <c r="H1430">
        <v>-0.149687220732797</v>
      </c>
      <c r="I1430">
        <v>-0.109915809167446</v>
      </c>
    </row>
    <row r="1431" spans="1:9" x14ac:dyDescent="0.25">
      <c r="A1431" s="1" t="s">
        <v>1443</v>
      </c>
      <c r="B1431" t="str">
        <f>HYPERLINK("https://www.suredividend.com/sure-analysis-research-database/","Signet Jewelers Ltd")</f>
        <v>Signet Jewelers Ltd</v>
      </c>
      <c r="C1431">
        <v>-2.2986167615947E-2</v>
      </c>
      <c r="D1431">
        <v>0.39152251916856201</v>
      </c>
      <c r="E1431">
        <v>0.34040326519221298</v>
      </c>
      <c r="F1431">
        <v>-0.10441916837590901</v>
      </c>
      <c r="G1431">
        <v>0.34950415626488202</v>
      </c>
      <c r="H1431">
        <v>8.9994315145202008E-2</v>
      </c>
      <c r="I1431">
        <v>2.0374415420565182</v>
      </c>
    </row>
    <row r="1432" spans="1:9" x14ac:dyDescent="0.25">
      <c r="A1432" s="1" t="s">
        <v>1444</v>
      </c>
      <c r="B1432" t="str">
        <f>HYPERLINK("https://www.suredividend.com/sure-analysis-research-database/","SIGA Technologies Inc")</f>
        <v>SIGA Technologies Inc</v>
      </c>
      <c r="C1432">
        <v>-4.7787610619469012E-2</v>
      </c>
      <c r="D1432">
        <v>-1.1029411764705E-2</v>
      </c>
      <c r="E1432">
        <v>7.3852295409181007E-2</v>
      </c>
      <c r="F1432">
        <v>-3.9285714285714E-2</v>
      </c>
      <c r="G1432">
        <v>-0.25138452119221799</v>
      </c>
      <c r="H1432">
        <v>-2.0732084675731E-2</v>
      </c>
      <c r="I1432">
        <v>-0.116207247757663</v>
      </c>
    </row>
    <row r="1433" spans="1:9" x14ac:dyDescent="0.25">
      <c r="A1433" s="1" t="s">
        <v>1445</v>
      </c>
      <c r="B1433" t="str">
        <f>HYPERLINK("https://www.suredividend.com/sure-analysis-research-database/","Selective Insurance Group Inc.")</f>
        <v>Selective Insurance Group Inc.</v>
      </c>
      <c r="C1433">
        <v>-1.0894941634241E-2</v>
      </c>
      <c r="D1433">
        <v>-1.475004468222E-3</v>
      </c>
      <c r="E1433">
        <v>0.102243729416942</v>
      </c>
      <c r="F1433">
        <v>2.2114997989544999E-2</v>
      </c>
      <c r="G1433">
        <v>8.5662485812608005E-2</v>
      </c>
      <c r="H1433">
        <v>0.30934582929313598</v>
      </c>
      <c r="I1433">
        <v>0.83408129987445712</v>
      </c>
    </row>
    <row r="1434" spans="1:9" x14ac:dyDescent="0.25">
      <c r="A1434" s="1" t="s">
        <v>1446</v>
      </c>
      <c r="B1434" t="str">
        <f>HYPERLINK("https://www.suredividend.com/sure-analysis-research-database/","Silk Road Medical Inc")</f>
        <v>Silk Road Medical Inc</v>
      </c>
      <c r="C1434">
        <v>0.29464285714285698</v>
      </c>
      <c r="D1434">
        <v>0.71035386631716901</v>
      </c>
      <c r="E1434">
        <v>-0.39806273062730602</v>
      </c>
      <c r="F1434">
        <v>6.3569682151589008E-2</v>
      </c>
      <c r="G1434">
        <v>-0.77418238449558707</v>
      </c>
      <c r="H1434">
        <v>-0.64786832164058206</v>
      </c>
      <c r="I1434">
        <v>-0.63930348258706404</v>
      </c>
    </row>
    <row r="1435" spans="1:9" x14ac:dyDescent="0.25">
      <c r="A1435" s="1" t="s">
        <v>1447</v>
      </c>
      <c r="B1435" t="str">
        <f>HYPERLINK("https://www.suredividend.com/sure-analysis-research-database/","SITE Centers Corp")</f>
        <v>SITE Centers Corp</v>
      </c>
      <c r="C1435">
        <v>5.976599481112E-3</v>
      </c>
      <c r="D1435">
        <v>0.195044685399335</v>
      </c>
      <c r="E1435">
        <v>2.2694712403846001E-2</v>
      </c>
      <c r="F1435">
        <v>2.1276595744680001E-2</v>
      </c>
      <c r="G1435">
        <v>0.109437390909308</v>
      </c>
      <c r="H1435">
        <v>-5.6111205289031997E-2</v>
      </c>
      <c r="I1435">
        <v>0.37017314185032402</v>
      </c>
    </row>
    <row r="1436" spans="1:9" x14ac:dyDescent="0.25">
      <c r="A1436" s="1" t="s">
        <v>1448</v>
      </c>
      <c r="B1436" t="str">
        <f>HYPERLINK("https://www.suredividend.com/sure-analysis-research-database/","SiTime Corp")</f>
        <v>SiTime Corp</v>
      </c>
      <c r="C1436">
        <v>-7.4225748656250009E-3</v>
      </c>
      <c r="D1436">
        <v>2.9102167182661998E-2</v>
      </c>
      <c r="E1436">
        <v>-0.110414436458174</v>
      </c>
      <c r="F1436">
        <v>-4.7018348623853012E-2</v>
      </c>
      <c r="G1436">
        <v>9.2086736130667007E-2</v>
      </c>
      <c r="H1436">
        <v>-0.49280669631179602</v>
      </c>
      <c r="I1436">
        <v>5.2380697050938343</v>
      </c>
    </row>
    <row r="1437" spans="1:9" x14ac:dyDescent="0.25">
      <c r="A1437" s="1" t="s">
        <v>1449</v>
      </c>
      <c r="B1437" t="str">
        <f>HYPERLINK("https://www.suredividend.com/sure-analysis-SJW/","SJW Group")</f>
        <v>SJW Group</v>
      </c>
      <c r="C1437">
        <v>-7.7612371730018004E-2</v>
      </c>
      <c r="D1437">
        <v>8.6349647302339003E-2</v>
      </c>
      <c r="E1437">
        <v>-8.5297249728756006E-2</v>
      </c>
      <c r="F1437">
        <v>-2.3412394797244999E-2</v>
      </c>
      <c r="G1437">
        <v>-0.18696390512115901</v>
      </c>
      <c r="H1437">
        <v>-2.8876543153518001E-2</v>
      </c>
      <c r="I1437">
        <v>0.22774684791098301</v>
      </c>
    </row>
    <row r="1438" spans="1:9" x14ac:dyDescent="0.25">
      <c r="A1438" s="1" t="s">
        <v>1450</v>
      </c>
      <c r="B1438" t="str">
        <f>HYPERLINK("https://www.suredividend.com/sure-analysis-research-database/","Skillsoft Corp.")</f>
        <v>Skillsoft Corp.</v>
      </c>
      <c r="C1438">
        <v>-7.4474474474474001E-2</v>
      </c>
      <c r="D1438">
        <v>-0.100933488914819</v>
      </c>
      <c r="E1438">
        <v>-0.47226027397260212</v>
      </c>
      <c r="F1438">
        <v>-0.123435722411831</v>
      </c>
      <c r="G1438">
        <v>-0.62414634146341408</v>
      </c>
      <c r="H1438">
        <v>-0.8994125326370751</v>
      </c>
      <c r="I1438">
        <v>0.55656565656565604</v>
      </c>
    </row>
    <row r="1439" spans="1:9" x14ac:dyDescent="0.25">
      <c r="A1439" s="1" t="s">
        <v>1451</v>
      </c>
      <c r="B1439" t="str">
        <f>HYPERLINK("https://www.suredividend.com/sure-analysis-research-database/","Beauty Health Company (The)")</f>
        <v>Beauty Health Company (The)</v>
      </c>
      <c r="C1439">
        <v>-0.143322475570032</v>
      </c>
      <c r="D1439">
        <v>-0.48228346456692911</v>
      </c>
      <c r="E1439">
        <v>-0.69239766081871301</v>
      </c>
      <c r="F1439">
        <v>-0.154340836012861</v>
      </c>
      <c r="G1439">
        <v>-0.75512104283054005</v>
      </c>
      <c r="H1439">
        <v>-0.8413751507840771</v>
      </c>
      <c r="I1439">
        <v>-0.75737783558888905</v>
      </c>
    </row>
    <row r="1440" spans="1:9" x14ac:dyDescent="0.25">
      <c r="A1440" s="1" t="s">
        <v>1452</v>
      </c>
      <c r="B1440" t="str">
        <f>HYPERLINK("https://www.suredividend.com/sure-analysis-research-database/","Skillz Inc")</f>
        <v>Skillz Inc</v>
      </c>
      <c r="C1440">
        <v>-0.2</v>
      </c>
      <c r="D1440">
        <v>0.19047619047618999</v>
      </c>
      <c r="E1440">
        <v>-0.62377727614747902</v>
      </c>
      <c r="F1440">
        <v>-0.19871794871794801</v>
      </c>
      <c r="G1440">
        <v>-0.66147596479350002</v>
      </c>
      <c r="H1440">
        <v>-0.95847176079734209</v>
      </c>
      <c r="I1440">
        <v>-0.49494949494949397</v>
      </c>
    </row>
    <row r="1441" spans="1:9" x14ac:dyDescent="0.25">
      <c r="A1441" s="1" t="s">
        <v>1453</v>
      </c>
      <c r="B1441" t="str">
        <f>HYPERLINK("https://www.suredividend.com/sure-analysis-SKT/","Tanger Inc.")</f>
        <v>Tanger Inc.</v>
      </c>
      <c r="C1441">
        <v>1.4738393515099999E-3</v>
      </c>
      <c r="D1441">
        <v>0.194520499782454</v>
      </c>
      <c r="E1441">
        <v>0.208832751450999</v>
      </c>
      <c r="F1441">
        <v>-1.9480519480519001E-2</v>
      </c>
      <c r="G1441">
        <v>0.54344122657580907</v>
      </c>
      <c r="H1441">
        <v>0.52309864837603404</v>
      </c>
      <c r="I1441">
        <v>0.6446114469313291</v>
      </c>
    </row>
    <row r="1442" spans="1:9" x14ac:dyDescent="0.25">
      <c r="A1442" s="1" t="s">
        <v>1454</v>
      </c>
      <c r="B1442" t="str">
        <f>HYPERLINK("https://www.suredividend.com/sure-analysis-research-database/","Skyward Specialty Insurance Group Inc")</f>
        <v>Skyward Specialty Insurance Group Inc</v>
      </c>
      <c r="C1442">
        <v>-3.1083481349910999E-2</v>
      </c>
      <c r="D1442">
        <v>0.122427983539094</v>
      </c>
      <c r="E1442">
        <v>0.311823647294589</v>
      </c>
      <c r="F1442">
        <v>-3.3943329397875012E-2</v>
      </c>
      <c r="G1442">
        <v>0.71361256544502505</v>
      </c>
      <c r="H1442">
        <v>0.71361256544502505</v>
      </c>
      <c r="I1442">
        <v>0.71361256544502505</v>
      </c>
    </row>
    <row r="1443" spans="1:9" x14ac:dyDescent="0.25">
      <c r="A1443" s="1" t="s">
        <v>1455</v>
      </c>
      <c r="B1443" t="str">
        <f>HYPERLINK("https://www.suredividend.com/sure-analysis-research-database/","Skyline Champion Corp")</f>
        <v>Skyline Champion Corp</v>
      </c>
      <c r="C1443">
        <v>-4.9620548744890008E-3</v>
      </c>
      <c r="D1443">
        <v>0.114052287581699</v>
      </c>
      <c r="E1443">
        <v>4.4195639363580003E-3</v>
      </c>
      <c r="F1443">
        <v>-8.1874495017505003E-2</v>
      </c>
      <c r="G1443">
        <v>0.15598507968802999</v>
      </c>
      <c r="H1443">
        <v>-3.3044958161962013E-2</v>
      </c>
      <c r="I1443">
        <v>3.5033025099075301</v>
      </c>
    </row>
    <row r="1444" spans="1:9" x14ac:dyDescent="0.25">
      <c r="A1444" s="1" t="s">
        <v>1456</v>
      </c>
      <c r="B1444" t="str">
        <f>HYPERLINK("https://www.suredividend.com/sure-analysis-research-database/","SkyWater Technology Inc")</f>
        <v>SkyWater Technology Inc</v>
      </c>
      <c r="C1444">
        <v>6.2576687116564E-2</v>
      </c>
      <c r="D1444">
        <v>0.54919499105545599</v>
      </c>
      <c r="E1444">
        <v>-5.4585152838427013E-2</v>
      </c>
      <c r="F1444">
        <v>-9.9792099792099007E-2</v>
      </c>
      <c r="G1444">
        <v>-8.3597883597883005E-2</v>
      </c>
      <c r="H1444">
        <v>-0.33639846743294999</v>
      </c>
      <c r="I1444">
        <v>-0.51183765501691003</v>
      </c>
    </row>
    <row r="1445" spans="1:9" x14ac:dyDescent="0.25">
      <c r="A1445" s="1" t="s">
        <v>1457</v>
      </c>
      <c r="B1445" t="str">
        <f>HYPERLINK("https://www.suredividend.com/sure-analysis-research-database/","Skywest Inc.")</f>
        <v>Skywest Inc.</v>
      </c>
      <c r="C1445">
        <v>-3.2076984763429999E-3</v>
      </c>
      <c r="D1445">
        <v>0.25334005545752403</v>
      </c>
      <c r="E1445">
        <v>0.19893899204244</v>
      </c>
      <c r="F1445">
        <v>-4.7509578544061001E-2</v>
      </c>
      <c r="G1445">
        <v>1.4372549019607841</v>
      </c>
      <c r="H1445">
        <v>0.19175455417066101</v>
      </c>
      <c r="I1445">
        <v>4.8951786614683003E-2</v>
      </c>
    </row>
    <row r="1446" spans="1:9" x14ac:dyDescent="0.25">
      <c r="A1446" s="1" t="s">
        <v>1458</v>
      </c>
      <c r="B1446" t="str">
        <f>HYPERLINK("https://www.suredividend.com/sure-analysis-research-database/","Silicon Laboratories Inc")</f>
        <v>Silicon Laboratories Inc</v>
      </c>
      <c r="C1446">
        <v>-3.0860144451739999E-2</v>
      </c>
      <c r="D1446">
        <v>8.0230537004848002E-2</v>
      </c>
      <c r="E1446">
        <v>-0.28540305010893202</v>
      </c>
      <c r="F1446">
        <v>-0.107280562485824</v>
      </c>
      <c r="G1446">
        <v>-0.21327203677793299</v>
      </c>
      <c r="H1446">
        <v>-0.36686327077747899</v>
      </c>
      <c r="I1446">
        <v>0.38299367533380102</v>
      </c>
    </row>
    <row r="1447" spans="1:9" x14ac:dyDescent="0.25">
      <c r="A1447" s="1" t="s">
        <v>1459</v>
      </c>
      <c r="B1447" t="str">
        <f>HYPERLINK("https://www.suredividend.com/sure-analysis-research-database/","U.S. Silica Holdings Inc")</f>
        <v>U.S. Silica Holdings Inc</v>
      </c>
      <c r="C1447">
        <v>-5.2120141342756013E-2</v>
      </c>
      <c r="D1447">
        <v>-0.20636094674556199</v>
      </c>
      <c r="E1447">
        <v>-0.202823179791976</v>
      </c>
      <c r="F1447">
        <v>-5.1282051282051003E-2</v>
      </c>
      <c r="G1447">
        <v>-0.140224358974358</v>
      </c>
      <c r="H1447">
        <v>-6.1242344706911013E-2</v>
      </c>
      <c r="I1447">
        <v>-0.10235495879867799</v>
      </c>
    </row>
    <row r="1448" spans="1:9" x14ac:dyDescent="0.25">
      <c r="A1448" s="1" t="s">
        <v>1460</v>
      </c>
      <c r="B1448" t="str">
        <f>HYPERLINK("https://www.suredividend.com/sure-analysis-research-database/","Solid Power Inc")</f>
        <v>Solid Power Inc</v>
      </c>
      <c r="C1448">
        <v>-7.3529411764705011E-2</v>
      </c>
      <c r="D1448">
        <v>-0.28409090909090901</v>
      </c>
      <c r="E1448">
        <v>-0.57142857142857106</v>
      </c>
      <c r="F1448">
        <v>-0.13103448275862001</v>
      </c>
      <c r="G1448">
        <v>-0.54014598540145908</v>
      </c>
      <c r="H1448">
        <v>-0.83421052631578907</v>
      </c>
      <c r="I1448">
        <v>-0.874</v>
      </c>
    </row>
    <row r="1449" spans="1:9" x14ac:dyDescent="0.25">
      <c r="A1449" s="1" t="s">
        <v>1461</v>
      </c>
      <c r="B1449" t="str">
        <f>HYPERLINK("https://www.suredividend.com/sure-analysis-research-database/","SomaLogic Inc")</f>
        <v>SomaLogic Inc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25">
      <c r="A1450" s="1" t="s">
        <v>1462</v>
      </c>
      <c r="B1450" t="str">
        <f>HYPERLINK("https://www.suredividend.com/sure-analysis-research-database/","Simulations Plus Inc.")</f>
        <v>Simulations Plus Inc.</v>
      </c>
      <c r="C1450">
        <v>-5.2747791952894002E-2</v>
      </c>
      <c r="D1450">
        <v>-4.6758460296415012E-2</v>
      </c>
      <c r="E1450">
        <v>-0.17284905405723799</v>
      </c>
      <c r="F1450">
        <v>-0.13720670391061399</v>
      </c>
      <c r="G1450">
        <v>-3.0184593976142E-2</v>
      </c>
      <c r="H1450">
        <v>-0.16369378326217901</v>
      </c>
      <c r="I1450">
        <v>0.99209559582284212</v>
      </c>
    </row>
    <row r="1451" spans="1:9" x14ac:dyDescent="0.25">
      <c r="A1451" s="1" t="s">
        <v>1463</v>
      </c>
      <c r="B1451" t="str">
        <f>HYPERLINK("https://www.suredividend.com/sure-analysis-research-database/","SelectQuote Inc")</f>
        <v>SelectQuote Inc</v>
      </c>
      <c r="C1451">
        <v>-0.17123287671232801</v>
      </c>
      <c r="D1451">
        <v>-2.4193548387096E-2</v>
      </c>
      <c r="E1451">
        <v>-0.38888888888888801</v>
      </c>
      <c r="F1451">
        <v>-0.116788321167883</v>
      </c>
      <c r="G1451">
        <v>0.32617273125821999</v>
      </c>
      <c r="H1451">
        <v>-0.85612366230677706</v>
      </c>
      <c r="I1451">
        <v>-0.95518518518518503</v>
      </c>
    </row>
    <row r="1452" spans="1:9" x14ac:dyDescent="0.25">
      <c r="A1452" s="1" t="s">
        <v>1464</v>
      </c>
      <c r="B1452" t="str">
        <f>HYPERLINK("https://www.suredividend.com/sure-analysis-research-database/","Sylvamo Corp")</f>
        <v>Sylvamo Corp</v>
      </c>
      <c r="C1452">
        <v>-6.1980170669164003E-2</v>
      </c>
      <c r="D1452">
        <v>9.1064031907685E-2</v>
      </c>
      <c r="E1452">
        <v>8.1545183246435005E-2</v>
      </c>
      <c r="F1452">
        <v>-4.0013766768005013E-2</v>
      </c>
      <c r="G1452">
        <v>5.9147212500700009E-4</v>
      </c>
      <c r="H1452">
        <v>0.49241372281743212</v>
      </c>
      <c r="I1452">
        <v>0.87440000000000007</v>
      </c>
    </row>
    <row r="1453" spans="1:9" x14ac:dyDescent="0.25">
      <c r="A1453" s="1" t="s">
        <v>1465</v>
      </c>
      <c r="B1453" t="str">
        <f>HYPERLINK("https://www.suredividend.com/sure-analysis-research-database/","SM Energy Co")</f>
        <v>SM Energy Co</v>
      </c>
      <c r="C1453">
        <v>4.7405329593267001E-2</v>
      </c>
      <c r="D1453">
        <v>-0.107403246241005</v>
      </c>
      <c r="E1453">
        <v>9.9752305385959014E-2</v>
      </c>
      <c r="F1453">
        <v>-3.5640495867767998E-2</v>
      </c>
      <c r="G1453">
        <v>0.14909986151715601</v>
      </c>
      <c r="H1453">
        <v>9.7834907269113008E-2</v>
      </c>
      <c r="I1453">
        <v>1.0207814698560449</v>
      </c>
    </row>
    <row r="1454" spans="1:9" x14ac:dyDescent="0.25">
      <c r="A1454" s="1" t="s">
        <v>1466</v>
      </c>
      <c r="B1454" t="str">
        <f>HYPERLINK("https://www.suredividend.com/sure-analysis-research-database/","Southern Missouri Bancorp, Inc.")</f>
        <v>Southern Missouri Bancorp, Inc.</v>
      </c>
      <c r="C1454">
        <v>-1.8716039444556E-2</v>
      </c>
      <c r="D1454">
        <v>0.21701626349051001</v>
      </c>
      <c r="E1454">
        <v>0.23525909787579</v>
      </c>
      <c r="F1454">
        <v>-8.6720359617906001E-2</v>
      </c>
      <c r="G1454">
        <v>4.7689646651840001E-2</v>
      </c>
      <c r="H1454">
        <v>-7.2112960161371004E-2</v>
      </c>
      <c r="I1454">
        <v>0.65081643638973607</v>
      </c>
    </row>
    <row r="1455" spans="1:9" x14ac:dyDescent="0.25">
      <c r="A1455" s="1" t="s">
        <v>1467</v>
      </c>
      <c r="B1455" t="str">
        <f>HYPERLINK("https://www.suredividend.com/sure-analysis-research-database/","SmartFinancial Inc")</f>
        <v>SmartFinancial Inc</v>
      </c>
      <c r="C1455">
        <v>-8.1574675324675008E-2</v>
      </c>
      <c r="D1455">
        <v>9.8997159021926004E-2</v>
      </c>
      <c r="E1455">
        <v>2.4218258512144999E-2</v>
      </c>
      <c r="F1455">
        <v>-7.5949367088607E-2</v>
      </c>
      <c r="G1455">
        <v>-0.15808819426101101</v>
      </c>
      <c r="H1455">
        <v>-0.134144475053565</v>
      </c>
      <c r="I1455">
        <v>0.27835773680404902</v>
      </c>
    </row>
    <row r="1456" spans="1:9" x14ac:dyDescent="0.25">
      <c r="A1456" s="1" t="s">
        <v>1468</v>
      </c>
      <c r="B1456" t="str">
        <f>HYPERLINK("https://www.suredividend.com/sure-analysis-research-database/","Super Micro Computer Inc")</f>
        <v>Super Micro Computer Inc</v>
      </c>
      <c r="C1456">
        <v>0.24235328552612301</v>
      </c>
      <c r="D1456">
        <v>0.19060308555399699</v>
      </c>
      <c r="E1456">
        <v>0.15476959700731099</v>
      </c>
      <c r="F1456">
        <v>0.194540209667206</v>
      </c>
      <c r="G1456">
        <v>3.2139488706875148</v>
      </c>
      <c r="H1456">
        <v>6.4974608081254139</v>
      </c>
      <c r="I1456">
        <v>20.697124600638979</v>
      </c>
    </row>
    <row r="1457" spans="1:9" x14ac:dyDescent="0.25">
      <c r="A1457" s="1" t="s">
        <v>1469</v>
      </c>
      <c r="B1457" t="str">
        <f>HYPERLINK("https://www.suredividend.com/sure-analysis-research-database/","Summit Financial Group Inc")</f>
        <v>Summit Financial Group Inc</v>
      </c>
      <c r="C1457">
        <v>4.1948428740287001E-2</v>
      </c>
      <c r="D1457">
        <v>0.26184097752289598</v>
      </c>
      <c r="E1457">
        <v>0.40708345425977999</v>
      </c>
      <c r="F1457">
        <v>-8.3740632127728004E-2</v>
      </c>
      <c r="G1457">
        <v>0.17709109479518101</v>
      </c>
      <c r="H1457">
        <v>0.117469400731203</v>
      </c>
      <c r="I1457">
        <v>0.66555116594504604</v>
      </c>
    </row>
    <row r="1458" spans="1:9" x14ac:dyDescent="0.25">
      <c r="A1458" s="1" t="s">
        <v>1470</v>
      </c>
      <c r="B1458" t="str">
        <f>HYPERLINK("https://www.suredividend.com/sure-analysis-research-database/","Standard Motor Products, Inc.")</f>
        <v>Standard Motor Products, Inc.</v>
      </c>
      <c r="C1458">
        <v>1.0243277848910001E-3</v>
      </c>
      <c r="D1458">
        <v>0.227450426263482</v>
      </c>
      <c r="E1458">
        <v>4.0981489224017002E-2</v>
      </c>
      <c r="F1458">
        <v>-1.8085908063299998E-2</v>
      </c>
      <c r="G1458">
        <v>7.7485811311809011E-2</v>
      </c>
      <c r="H1458">
        <v>-0.203765867648736</v>
      </c>
      <c r="I1458">
        <v>-0.14603668393963401</v>
      </c>
    </row>
    <row r="1459" spans="1:9" x14ac:dyDescent="0.25">
      <c r="A1459" s="1" t="s">
        <v>1471</v>
      </c>
      <c r="B1459" t="str">
        <f>HYPERLINK("https://www.suredividend.com/sure-analysis-research-database/","Simply Good Foods Co")</f>
        <v>Simply Good Foods Co</v>
      </c>
      <c r="C1459">
        <v>2.0547945205479E-2</v>
      </c>
      <c r="D1459">
        <v>0.277403551745254</v>
      </c>
      <c r="E1459">
        <v>0.15057915057915</v>
      </c>
      <c r="F1459">
        <v>5.3535353535353013E-2</v>
      </c>
      <c r="G1459">
        <v>0.15376106194690201</v>
      </c>
      <c r="H1459">
        <v>8.3636363636363009E-2</v>
      </c>
      <c r="I1459">
        <v>1.10176322418136</v>
      </c>
    </row>
    <row r="1460" spans="1:9" x14ac:dyDescent="0.25">
      <c r="A1460" s="1" t="s">
        <v>1472</v>
      </c>
      <c r="B1460" t="str">
        <f>HYPERLINK("https://www.suredividend.com/sure-analysis-research-database/","NuScale Power Corporation")</f>
        <v>NuScale Power Corporation</v>
      </c>
      <c r="C1460">
        <v>-0.263322884012539</v>
      </c>
      <c r="D1460">
        <v>-0.59342560553633206</v>
      </c>
      <c r="E1460">
        <v>-0.70139771283354502</v>
      </c>
      <c r="F1460">
        <v>-0.28571428571428498</v>
      </c>
      <c r="G1460">
        <v>-0.78420569329660206</v>
      </c>
      <c r="H1460">
        <v>-0.76616915422885501</v>
      </c>
      <c r="I1460">
        <v>-0.76381909547738602</v>
      </c>
    </row>
    <row r="1461" spans="1:9" x14ac:dyDescent="0.25">
      <c r="A1461" s="1" t="s">
        <v>1473</v>
      </c>
      <c r="B1461" t="str">
        <f>HYPERLINK("https://www.suredividend.com/sure-analysis-research-database/","SmartRent Inc")</f>
        <v>SmartRent Inc</v>
      </c>
      <c r="C1461">
        <v>-0.17014925373134299</v>
      </c>
      <c r="D1461">
        <v>6.513409961685801E-2</v>
      </c>
      <c r="E1461">
        <v>-0.294416243654822</v>
      </c>
      <c r="F1461">
        <v>-0.128526645768025</v>
      </c>
      <c r="G1461">
        <v>3.610108303248E-3</v>
      </c>
      <c r="H1461">
        <v>-0.650314465408805</v>
      </c>
      <c r="I1461">
        <v>-0.74954954954954911</v>
      </c>
    </row>
    <row r="1462" spans="1:9" x14ac:dyDescent="0.25">
      <c r="A1462" s="1" t="s">
        <v>1474</v>
      </c>
      <c r="B1462" t="str">
        <f>HYPERLINK("https://www.suredividend.com/sure-analysis-research-database/","Semtech Corp.")</f>
        <v>Semtech Corp.</v>
      </c>
      <c r="C1462">
        <v>-0.113075849232201</v>
      </c>
      <c r="D1462">
        <v>-0.13047445255474399</v>
      </c>
      <c r="E1462">
        <v>-0.34614065180102899</v>
      </c>
      <c r="F1462">
        <v>-0.13007759014148801</v>
      </c>
      <c r="G1462">
        <v>-0.38988476312419901</v>
      </c>
      <c r="H1462">
        <v>-0.76163081540770305</v>
      </c>
      <c r="I1462">
        <v>-0.63514548238897406</v>
      </c>
    </row>
    <row r="1463" spans="1:9" x14ac:dyDescent="0.25">
      <c r="A1463" s="1" t="s">
        <v>1475</v>
      </c>
      <c r="B1463" t="str">
        <f>HYPERLINK("https://www.suredividend.com/sure-analysis-research-database/","Sleep Number Corp")</f>
        <v>Sleep Number Corp</v>
      </c>
      <c r="C1463">
        <v>-0.31157635467980199</v>
      </c>
      <c r="D1463">
        <v>-0.38300220750551811</v>
      </c>
      <c r="E1463">
        <v>-0.63853863562883906</v>
      </c>
      <c r="F1463">
        <v>-0.24612272420768699</v>
      </c>
      <c r="G1463">
        <v>-0.67242894813946608</v>
      </c>
      <c r="H1463">
        <v>-0.85260382333553009</v>
      </c>
      <c r="I1463">
        <v>-0.6691328795501621</v>
      </c>
    </row>
    <row r="1464" spans="1:9" x14ac:dyDescent="0.25">
      <c r="A1464" s="1" t="s">
        <v>1476</v>
      </c>
      <c r="B1464" t="str">
        <f>HYPERLINK("https://www.suredividend.com/sure-analysis-research-database/","Science 37 Holdings Inc")</f>
        <v>Science 37 Holdings Inc</v>
      </c>
      <c r="C1464">
        <v>0.44987775061124702</v>
      </c>
      <c r="D1464">
        <v>-0.26790123456790099</v>
      </c>
      <c r="E1464">
        <v>0.215163934426229</v>
      </c>
      <c r="F1464">
        <v>0.11048689138576701</v>
      </c>
      <c r="G1464">
        <v>-0.239743589743589</v>
      </c>
      <c r="H1464">
        <v>-0.96723756906077307</v>
      </c>
      <c r="I1464">
        <v>-0.40965654554504699</v>
      </c>
    </row>
    <row r="1465" spans="1:9" x14ac:dyDescent="0.25">
      <c r="A1465" s="1" t="s">
        <v>1477</v>
      </c>
      <c r="B1465" t="str">
        <f>HYPERLINK("https://www.suredividend.com/sure-analysis-research-database/","Sun Country Airlines Holdings Inc")</f>
        <v>Sun Country Airlines Holdings Inc</v>
      </c>
      <c r="C1465">
        <v>-0.17267080745341601</v>
      </c>
      <c r="D1465">
        <v>-5.4648687012065003E-2</v>
      </c>
      <c r="E1465">
        <v>-0.41655716162943401</v>
      </c>
      <c r="F1465">
        <v>-0.15321042593769801</v>
      </c>
      <c r="G1465">
        <v>-0.28960000000000002</v>
      </c>
      <c r="H1465">
        <v>-0.53065539112050708</v>
      </c>
      <c r="I1465">
        <v>-0.63386476085761401</v>
      </c>
    </row>
    <row r="1466" spans="1:9" x14ac:dyDescent="0.25">
      <c r="A1466" s="1" t="s">
        <v>1478</v>
      </c>
      <c r="B1466" t="str">
        <f>HYPERLINK("https://www.suredividend.com/sure-analysis-research-database/","Syndax Pharmaceuticals Inc")</f>
        <v>Syndax Pharmaceuticals Inc</v>
      </c>
      <c r="C1466">
        <v>0.1931330472103</v>
      </c>
      <c r="D1466">
        <v>0.85487906588824003</v>
      </c>
      <c r="E1466">
        <v>8.6999022482893013E-2</v>
      </c>
      <c r="F1466">
        <v>2.9153169828783E-2</v>
      </c>
      <c r="G1466">
        <v>-0.15469403268719101</v>
      </c>
      <c r="H1466">
        <v>0.25791855203619901</v>
      </c>
      <c r="I1466">
        <v>2.4058192955589579</v>
      </c>
    </row>
    <row r="1467" spans="1:9" x14ac:dyDescent="0.25">
      <c r="A1467" s="1" t="s">
        <v>1479</v>
      </c>
      <c r="B1467" t="str">
        <f>HYPERLINK("https://www.suredividend.com/sure-analysis-research-database/","StoneX Group Inc")</f>
        <v>StoneX Group Inc</v>
      </c>
      <c r="C1467">
        <v>1.1802891708460001E-3</v>
      </c>
      <c r="D1467">
        <v>0.107135690197786</v>
      </c>
      <c r="E1467">
        <v>0.12078775556719</v>
      </c>
      <c r="F1467">
        <v>-8.0861438439658012E-2</v>
      </c>
      <c r="G1467">
        <v>8.7383245709194007E-2</v>
      </c>
      <c r="H1467">
        <v>0.61187648456056998</v>
      </c>
      <c r="I1467">
        <v>0.77411764705882302</v>
      </c>
    </row>
    <row r="1468" spans="1:9" x14ac:dyDescent="0.25">
      <c r="A1468" s="1" t="s">
        <v>1480</v>
      </c>
      <c r="B1468" t="str">
        <f>HYPERLINK("https://www.suredividend.com/sure-analysis-research-database/","Snap One Holdings Corp")</f>
        <v>Snap One Holdings Corp</v>
      </c>
      <c r="C1468">
        <v>9.2055485498108006E-2</v>
      </c>
      <c r="D1468">
        <v>0</v>
      </c>
      <c r="E1468">
        <v>-0.23565754633715799</v>
      </c>
      <c r="F1468">
        <v>-2.8058361391694001E-2</v>
      </c>
      <c r="G1468">
        <v>-3.4522439585729999E-3</v>
      </c>
      <c r="H1468">
        <v>-0.51888888888888907</v>
      </c>
      <c r="I1468">
        <v>-0.47673716012084499</v>
      </c>
    </row>
    <row r="1469" spans="1:9" x14ac:dyDescent="0.25">
      <c r="A1469" s="1" t="s">
        <v>1481</v>
      </c>
      <c r="B1469" t="str">
        <f>HYPERLINK("https://www.suredividend.com/sure-analysis-research-database/","Solaris Oilfield Infrastructure Inc")</f>
        <v>Solaris Oilfield Infrastructure Inc</v>
      </c>
      <c r="C1469">
        <v>-0.133333333333333</v>
      </c>
      <c r="D1469">
        <v>-0.30548685173826101</v>
      </c>
      <c r="E1469">
        <v>-0.21548467848282299</v>
      </c>
      <c r="F1469">
        <v>-0.118090452261306</v>
      </c>
      <c r="G1469">
        <v>-0.32099780436611902</v>
      </c>
      <c r="H1469">
        <v>-5.0260434282621003E-2</v>
      </c>
      <c r="I1469">
        <v>-0.37690279861178899</v>
      </c>
    </row>
    <row r="1470" spans="1:9" x14ac:dyDescent="0.25">
      <c r="A1470" s="1" t="s">
        <v>1482</v>
      </c>
      <c r="B1470" t="str">
        <f>HYPERLINK("https://www.suredividend.com/sure-analysis-research-database/","Sonder Holdings Inc")</f>
        <v>Sonder Holdings Inc</v>
      </c>
      <c r="C1470">
        <v>0.127490039840637</v>
      </c>
      <c r="D1470">
        <v>-0.60694444444444406</v>
      </c>
      <c r="E1470">
        <v>-0.75096796902499108</v>
      </c>
      <c r="F1470">
        <v>-0.16519174041297899</v>
      </c>
      <c r="G1470">
        <v>-0.89115384615384607</v>
      </c>
      <c r="H1470">
        <v>-0.68058690744920902</v>
      </c>
      <c r="I1470">
        <v>-0.71181262729124206</v>
      </c>
    </row>
    <row r="1471" spans="1:9" x14ac:dyDescent="0.25">
      <c r="A1471" s="1" t="s">
        <v>1483</v>
      </c>
      <c r="B1471" t="str">
        <f>HYPERLINK("https://www.suredividend.com/sure-analysis-research-database/","Sonos Inc")</f>
        <v>Sonos Inc</v>
      </c>
      <c r="C1471">
        <v>-3.8212815990593001E-2</v>
      </c>
      <c r="D1471">
        <v>0.49134001823154011</v>
      </c>
      <c r="E1471">
        <v>-6.1926605504587007E-2</v>
      </c>
      <c r="F1471">
        <v>-4.5507584597432003E-2</v>
      </c>
      <c r="G1471">
        <v>-9.5632946379215003E-2</v>
      </c>
      <c r="H1471">
        <v>-0.44504748982360898</v>
      </c>
      <c r="I1471">
        <v>0.48322756119673599</v>
      </c>
    </row>
    <row r="1472" spans="1:9" x14ac:dyDescent="0.25">
      <c r="A1472" s="1" t="s">
        <v>1484</v>
      </c>
      <c r="B1472" t="str">
        <f>HYPERLINK("https://www.suredividend.com/sure-analysis-research-database/","Sovos Brands Inc")</f>
        <v>Sovos Brands Inc</v>
      </c>
      <c r="C1472">
        <v>5.9117780809450002E-3</v>
      </c>
      <c r="D1472">
        <v>-1.1617515638963001E-2</v>
      </c>
      <c r="E1472">
        <v>0.182255478353821</v>
      </c>
      <c r="F1472">
        <v>4.0853381752149996E-3</v>
      </c>
      <c r="G1472">
        <v>0.52132049518569401</v>
      </c>
      <c r="H1472">
        <v>0.59595959595959602</v>
      </c>
      <c r="I1472">
        <v>0.63609467455621305</v>
      </c>
    </row>
    <row r="1473" spans="1:9" x14ac:dyDescent="0.25">
      <c r="A1473" s="1" t="s">
        <v>1485</v>
      </c>
      <c r="B1473" t="str">
        <f>HYPERLINK("https://www.suredividend.com/sure-analysis-research-database/","SP Plus Corp")</f>
        <v>SP Plus Corp</v>
      </c>
      <c r="C1473">
        <v>1.9512195121950001E-3</v>
      </c>
      <c r="D1473">
        <v>4.6957542555270014E-3</v>
      </c>
      <c r="E1473">
        <v>0.30661577608142498</v>
      </c>
      <c r="F1473">
        <v>1.9512195121950001E-3</v>
      </c>
      <c r="G1473">
        <v>0.38783783783783798</v>
      </c>
      <c r="H1473">
        <v>0.72489082969432306</v>
      </c>
      <c r="I1473">
        <v>0.54436090225563905</v>
      </c>
    </row>
    <row r="1474" spans="1:9" x14ac:dyDescent="0.25">
      <c r="A1474" s="1" t="s">
        <v>1486</v>
      </c>
      <c r="B1474" t="str">
        <f>HYPERLINK("https://www.suredividend.com/sure-analysis-research-database/","Virgin Galactic Holdings Inc")</f>
        <v>Virgin Galactic Holdings Inc</v>
      </c>
      <c r="C1474">
        <v>-0.13877551020408099</v>
      </c>
      <c r="D1474">
        <v>0.28658536585365801</v>
      </c>
      <c r="E1474">
        <v>-0.47512437810945202</v>
      </c>
      <c r="F1474">
        <v>-0.13877551020408099</v>
      </c>
      <c r="G1474">
        <v>-0.59344894026974904</v>
      </c>
      <c r="H1474">
        <v>-0.78963110667996006</v>
      </c>
      <c r="I1474">
        <v>-0.78984063745019906</v>
      </c>
    </row>
    <row r="1475" spans="1:9" x14ac:dyDescent="0.25">
      <c r="A1475" s="1" t="s">
        <v>1487</v>
      </c>
      <c r="B1475" t="str">
        <f>HYPERLINK("https://www.suredividend.com/sure-analysis-research-database/","South Plains Financial Inc")</f>
        <v>South Plains Financial Inc</v>
      </c>
      <c r="C1475">
        <v>-5.9319177620492013E-2</v>
      </c>
      <c r="D1475">
        <v>5.8447862625527001E-2</v>
      </c>
      <c r="E1475">
        <v>0.19414862893253901</v>
      </c>
      <c r="F1475">
        <v>-3.6256906077348001E-2</v>
      </c>
      <c r="G1475">
        <v>4.7483449191980014E-3</v>
      </c>
      <c r="H1475">
        <v>3.747419603104E-3</v>
      </c>
      <c r="I1475">
        <v>0.70743047313748708</v>
      </c>
    </row>
    <row r="1476" spans="1:9" x14ac:dyDescent="0.25">
      <c r="A1476" s="1" t="s">
        <v>1488</v>
      </c>
      <c r="B1476" t="str">
        <f>HYPERLINK("https://www.suredividend.com/sure-analysis-research-database/","Sphere Entertainment Co")</f>
        <v>Sphere Entertainment Co</v>
      </c>
      <c r="C1476">
        <v>-4.8543689320388002E-2</v>
      </c>
      <c r="D1476">
        <v>-0.103487707261292</v>
      </c>
      <c r="E1476">
        <v>-0.118605958403597</v>
      </c>
      <c r="F1476">
        <v>-7.6560659599528E-2</v>
      </c>
      <c r="G1476">
        <v>-0.33105802047781502</v>
      </c>
      <c r="H1476">
        <v>-0.56010660681722502</v>
      </c>
      <c r="I1476">
        <v>-0.64568975257033101</v>
      </c>
    </row>
    <row r="1477" spans="1:9" x14ac:dyDescent="0.25">
      <c r="A1477" s="1" t="s">
        <v>1489</v>
      </c>
      <c r="B1477" t="str">
        <f>HYPERLINK("https://www.suredividend.com/sure-analysis-research-database/","Spire Global Inc")</f>
        <v>Spire Global Inc</v>
      </c>
      <c r="C1477">
        <v>-8.9828269484808002E-2</v>
      </c>
      <c r="D1477">
        <v>0.83733333333333304</v>
      </c>
      <c r="E1477">
        <v>0.19220653377630101</v>
      </c>
      <c r="F1477">
        <v>-0.118925831202046</v>
      </c>
      <c r="G1477">
        <v>-0.31646825396825301</v>
      </c>
      <c r="H1477">
        <v>-0.656872509960159</v>
      </c>
      <c r="I1477">
        <v>-0.28969072164948401</v>
      </c>
    </row>
    <row r="1478" spans="1:9" x14ac:dyDescent="0.25">
      <c r="A1478" s="1" t="s">
        <v>1490</v>
      </c>
      <c r="B1478" t="str">
        <f>HYPERLINK("https://www.suredividend.com/sure-analysis-research-database/","Sapiens International Corp NV")</f>
        <v>Sapiens International Corp NV</v>
      </c>
      <c r="C1478">
        <v>1.6044776119401999E-2</v>
      </c>
      <c r="D1478">
        <v>4.4095092024539012E-2</v>
      </c>
      <c r="E1478">
        <v>4.7710657945363007E-2</v>
      </c>
      <c r="F1478">
        <v>-5.9087767795438013E-2</v>
      </c>
      <c r="G1478">
        <v>0.33673038594837601</v>
      </c>
      <c r="H1478">
        <v>-6.0260007385395997E-2</v>
      </c>
      <c r="I1478">
        <v>1.566035602212652</v>
      </c>
    </row>
    <row r="1479" spans="1:9" x14ac:dyDescent="0.25">
      <c r="A1479" s="1" t="s">
        <v>1491</v>
      </c>
      <c r="B1479" t="str">
        <f>HYPERLINK("https://www.suredividend.com/sure-analysis-research-database/","SiriusPoint Ltd")</f>
        <v>SiriusPoint Ltd</v>
      </c>
      <c r="C1479">
        <v>8.9365504915100008E-3</v>
      </c>
      <c r="D1479">
        <v>0.11671612265084</v>
      </c>
      <c r="E1479">
        <v>0.29028571428571398</v>
      </c>
      <c r="F1479">
        <v>-2.6724137931033998E-2</v>
      </c>
      <c r="G1479">
        <v>0.71580547112462001</v>
      </c>
      <c r="H1479">
        <v>0.37515225334957297</v>
      </c>
      <c r="I1479">
        <v>0.117821782178217</v>
      </c>
    </row>
    <row r="1480" spans="1:9" x14ac:dyDescent="0.25">
      <c r="A1480" s="1" t="s">
        <v>1492</v>
      </c>
      <c r="B1480" t="str">
        <f>HYPERLINK("https://www.suredividend.com/sure-analysis-research-database/","SPS Commerce Inc.")</f>
        <v>SPS Commerce Inc.</v>
      </c>
      <c r="C1480">
        <v>-2.5727972442004001E-2</v>
      </c>
      <c r="D1480">
        <v>8.3113930110100001E-2</v>
      </c>
      <c r="E1480">
        <v>-4.2072396274342998E-2</v>
      </c>
      <c r="F1480">
        <v>-6.6188609162195003E-2</v>
      </c>
      <c r="G1480">
        <v>0.36200150489089511</v>
      </c>
      <c r="H1480">
        <v>0.52262786002691708</v>
      </c>
      <c r="I1480">
        <v>3.0994224889593478</v>
      </c>
    </row>
    <row r="1481" spans="1:9" x14ac:dyDescent="0.25">
      <c r="A1481" s="1" t="s">
        <v>1493</v>
      </c>
      <c r="B1481" t="str">
        <f>HYPERLINK("https://www.suredividend.com/sure-analysis-research-database/","Sprout Social Inc")</f>
        <v>Sprout Social Inc</v>
      </c>
      <c r="C1481">
        <v>3.0716134598790999E-2</v>
      </c>
      <c r="D1481">
        <v>0.23078508139295201</v>
      </c>
      <c r="E1481">
        <v>8.3832335329341007E-2</v>
      </c>
      <c r="F1481">
        <v>-2.783203125E-2</v>
      </c>
      <c r="G1481">
        <v>3.3033552404012012E-2</v>
      </c>
      <c r="H1481">
        <v>-0.111557340473003</v>
      </c>
      <c r="I1481">
        <v>2.5981927710843369</v>
      </c>
    </row>
    <row r="1482" spans="1:9" x14ac:dyDescent="0.25">
      <c r="A1482" s="1" t="s">
        <v>1494</v>
      </c>
      <c r="B1482" t="str">
        <f>HYPERLINK("https://www.suredividend.com/sure-analysis-SPTN/","SpartanNash Co")</f>
        <v>SpartanNash Co</v>
      </c>
      <c r="C1482">
        <v>-3.1090289608176998E-2</v>
      </c>
      <c r="D1482">
        <v>1.3083246497625999E-2</v>
      </c>
      <c r="E1482">
        <v>8.7814091376383005E-2</v>
      </c>
      <c r="F1482">
        <v>-8.7145969498910007E-3</v>
      </c>
      <c r="G1482">
        <v>-0.209344677065087</v>
      </c>
      <c r="H1482">
        <v>-1.8859461860586998E-2</v>
      </c>
      <c r="I1482">
        <v>0.39490109997915301</v>
      </c>
    </row>
    <row r="1483" spans="1:9" x14ac:dyDescent="0.25">
      <c r="A1483" s="1" t="s">
        <v>1495</v>
      </c>
      <c r="B1483" t="str">
        <f>HYPERLINK("https://www.suredividend.com/sure-analysis-research-database/","Sportsman`s Warehouse Holdings Inc")</f>
        <v>Sportsman`s Warehouse Holdings Inc</v>
      </c>
      <c r="C1483">
        <v>-3.6613272311212003E-2</v>
      </c>
      <c r="D1483">
        <v>-0.14604462474645</v>
      </c>
      <c r="E1483">
        <v>-0.29950083194675498</v>
      </c>
      <c r="F1483">
        <v>-1.1737089201877E-2</v>
      </c>
      <c r="G1483">
        <v>-0.58275520317145602</v>
      </c>
      <c r="H1483">
        <v>-0.62003610108303209</v>
      </c>
      <c r="I1483">
        <v>-0.15120967741935401</v>
      </c>
    </row>
    <row r="1484" spans="1:9" x14ac:dyDescent="0.25">
      <c r="A1484" s="1" t="s">
        <v>1496</v>
      </c>
      <c r="B1484" t="str">
        <f>HYPERLINK("https://www.suredividend.com/sure-analysis-research-database/","Sunpower Corp")</f>
        <v>Sunpower Corp</v>
      </c>
      <c r="C1484">
        <v>-0.37739463601532502</v>
      </c>
      <c r="D1484">
        <v>-0.42170818505337998</v>
      </c>
      <c r="E1484">
        <v>-0.68809980806142002</v>
      </c>
      <c r="F1484">
        <v>-0.32712215320910898</v>
      </c>
      <c r="G1484">
        <v>-0.82583065380493004</v>
      </c>
      <c r="H1484">
        <v>-0.83838886126305312</v>
      </c>
      <c r="I1484">
        <v>-0.27996986950838498</v>
      </c>
    </row>
    <row r="1485" spans="1:9" x14ac:dyDescent="0.25">
      <c r="A1485" s="1" t="s">
        <v>1497</v>
      </c>
      <c r="B1485" t="str">
        <f>HYPERLINK("https://www.suredividend.com/sure-analysis-research-database/","SPX Technologies Inc")</f>
        <v>SPX Technologies Inc</v>
      </c>
      <c r="C1485">
        <v>7.3540479518331009E-2</v>
      </c>
      <c r="D1485">
        <v>0.24953072206231999</v>
      </c>
      <c r="E1485">
        <v>0.239910592325841</v>
      </c>
      <c r="F1485">
        <v>-1.1484011484011E-2</v>
      </c>
      <c r="G1485">
        <v>0.36780821917808199</v>
      </c>
      <c r="H1485">
        <v>0.56113195747342004</v>
      </c>
      <c r="I1485">
        <v>0.56113195747342004</v>
      </c>
    </row>
    <row r="1486" spans="1:9" x14ac:dyDescent="0.25">
      <c r="A1486" s="1" t="s">
        <v>1498</v>
      </c>
      <c r="B1486" t="str">
        <f>HYPERLINK("https://www.suredividend.com/sure-analysis-research-database/","Squarespace Inc")</f>
        <v>Squarespace Inc</v>
      </c>
      <c r="C1486">
        <v>0.115505775288764</v>
      </c>
      <c r="D1486">
        <v>8.2173174872665011E-2</v>
      </c>
      <c r="E1486">
        <v>-1.3923267326732E-2</v>
      </c>
      <c r="F1486">
        <v>-3.4534989397152001E-2</v>
      </c>
      <c r="G1486">
        <v>0.43171608265947797</v>
      </c>
      <c r="H1486">
        <v>6.5529923102641011E-2</v>
      </c>
      <c r="I1486">
        <v>-0.26987399770904902</v>
      </c>
    </row>
    <row r="1487" spans="1:9" x14ac:dyDescent="0.25">
      <c r="A1487" s="1" t="s">
        <v>1499</v>
      </c>
      <c r="B1487" t="str">
        <f>HYPERLINK("https://www.suredividend.com/sure-analysis-SR/","Spire Inc.")</f>
        <v>Spire Inc.</v>
      </c>
      <c r="C1487">
        <v>-7.9785604900459009E-2</v>
      </c>
      <c r="D1487">
        <v>5.4604615408915001E-2</v>
      </c>
      <c r="E1487">
        <v>-3.5948577506750012E-2</v>
      </c>
      <c r="F1487">
        <v>-3.6092396535129002E-2</v>
      </c>
      <c r="G1487">
        <v>-0.14000500912376099</v>
      </c>
      <c r="H1487">
        <v>-9.6382682761210012E-3</v>
      </c>
      <c r="I1487">
        <v>-2.0865073610285001E-2</v>
      </c>
    </row>
    <row r="1488" spans="1:9" x14ac:dyDescent="0.25">
      <c r="A1488" s="1" t="s">
        <v>1500</v>
      </c>
      <c r="B1488" t="str">
        <f>HYPERLINK("https://www.suredividend.com/sure-analysis-SRCE/","1st Source Corp.")</f>
        <v>1st Source Corp.</v>
      </c>
      <c r="C1488">
        <v>-3.4534254246779E-2</v>
      </c>
      <c r="D1488">
        <v>0.255373323074159</v>
      </c>
      <c r="E1488">
        <v>0.22749765631489599</v>
      </c>
      <c r="F1488">
        <v>-5.8780709736123003E-2</v>
      </c>
      <c r="G1488">
        <v>1.3837350850059001E-2</v>
      </c>
      <c r="H1488">
        <v>6.9613826392493E-2</v>
      </c>
      <c r="I1488">
        <v>0.41261300630923398</v>
      </c>
    </row>
    <row r="1489" spans="1:9" x14ac:dyDescent="0.25">
      <c r="A1489" s="1" t="s">
        <v>1501</v>
      </c>
      <c r="B1489" t="str">
        <f>HYPERLINK("https://www.suredividend.com/sure-analysis-research-database/","Surmodics, Inc.")</f>
        <v>Surmodics, Inc.</v>
      </c>
      <c r="C1489">
        <v>-8.167710318540701E-2</v>
      </c>
      <c r="D1489">
        <v>0.13760539629005</v>
      </c>
      <c r="E1489">
        <v>0.12321012321012299</v>
      </c>
      <c r="F1489">
        <v>-7.2077028885832006E-2</v>
      </c>
      <c r="G1489">
        <v>-6.9003588186585002E-2</v>
      </c>
      <c r="H1489">
        <v>-0.26657969123722502</v>
      </c>
      <c r="I1489">
        <v>-0.312614632158141</v>
      </c>
    </row>
    <row r="1490" spans="1:9" x14ac:dyDescent="0.25">
      <c r="A1490" s="1" t="s">
        <v>1502</v>
      </c>
      <c r="B1490" t="str">
        <f>HYPERLINK("https://www.suredividend.com/sure-analysis-research-database/","Stoneridge Inc.")</f>
        <v>Stoneridge Inc.</v>
      </c>
      <c r="C1490">
        <v>1.9362186788154E-2</v>
      </c>
      <c r="D1490">
        <v>1.9943019943018999E-2</v>
      </c>
      <c r="E1490">
        <v>-6.9162766510660001E-2</v>
      </c>
      <c r="F1490">
        <v>-8.5334695963209001E-2</v>
      </c>
      <c r="G1490">
        <v>-0.22342733188720099</v>
      </c>
      <c r="H1490">
        <v>-0.12640312347486499</v>
      </c>
      <c r="I1490">
        <v>-0.34719183078045202</v>
      </c>
    </row>
    <row r="1491" spans="1:9" x14ac:dyDescent="0.25">
      <c r="A1491" s="1" t="s">
        <v>1503</v>
      </c>
      <c r="B1491" t="str">
        <f>HYPERLINK("https://www.suredividend.com/sure-analysis-research-database/","SouthState Corporation")</f>
        <v>SouthState Corporation</v>
      </c>
      <c r="C1491">
        <v>-3.3784593267041002E-2</v>
      </c>
      <c r="D1491">
        <v>0.22414533709152701</v>
      </c>
      <c r="E1491">
        <v>0.15906412577965501</v>
      </c>
      <c r="F1491">
        <v>-4.4997039668442013E-2</v>
      </c>
      <c r="G1491">
        <v>2.7045750335556E-2</v>
      </c>
      <c r="H1491">
        <v>-5.2430606550154003E-2</v>
      </c>
      <c r="I1491">
        <v>0.50178389208756302</v>
      </c>
    </row>
    <row r="1492" spans="1:9" x14ac:dyDescent="0.25">
      <c r="A1492" s="1" t="s">
        <v>1504</v>
      </c>
      <c r="B1492" t="str">
        <f>HYPERLINK("https://www.suredividend.com/sure-analysis-research-database/","Simpson Manufacturing Co., Inc.")</f>
        <v>Simpson Manufacturing Co., Inc.</v>
      </c>
      <c r="C1492">
        <v>-2.1431398951875E-2</v>
      </c>
      <c r="D1492">
        <v>0.35043884259111702</v>
      </c>
      <c r="E1492">
        <v>0.27162030209270499</v>
      </c>
      <c r="F1492">
        <v>-7.8470845304090001E-2</v>
      </c>
      <c r="G1492">
        <v>0.8443008784698951</v>
      </c>
      <c r="H1492">
        <v>0.41849990462361297</v>
      </c>
      <c r="I1492">
        <v>2.2914086267821911</v>
      </c>
    </row>
    <row r="1493" spans="1:9" x14ac:dyDescent="0.25">
      <c r="A1493" s="1" t="s">
        <v>1505</v>
      </c>
      <c r="B1493" t="str">
        <f>HYPERLINK("https://www.suredividend.com/sure-analysis-research-database/","E.W. Scripps Co.")</f>
        <v>E.W. Scripps Co.</v>
      </c>
      <c r="C1493">
        <v>2.5608194622269999E-3</v>
      </c>
      <c r="D1493">
        <v>0.54437869822485208</v>
      </c>
      <c r="E1493">
        <v>-0.194444444444444</v>
      </c>
      <c r="F1493">
        <v>-2.0025031289111001E-2</v>
      </c>
      <c r="G1493">
        <v>-0.43709561466570801</v>
      </c>
      <c r="H1493">
        <v>-0.63933671119299806</v>
      </c>
      <c r="I1493">
        <v>-0.55537636850951699</v>
      </c>
    </row>
    <row r="1494" spans="1:9" x14ac:dyDescent="0.25">
      <c r="A1494" s="1" t="s">
        <v>1506</v>
      </c>
      <c r="B1494" t="str">
        <f>HYPERLINK("https://www.suredividend.com/sure-analysis-research-database/","SoundThinking Inc")</f>
        <v>SoundThinking Inc</v>
      </c>
      <c r="C1494">
        <v>-8.0954243253813007E-2</v>
      </c>
      <c r="D1494">
        <v>0.52005174644243102</v>
      </c>
      <c r="E1494">
        <v>-2.8925619834709999E-2</v>
      </c>
      <c r="F1494">
        <v>-7.9874706342991E-2</v>
      </c>
      <c r="G1494">
        <v>-0.33124644280022703</v>
      </c>
      <c r="H1494">
        <v>-0.159513590844063</v>
      </c>
      <c r="I1494">
        <v>-0.38368738526094898</v>
      </c>
    </row>
    <row r="1495" spans="1:9" x14ac:dyDescent="0.25">
      <c r="A1495" s="1" t="s">
        <v>1507</v>
      </c>
      <c r="B1495" t="str">
        <f>HYPERLINK("https://www.suredividend.com/sure-analysis-research-database/","Shutterstock Inc")</f>
        <v>Shutterstock Inc</v>
      </c>
      <c r="C1495">
        <v>4.0110945167484001E-2</v>
      </c>
      <c r="D1495">
        <v>0.32840302794142401</v>
      </c>
      <c r="E1495">
        <v>-0.133263994452889</v>
      </c>
      <c r="F1495">
        <v>9.7348798674390009E-3</v>
      </c>
      <c r="G1495">
        <v>-0.18496115399469301</v>
      </c>
      <c r="H1495">
        <v>-0.46884142056319111</v>
      </c>
      <c r="I1495">
        <v>0.37699417001852897</v>
      </c>
    </row>
    <row r="1496" spans="1:9" x14ac:dyDescent="0.25">
      <c r="A1496" s="1" t="s">
        <v>1508</v>
      </c>
      <c r="B1496" t="str">
        <f>HYPERLINK("https://www.suredividend.com/sure-analysis-research-database/","Staar Surgical Co.")</f>
        <v>Staar Surgical Co.</v>
      </c>
      <c r="C1496">
        <v>-5.7949479940564007E-2</v>
      </c>
      <c r="D1496">
        <v>-0.21554070774560699</v>
      </c>
      <c r="E1496">
        <v>-0.45457673778389501</v>
      </c>
      <c r="F1496">
        <v>1.5700096123037001E-2</v>
      </c>
      <c r="G1496">
        <v>-0.5627586206896551</v>
      </c>
      <c r="H1496">
        <v>-0.58013245033112504</v>
      </c>
      <c r="I1496">
        <v>-6.3051702395900007E-4</v>
      </c>
    </row>
    <row r="1497" spans="1:9" x14ac:dyDescent="0.25">
      <c r="A1497" s="1" t="s">
        <v>1509</v>
      </c>
      <c r="B1497" t="str">
        <f>HYPERLINK("https://www.suredividend.com/sure-analysis-STAG/","STAG Industrial Inc")</f>
        <v>STAG Industrial Inc</v>
      </c>
      <c r="C1497">
        <v>1.0723045638456E-2</v>
      </c>
      <c r="D1497">
        <v>0.13321189328945801</v>
      </c>
      <c r="E1497">
        <v>4.1866445525537997E-2</v>
      </c>
      <c r="F1497">
        <v>-1.7575140091696001E-2</v>
      </c>
      <c r="G1497">
        <v>0.149665115696788</v>
      </c>
      <c r="H1497">
        <v>-4.4303483819812001E-2</v>
      </c>
      <c r="I1497">
        <v>0.82706154312566305</v>
      </c>
    </row>
    <row r="1498" spans="1:9" x14ac:dyDescent="0.25">
      <c r="A1498" s="1" t="s">
        <v>1510</v>
      </c>
      <c r="B1498" t="str">
        <f>HYPERLINK("https://www.suredividend.com/sure-analysis-research-database/","S &amp; T Bancorp, Inc.")</f>
        <v>S &amp; T Bancorp, Inc.</v>
      </c>
      <c r="C1498">
        <v>4.0343074968233E-2</v>
      </c>
      <c r="D1498">
        <v>0.228418284865511</v>
      </c>
      <c r="E1498">
        <v>0.178943882271203</v>
      </c>
      <c r="F1498">
        <v>-2.0047875523638001E-2</v>
      </c>
      <c r="G1498">
        <v>1.9166555154804001E-2</v>
      </c>
      <c r="H1498">
        <v>7.006211261301E-2</v>
      </c>
      <c r="I1498">
        <v>9.1019454869260014E-3</v>
      </c>
    </row>
    <row r="1499" spans="1:9" x14ac:dyDescent="0.25">
      <c r="A1499" s="1" t="s">
        <v>1511</v>
      </c>
      <c r="B1499" t="str">
        <f>HYPERLINK("https://www.suredividend.com/sure-analysis-research-database/","Stewart Information Services Corp.")</f>
        <v>Stewart Information Services Corp.</v>
      </c>
      <c r="C1499">
        <v>6.3224158379709003E-2</v>
      </c>
      <c r="D1499">
        <v>0.41252045330586001</v>
      </c>
      <c r="E1499">
        <v>0.35270029342940901</v>
      </c>
      <c r="F1499">
        <v>-8.1702127659570006E-3</v>
      </c>
      <c r="G1499">
        <v>0.30649052474865701</v>
      </c>
      <c r="H1499">
        <v>-0.19986927673784999</v>
      </c>
      <c r="I1499">
        <v>0.551590999866862</v>
      </c>
    </row>
    <row r="1500" spans="1:9" x14ac:dyDescent="0.25">
      <c r="A1500" s="1" t="s">
        <v>1512</v>
      </c>
      <c r="B1500" t="str">
        <f>HYPERLINK("https://www.suredividend.com/sure-analysis-research-database/","Stellar Bancorp Inc")</f>
        <v>Stellar Bancorp Inc</v>
      </c>
      <c r="C1500">
        <v>-4.6181818181817998E-2</v>
      </c>
      <c r="D1500">
        <v>0.20723697836362501</v>
      </c>
      <c r="E1500">
        <v>0.142864612153665</v>
      </c>
      <c r="F1500">
        <v>-5.7830459770114001E-2</v>
      </c>
      <c r="G1500">
        <v>-0.11159432070666001</v>
      </c>
      <c r="H1500">
        <v>-0.15614664968021699</v>
      </c>
      <c r="I1500">
        <v>-8.9419491907879012E-2</v>
      </c>
    </row>
    <row r="1501" spans="1:9" x14ac:dyDescent="0.25">
      <c r="A1501" s="1" t="s">
        <v>1513</v>
      </c>
      <c r="B1501" t="str">
        <f>HYPERLINK("https://www.suredividend.com/sure-analysis-research-database/","Stem Inc")</f>
        <v>Stem Inc</v>
      </c>
      <c r="C1501">
        <v>-8.5872576177285012E-2</v>
      </c>
      <c r="D1501">
        <v>-0.138381201044386</v>
      </c>
      <c r="E1501">
        <v>-0.51683748169838906</v>
      </c>
      <c r="F1501">
        <v>-0.149484536082474</v>
      </c>
      <c r="G1501">
        <v>-0.6649746192893401</v>
      </c>
      <c r="H1501">
        <v>-0.78102189781021902</v>
      </c>
      <c r="I1501">
        <v>-0.65979381443298901</v>
      </c>
    </row>
    <row r="1502" spans="1:9" x14ac:dyDescent="0.25">
      <c r="A1502" s="1" t="s">
        <v>1514</v>
      </c>
      <c r="B1502" t="str">
        <f>HYPERLINK("https://www.suredividend.com/sure-analysis-research-database/","StepStone Group Inc")</f>
        <v>StepStone Group Inc</v>
      </c>
      <c r="C1502">
        <v>0.150448833034111</v>
      </c>
      <c r="D1502">
        <v>8.6013341287488013E-2</v>
      </c>
      <c r="E1502">
        <v>0.28433820906171903</v>
      </c>
      <c r="F1502">
        <v>6.5975494816210003E-3</v>
      </c>
      <c r="G1502">
        <v>0.176051711037781</v>
      </c>
      <c r="H1502">
        <v>-9.8713895108750005E-2</v>
      </c>
      <c r="I1502">
        <v>0.40147058180275302</v>
      </c>
    </row>
    <row r="1503" spans="1:9" x14ac:dyDescent="0.25">
      <c r="A1503" s="1" t="s">
        <v>1515</v>
      </c>
      <c r="B1503" t="str">
        <f>HYPERLINK("https://www.suredividend.com/sure-analysis-research-database/","Sterling Check Corp")</f>
        <v>Sterling Check Corp</v>
      </c>
      <c r="C1503">
        <v>5.1546391752570007E-3</v>
      </c>
      <c r="D1503">
        <v>5.6501547987616002E-2</v>
      </c>
      <c r="E1503">
        <v>0.128099173553719</v>
      </c>
      <c r="F1503">
        <v>-1.9396551724136998E-2</v>
      </c>
      <c r="G1503">
        <v>-0.13112667091024799</v>
      </c>
      <c r="H1503">
        <v>-0.33930300096805399</v>
      </c>
      <c r="I1503">
        <v>-0.49256505576208098</v>
      </c>
    </row>
    <row r="1504" spans="1:9" x14ac:dyDescent="0.25">
      <c r="A1504" s="1" t="s">
        <v>1516</v>
      </c>
      <c r="B1504" t="str">
        <f>HYPERLINK("https://www.suredividend.com/sure-analysis-research-database/","Stagwell Inc")</f>
        <v>Stagwell Inc</v>
      </c>
      <c r="C1504">
        <v>0.116838487972508</v>
      </c>
      <c r="D1504">
        <v>0.616915422885572</v>
      </c>
      <c r="E1504">
        <v>-0.127516778523489</v>
      </c>
      <c r="F1504">
        <v>-1.9607843137254E-2</v>
      </c>
      <c r="G1504">
        <v>-8.5794655414908008E-2</v>
      </c>
      <c r="H1504">
        <v>-0.121621621621621</v>
      </c>
      <c r="I1504">
        <v>0.171171171171171</v>
      </c>
    </row>
    <row r="1505" spans="1:9" x14ac:dyDescent="0.25">
      <c r="A1505" s="1" t="s">
        <v>1517</v>
      </c>
      <c r="B1505" t="str">
        <f>HYPERLINK("https://www.suredividend.com/sure-analysis-research-database/","Star Holdings")</f>
        <v>Star Holdings</v>
      </c>
      <c r="C1505">
        <v>-2.2270114942528001E-2</v>
      </c>
      <c r="D1505">
        <v>0.13416666666666599</v>
      </c>
      <c r="E1505">
        <v>-0.131461391193363</v>
      </c>
      <c r="F1505">
        <v>-9.1455273698264006E-2</v>
      </c>
      <c r="G1505">
        <v>-0.21736630247268501</v>
      </c>
      <c r="H1505">
        <v>-0.21736630247268501</v>
      </c>
      <c r="I1505">
        <v>-0.21736630247268501</v>
      </c>
    </row>
    <row r="1506" spans="1:9" x14ac:dyDescent="0.25">
      <c r="A1506" s="1" t="s">
        <v>1518</v>
      </c>
      <c r="B1506" t="str">
        <f>HYPERLINK("https://www.suredividend.com/sure-analysis-research-database/","Sunopta, Inc.")</f>
        <v>Sunopta, Inc.</v>
      </c>
      <c r="C1506">
        <v>9.2843326885880012E-2</v>
      </c>
      <c r="D1506">
        <v>0.5915492957746481</v>
      </c>
      <c r="E1506">
        <v>-0.13076923076923</v>
      </c>
      <c r="F1506">
        <v>3.2906764168190002E-2</v>
      </c>
      <c r="G1506">
        <v>-0.36516853932584198</v>
      </c>
      <c r="H1506">
        <v>-5.8333333333333001E-2</v>
      </c>
      <c r="I1506">
        <v>0.33569739952718602</v>
      </c>
    </row>
    <row r="1507" spans="1:9" x14ac:dyDescent="0.25">
      <c r="A1507" s="1" t="s">
        <v>1519</v>
      </c>
      <c r="B1507" t="str">
        <f>HYPERLINK("https://www.suredividend.com/sure-analysis-research-database/","ONE Group Hospitality Inc")</f>
        <v>ONE Group Hospitality Inc</v>
      </c>
      <c r="C1507">
        <v>-2.3423423423423E-2</v>
      </c>
      <c r="D1507">
        <v>0.22624434389140199</v>
      </c>
      <c r="E1507">
        <v>-0.271505376344086</v>
      </c>
      <c r="F1507">
        <v>-0.11437908496731999</v>
      </c>
      <c r="G1507">
        <v>-0.267567567567567</v>
      </c>
      <c r="H1507">
        <v>-0.57423409269442205</v>
      </c>
      <c r="I1507">
        <v>0.66769230769230703</v>
      </c>
    </row>
    <row r="1508" spans="1:9" x14ac:dyDescent="0.25">
      <c r="A1508" s="1" t="s">
        <v>1520</v>
      </c>
      <c r="B1508" t="str">
        <f>HYPERLINK("https://www.suredividend.com/sure-analysis-research-database/","StoneCo Ltd")</f>
        <v>StoneCo Ltd</v>
      </c>
      <c r="C1508">
        <v>3.1966224366706E-2</v>
      </c>
      <c r="D1508">
        <v>0.76210092687950504</v>
      </c>
      <c r="E1508">
        <v>0.331517509727626</v>
      </c>
      <c r="F1508">
        <v>-5.1026067665002013E-2</v>
      </c>
      <c r="G1508">
        <v>0.76756198347107407</v>
      </c>
      <c r="H1508">
        <v>2.5164769322946999E-2</v>
      </c>
      <c r="I1508">
        <v>-0.18909952606635</v>
      </c>
    </row>
    <row r="1509" spans="1:9" x14ac:dyDescent="0.25">
      <c r="A1509" s="1" t="s">
        <v>1521</v>
      </c>
      <c r="B1509" t="str">
        <f>HYPERLINK("https://www.suredividend.com/sure-analysis-research-database/","Scorpio Tankers Inc")</f>
        <v>Scorpio Tankers Inc</v>
      </c>
      <c r="C1509">
        <v>0.15721695582185599</v>
      </c>
      <c r="D1509">
        <v>0.162782338648225</v>
      </c>
      <c r="E1509">
        <v>0.47087575078317812</v>
      </c>
      <c r="F1509">
        <v>6.4144736842105005E-2</v>
      </c>
      <c r="G1509">
        <v>0.28888313395818499</v>
      </c>
      <c r="H1509">
        <v>4.2005883818694798</v>
      </c>
      <c r="I1509">
        <v>2.6458098543930042</v>
      </c>
    </row>
    <row r="1510" spans="1:9" x14ac:dyDescent="0.25">
      <c r="A1510" s="1" t="s">
        <v>1522</v>
      </c>
      <c r="B1510" t="str">
        <f>HYPERLINK("https://www.suredividend.com/sure-analysis-research-database/","Stoke Therapeutics Inc")</f>
        <v>Stoke Therapeutics Inc</v>
      </c>
      <c r="C1510">
        <v>-1.3487475915221E-2</v>
      </c>
      <c r="D1510">
        <v>0.25030525030525003</v>
      </c>
      <c r="E1510">
        <v>-0.49754661432777197</v>
      </c>
      <c r="F1510">
        <v>-2.6615969581748E-2</v>
      </c>
      <c r="G1510">
        <v>-0.47487179487179398</v>
      </c>
      <c r="H1510">
        <v>-0.72324324324324307</v>
      </c>
      <c r="I1510">
        <v>-0.79976535001955407</v>
      </c>
    </row>
    <row r="1511" spans="1:9" x14ac:dyDescent="0.25">
      <c r="A1511" s="1" t="s">
        <v>1523</v>
      </c>
      <c r="B1511" t="str">
        <f>HYPERLINK("https://www.suredividend.com/sure-analysis-research-database/","Sitio Royalties Corp")</f>
        <v>Sitio Royalties Corp</v>
      </c>
      <c r="C1511">
        <v>2.5287356321839E-2</v>
      </c>
      <c r="D1511">
        <v>-7.2375509049538003E-2</v>
      </c>
      <c r="E1511">
        <v>-0.13763433375484799</v>
      </c>
      <c r="F1511">
        <v>-5.1467460655040001E-2</v>
      </c>
      <c r="G1511">
        <v>-9.8363307025488012E-2</v>
      </c>
      <c r="H1511">
        <v>-0.19196457688656299</v>
      </c>
      <c r="I1511">
        <v>-0.19196457688656299</v>
      </c>
    </row>
    <row r="1512" spans="1:9" x14ac:dyDescent="0.25">
      <c r="A1512" s="1" t="s">
        <v>1524</v>
      </c>
      <c r="B1512" t="str">
        <f>HYPERLINK("https://www.suredividend.com/sure-analysis-research-database/","Strategic Education Inc")</f>
        <v>Strategic Education Inc</v>
      </c>
      <c r="C1512">
        <v>-3.787878787878E-3</v>
      </c>
      <c r="D1512">
        <v>0.159045465305444</v>
      </c>
      <c r="E1512">
        <v>0.40374688331592301</v>
      </c>
      <c r="F1512">
        <v>-3.4643282451009999E-3</v>
      </c>
      <c r="G1512">
        <v>8.0054254979631007E-2</v>
      </c>
      <c r="H1512">
        <v>0.77094495930001006</v>
      </c>
      <c r="I1512">
        <v>-2.7606263462186E-2</v>
      </c>
    </row>
    <row r="1513" spans="1:9" x14ac:dyDescent="0.25">
      <c r="A1513" s="1" t="s">
        <v>1525</v>
      </c>
      <c r="B1513" t="str">
        <f>HYPERLINK("https://www.suredividend.com/sure-analysis-research-database/","Sarcos Technology and Robotics Corporation")</f>
        <v>Sarcos Technology and Robotics Corporation</v>
      </c>
      <c r="C1513">
        <v>0.13579422081175799</v>
      </c>
      <c r="D1513">
        <v>-6.5292096219931012E-2</v>
      </c>
      <c r="E1513">
        <v>-0.54666666666666608</v>
      </c>
      <c r="F1513">
        <v>-5.7257729100235001E-2</v>
      </c>
      <c r="G1513">
        <v>-0.85380116959064312</v>
      </c>
      <c r="H1513">
        <v>-0.98602548294286807</v>
      </c>
      <c r="I1513">
        <v>-0.98754578754578703</v>
      </c>
    </row>
    <row r="1514" spans="1:9" x14ac:dyDescent="0.25">
      <c r="A1514" s="1" t="s">
        <v>1526</v>
      </c>
      <c r="B1514" t="str">
        <f>HYPERLINK("https://www.suredividend.com/sure-analysis-research-database/","Sterling Infrastructure Inc")</f>
        <v>Sterling Infrastructure Inc</v>
      </c>
      <c r="C1514">
        <v>2.0434726018482001E-2</v>
      </c>
      <c r="D1514">
        <v>8.8888888888889003E-2</v>
      </c>
      <c r="E1514">
        <v>0.33879781420764998</v>
      </c>
      <c r="F1514">
        <v>-0.1083816672353</v>
      </c>
      <c r="G1514">
        <v>1.3147328018895781</v>
      </c>
      <c r="H1514">
        <v>1.835443037974684</v>
      </c>
      <c r="I1514">
        <v>5.2971887550200814</v>
      </c>
    </row>
    <row r="1515" spans="1:9" x14ac:dyDescent="0.25">
      <c r="A1515" s="1" t="s">
        <v>1527</v>
      </c>
      <c r="B1515" t="str">
        <f>HYPERLINK("https://www.suredividend.com/sure-analysis-research-database/","Sutro Biopharma Inc")</f>
        <v>Sutro Biopharma Inc</v>
      </c>
      <c r="C1515">
        <v>1.7811704834605001E-2</v>
      </c>
      <c r="D1515">
        <v>1.5228426395939E-2</v>
      </c>
      <c r="E1515">
        <v>-0.164926931106471</v>
      </c>
      <c r="F1515">
        <v>-6.7599067599067003E-2</v>
      </c>
      <c r="G1515">
        <v>-0.49174078780177799</v>
      </c>
      <c r="H1515">
        <v>-0.61904761904761907</v>
      </c>
      <c r="I1515">
        <v>-0.63031423290203303</v>
      </c>
    </row>
    <row r="1516" spans="1:9" x14ac:dyDescent="0.25">
      <c r="A1516" s="1" t="s">
        <v>1528</v>
      </c>
      <c r="B1516" t="str">
        <f>HYPERLINK("https://www.suredividend.com/sure-analysis-research-database/","Stratus Properties Inc.")</f>
        <v>Stratus Properties Inc.</v>
      </c>
      <c r="C1516">
        <v>5.4696789536266013E-2</v>
      </c>
      <c r="D1516">
        <v>-3.5520115984051998E-2</v>
      </c>
      <c r="E1516">
        <v>-5.3024911032028013E-2</v>
      </c>
      <c r="F1516">
        <v>-7.7962577962578009E-2</v>
      </c>
      <c r="G1516">
        <v>0.2336578581363</v>
      </c>
      <c r="H1516">
        <v>-0.220105509964829</v>
      </c>
      <c r="I1516">
        <v>9.2813141683778008E-2</v>
      </c>
    </row>
    <row r="1517" spans="1:9" x14ac:dyDescent="0.25">
      <c r="A1517" s="1" t="s">
        <v>1529</v>
      </c>
      <c r="B1517" t="str">
        <f>HYPERLINK("https://www.suredividend.com/sure-analysis-research-database/","Summit Materials Inc")</f>
        <v>Summit Materials Inc</v>
      </c>
      <c r="C1517">
        <v>-5.7882101893838002E-2</v>
      </c>
      <c r="D1517">
        <v>7.7157670021348004E-2</v>
      </c>
      <c r="E1517">
        <v>-5.2066559312936002E-2</v>
      </c>
      <c r="F1517">
        <v>-8.1643265730629008E-2</v>
      </c>
      <c r="G1517">
        <v>0.103060587133041</v>
      </c>
      <c r="H1517">
        <v>-7.5883758107602006E-2</v>
      </c>
      <c r="I1517">
        <v>1.5657416824059269</v>
      </c>
    </row>
    <row r="1518" spans="1:9" x14ac:dyDescent="0.25">
      <c r="A1518" s="1" t="s">
        <v>1530</v>
      </c>
      <c r="B1518" t="str">
        <f>HYPERLINK("https://www.suredividend.com/sure-analysis-research-database/","Sunlight Financial Holdings Inc")</f>
        <v>Sunlight Financial Holdings Inc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25">
      <c r="A1519" s="1" t="s">
        <v>1531</v>
      </c>
      <c r="B1519" t="str">
        <f>HYPERLINK("https://www.suredividend.com/sure-analysis-research-database/","Supernus Pharmaceuticals Inc")</f>
        <v>Supernus Pharmaceuticals Inc</v>
      </c>
      <c r="C1519">
        <v>2.4673439767778998E-2</v>
      </c>
      <c r="D1519">
        <v>0.136876006441223</v>
      </c>
      <c r="E1519">
        <v>-6.7679102013865011E-2</v>
      </c>
      <c r="F1519">
        <v>-2.4187975120938999E-2</v>
      </c>
      <c r="G1519">
        <v>-0.291875626880642</v>
      </c>
      <c r="H1519">
        <v>-3.2876712328767002E-2</v>
      </c>
      <c r="I1519">
        <v>-0.251325556733828</v>
      </c>
    </row>
    <row r="1520" spans="1:9" x14ac:dyDescent="0.25">
      <c r="A1520" s="1" t="s">
        <v>1532</v>
      </c>
      <c r="B1520" t="str">
        <f>HYPERLINK("https://www.suredividend.com/sure-analysis-research-database/","Service Properties Trust")</f>
        <v>Service Properties Trust</v>
      </c>
      <c r="C1520">
        <v>1.1166253101736001E-2</v>
      </c>
      <c r="D1520">
        <v>0.19288077046924801</v>
      </c>
      <c r="E1520">
        <v>-1.7989468991359999E-2</v>
      </c>
      <c r="F1520">
        <v>-4.5667447306791002E-2</v>
      </c>
      <c r="G1520">
        <v>0.16035707675441699</v>
      </c>
      <c r="H1520">
        <v>3.9037201356485002E-2</v>
      </c>
      <c r="I1520">
        <v>-0.66514922429660706</v>
      </c>
    </row>
    <row r="1521" spans="1:9" x14ac:dyDescent="0.25">
      <c r="A1521" s="1" t="s">
        <v>1533</v>
      </c>
      <c r="B1521" t="str">
        <f>HYPERLINK("https://www.suredividend.com/sure-analysis-research-database/","ShockWave Medical Inc")</f>
        <v>ShockWave Medical Inc</v>
      </c>
      <c r="C1521">
        <v>0.164906229790903</v>
      </c>
      <c r="D1521">
        <v>0.121103677195166</v>
      </c>
      <c r="E1521">
        <v>-0.238792830228545</v>
      </c>
      <c r="F1521">
        <v>0.134340890008396</v>
      </c>
      <c r="G1521">
        <v>7.0575999207567006E-2</v>
      </c>
      <c r="H1521">
        <v>0.17676520224290901</v>
      </c>
      <c r="I1521">
        <v>6.087213114754098</v>
      </c>
    </row>
    <row r="1522" spans="1:9" x14ac:dyDescent="0.25">
      <c r="A1522" s="1" t="s">
        <v>1534</v>
      </c>
      <c r="B1522" t="str">
        <f>HYPERLINK("https://www.suredividend.com/sure-analysis-research-database/","Smith &amp; Wesson Brands Inc")</f>
        <v>Smith &amp; Wesson Brands Inc</v>
      </c>
      <c r="C1522">
        <v>7.7027404363955013E-2</v>
      </c>
      <c r="D1522">
        <v>-2.9454265728231999E-2</v>
      </c>
      <c r="E1522">
        <v>4.1594333726824001E-2</v>
      </c>
      <c r="F1522">
        <v>-4.4247787610610014E-3</v>
      </c>
      <c r="G1522">
        <v>0.39212572442097798</v>
      </c>
      <c r="H1522">
        <v>-0.15159970588789801</v>
      </c>
      <c r="I1522">
        <v>-5.8910162002940008E-3</v>
      </c>
    </row>
    <row r="1523" spans="1:9" x14ac:dyDescent="0.25">
      <c r="A1523" s="1" t="s">
        <v>1535</v>
      </c>
      <c r="B1523" t="str">
        <f>HYPERLINK("https://www.suredividend.com/sure-analysis-research-database/","SolarWinds Corp")</f>
        <v>SolarWinds Corp</v>
      </c>
      <c r="C1523">
        <v>1.3686911890504E-2</v>
      </c>
      <c r="D1523">
        <v>0.29934210526315802</v>
      </c>
      <c r="E1523">
        <v>0.106442577030812</v>
      </c>
      <c r="F1523">
        <v>-5.1240992794235003E-2</v>
      </c>
      <c r="G1523">
        <v>0.28385698808234</v>
      </c>
      <c r="H1523">
        <v>-0.15114613180515701</v>
      </c>
      <c r="I1523">
        <v>-0.63647295941688409</v>
      </c>
    </row>
    <row r="1524" spans="1:9" x14ac:dyDescent="0.25">
      <c r="A1524" s="1" t="s">
        <v>1536</v>
      </c>
      <c r="B1524" t="str">
        <f>HYPERLINK("https://www.suredividend.com/sure-analysis-research-database/","Latham Group Inc")</f>
        <v>Latham Group Inc</v>
      </c>
      <c r="C1524">
        <v>-9.9616858237547012E-2</v>
      </c>
      <c r="D1524">
        <v>8.5836909871240003E-3</v>
      </c>
      <c r="E1524">
        <v>-0.48464912280701711</v>
      </c>
      <c r="F1524">
        <v>-0.106463878326996</v>
      </c>
      <c r="G1524">
        <v>-0.37994722955145099</v>
      </c>
      <c r="H1524">
        <v>-0.8822055137844611</v>
      </c>
      <c r="I1524">
        <v>-0.91376146788990809</v>
      </c>
    </row>
    <row r="1525" spans="1:9" x14ac:dyDescent="0.25">
      <c r="A1525" s="1" t="s">
        <v>1537</v>
      </c>
      <c r="B1525" t="str">
        <f>HYPERLINK("https://www.suredividend.com/sure-analysis-research-database/","Swk Holdings Corp")</f>
        <v>Swk Holdings Corp</v>
      </c>
      <c r="C1525">
        <v>-1.3142857142857E-2</v>
      </c>
      <c r="D1525">
        <v>8.8902900378310001E-2</v>
      </c>
      <c r="E1525">
        <v>5.9509202453986998E-2</v>
      </c>
      <c r="F1525">
        <v>-1.4831717056474E-2</v>
      </c>
      <c r="G1525">
        <v>-7.8441835645676999E-2</v>
      </c>
      <c r="H1525">
        <v>-9.9582898852971002E-2</v>
      </c>
      <c r="I1525">
        <v>14.01739130434783</v>
      </c>
    </row>
    <row r="1526" spans="1:9" x14ac:dyDescent="0.25">
      <c r="A1526" s="1" t="s">
        <v>1538</v>
      </c>
      <c r="B1526" t="str">
        <f>HYPERLINK("https://www.suredividend.com/sure-analysis-research-database/","SpringWorks Therapeutics Inc")</f>
        <v>SpringWorks Therapeutics Inc</v>
      </c>
      <c r="C1526">
        <v>0.18431712962962901</v>
      </c>
      <c r="D1526">
        <v>0.80387836051123807</v>
      </c>
      <c r="E1526">
        <v>0.44272118434966501</v>
      </c>
      <c r="F1526">
        <v>0.121369863013698</v>
      </c>
      <c r="G1526">
        <v>0.41089279558772801</v>
      </c>
      <c r="H1526">
        <v>-0.32956592956592901</v>
      </c>
      <c r="I1526">
        <v>0.80866106937693305</v>
      </c>
    </row>
    <row r="1527" spans="1:9" x14ac:dyDescent="0.25">
      <c r="A1527" s="1" t="s">
        <v>1539</v>
      </c>
      <c r="B1527" t="str">
        <f>HYPERLINK("https://www.suredividend.com/sure-analysis-SWX/","Southwest Gas Holdings Inc")</f>
        <v>Southwest Gas Holdings Inc</v>
      </c>
      <c r="C1527">
        <v>-2.5184951991184999E-2</v>
      </c>
      <c r="D1527">
        <v>8.6830624300220011E-2</v>
      </c>
      <c r="E1527">
        <v>-3.0369643195443E-2</v>
      </c>
      <c r="F1527">
        <v>-2.2415153906865999E-2</v>
      </c>
      <c r="G1527">
        <v>-2.3010446673376001E-2</v>
      </c>
      <c r="H1527">
        <v>1.0979897938861E-2</v>
      </c>
      <c r="I1527">
        <v>-5.3849456188784013E-2</v>
      </c>
    </row>
    <row r="1528" spans="1:9" x14ac:dyDescent="0.25">
      <c r="A1528" s="1" t="s">
        <v>1540</v>
      </c>
      <c r="B1528" t="str">
        <f>HYPERLINK("https://www.suredividend.com/sure-analysis-research-database/","SunCoke Energy Inc")</f>
        <v>SunCoke Energy Inc</v>
      </c>
      <c r="C1528">
        <v>0.111578947368421</v>
      </c>
      <c r="D1528">
        <v>9.4595435039492012E-2</v>
      </c>
      <c r="E1528">
        <v>0.30283514693907698</v>
      </c>
      <c r="F1528">
        <v>-1.6759776536311999E-2</v>
      </c>
      <c r="G1528">
        <v>0.21003781368167701</v>
      </c>
      <c r="H1528">
        <v>0.53127809518285407</v>
      </c>
      <c r="I1528">
        <v>0.29945240878606999</v>
      </c>
    </row>
    <row r="1529" spans="1:9" x14ac:dyDescent="0.25">
      <c r="A1529" s="1" t="s">
        <v>1541</v>
      </c>
      <c r="B1529" t="str">
        <f>HYPERLINK("https://www.suredividend.com/sure-analysis-SXI/","Standex International Corp.")</f>
        <v>Standex International Corp.</v>
      </c>
      <c r="C1529">
        <v>-1.2568893668503001E-2</v>
      </c>
      <c r="D1529">
        <v>2.3197107184279998E-3</v>
      </c>
      <c r="E1529">
        <v>5.6183862695378013E-2</v>
      </c>
      <c r="F1529">
        <v>-7.2420760196994005E-2</v>
      </c>
      <c r="G1529">
        <v>0.34690722925477702</v>
      </c>
      <c r="H1529">
        <v>0.375259189223345</v>
      </c>
      <c r="I1529">
        <v>1.09854340432279</v>
      </c>
    </row>
    <row r="1530" spans="1:9" x14ac:dyDescent="0.25">
      <c r="A1530" s="1" t="s">
        <v>1542</v>
      </c>
      <c r="B1530" t="str">
        <f>HYPERLINK("https://www.suredividend.com/sure-analysis-SXT/","Sensient Technologies Corp.")</f>
        <v>Sensient Technologies Corp.</v>
      </c>
      <c r="C1530">
        <v>-1.1179341835931E-2</v>
      </c>
      <c r="D1530">
        <v>0.19029793460563699</v>
      </c>
      <c r="E1530">
        <v>-7.2501439985821009E-2</v>
      </c>
      <c r="F1530">
        <v>-4.8484848484848013E-2</v>
      </c>
      <c r="G1530">
        <v>-0.174780883299825</v>
      </c>
      <c r="H1530">
        <v>-0.30179088414620497</v>
      </c>
      <c r="I1530">
        <v>0.17059131637467101</v>
      </c>
    </row>
    <row r="1531" spans="1:9" x14ac:dyDescent="0.25">
      <c r="A1531" s="1" t="s">
        <v>1543</v>
      </c>
      <c r="B1531" t="str">
        <f>HYPERLINK("https://www.suredividend.com/sure-analysis-SYBT/","Stock Yards Bancorp Inc")</f>
        <v>Stock Yards Bancorp Inc</v>
      </c>
      <c r="C1531">
        <v>-3.3990796313752E-2</v>
      </c>
      <c r="D1531">
        <v>0.23593590180702301</v>
      </c>
      <c r="E1531">
        <v>0.109322188727505</v>
      </c>
      <c r="F1531">
        <v>-5.6612934550398002E-2</v>
      </c>
      <c r="G1531">
        <v>-0.18690409234559899</v>
      </c>
      <c r="H1531">
        <v>-0.191281994932089</v>
      </c>
      <c r="I1531">
        <v>0.64886828062838608</v>
      </c>
    </row>
    <row r="1532" spans="1:9" x14ac:dyDescent="0.25">
      <c r="A1532" s="1" t="s">
        <v>1544</v>
      </c>
      <c r="B1532" t="str">
        <f>HYPERLINK("https://www.suredividend.com/sure-analysis-research-database/","Synaptics Inc")</f>
        <v>Synaptics Inc</v>
      </c>
      <c r="C1532">
        <v>-3.4380776340109998E-2</v>
      </c>
      <c r="D1532">
        <v>0.10071639275178999</v>
      </c>
      <c r="E1532">
        <v>0.107131503655822</v>
      </c>
      <c r="F1532">
        <v>-8.4151472650771011E-2</v>
      </c>
      <c r="G1532">
        <v>-7.8659611992945008E-2</v>
      </c>
      <c r="H1532">
        <v>-0.57060660858129209</v>
      </c>
      <c r="I1532">
        <v>1.6284276729559739</v>
      </c>
    </row>
    <row r="1533" spans="1:9" x14ac:dyDescent="0.25">
      <c r="A1533" s="1" t="s">
        <v>1545</v>
      </c>
      <c r="B1533" t="str">
        <f>HYPERLINK("https://www.suredividend.com/sure-analysis-research-database/","Talos Energy Inc")</f>
        <v>Talos Energy Inc</v>
      </c>
      <c r="C1533">
        <v>1.5026296018031E-2</v>
      </c>
      <c r="D1533">
        <v>-0.14385297845373801</v>
      </c>
      <c r="E1533">
        <v>-5.1929824561403007E-2</v>
      </c>
      <c r="F1533">
        <v>-5.0597329585382003E-2</v>
      </c>
      <c r="G1533">
        <v>-0.35543893129770998</v>
      </c>
      <c r="H1533">
        <v>0.22262443438914001</v>
      </c>
      <c r="I1533">
        <v>-0.282146652497343</v>
      </c>
    </row>
    <row r="1534" spans="1:9" x14ac:dyDescent="0.25">
      <c r="A1534" s="1" t="s">
        <v>1546</v>
      </c>
      <c r="B1534" t="str">
        <f>HYPERLINK("https://www.suredividend.com/sure-analysis-research-database/","Tarsus Pharmaceuticals Inc")</f>
        <v>Tarsus Pharmaceuticals Inc</v>
      </c>
      <c r="C1534">
        <v>0.192017259978425</v>
      </c>
      <c r="D1534">
        <v>0.70261941448382104</v>
      </c>
      <c r="E1534">
        <v>0.260695949800342</v>
      </c>
      <c r="F1534">
        <v>9.1358024691358009E-2</v>
      </c>
      <c r="G1534">
        <v>0.51994497936726203</v>
      </c>
      <c r="H1534">
        <v>2.3148148148148001E-2</v>
      </c>
      <c r="I1534">
        <v>7.3858114674441006E-2</v>
      </c>
    </row>
    <row r="1535" spans="1:9" x14ac:dyDescent="0.25">
      <c r="A1535" s="1" t="s">
        <v>1547</v>
      </c>
      <c r="B1535" t="str">
        <f>HYPERLINK("https://www.suredividend.com/sure-analysis-research-database/","Bancorp Inc. (The)")</f>
        <v>Bancorp Inc. (The)</v>
      </c>
      <c r="C1535">
        <v>-4.2484472049689012E-2</v>
      </c>
      <c r="D1535">
        <v>0.14429928741092601</v>
      </c>
      <c r="E1535">
        <v>6.7590027700831001E-2</v>
      </c>
      <c r="F1535">
        <v>-5.1867219917000002E-4</v>
      </c>
      <c r="G1535">
        <v>0.273207796498182</v>
      </c>
      <c r="H1535">
        <v>0.245234248788368</v>
      </c>
      <c r="I1535">
        <v>3.5448113207547158</v>
      </c>
    </row>
    <row r="1536" spans="1:9" x14ac:dyDescent="0.25">
      <c r="A1536" s="1" t="s">
        <v>1548</v>
      </c>
      <c r="B1536" t="str">
        <f>HYPERLINK("https://www.suredividend.com/sure-analysis-research-database/","TrueBlue Inc")</f>
        <v>TrueBlue Inc</v>
      </c>
      <c r="C1536">
        <v>-7.0954907161802999E-2</v>
      </c>
      <c r="D1536">
        <v>-4.0410958904109E-2</v>
      </c>
      <c r="E1536">
        <v>-0.21600447677671999</v>
      </c>
      <c r="F1536">
        <v>-8.6701434159061008E-2</v>
      </c>
      <c r="G1536">
        <v>-0.31625183016105402</v>
      </c>
      <c r="H1536">
        <v>-0.50564573041637206</v>
      </c>
      <c r="I1536">
        <v>-0.41084945332211897</v>
      </c>
    </row>
    <row r="1537" spans="1:9" x14ac:dyDescent="0.25">
      <c r="A1537" s="1" t="s">
        <v>1549</v>
      </c>
      <c r="B1537" t="str">
        <f>HYPERLINK("https://www.suredividend.com/sure-analysis-research-database/","Theravance Biopharma Inc")</f>
        <v>Theravance Biopharma Inc</v>
      </c>
      <c r="C1537">
        <v>-0.10717529518619399</v>
      </c>
      <c r="D1537">
        <v>8.4988962472406004E-2</v>
      </c>
      <c r="E1537">
        <v>-2.0304568527910001E-3</v>
      </c>
      <c r="F1537">
        <v>-0.12544483985765101</v>
      </c>
      <c r="G1537">
        <v>-0.13008849557522101</v>
      </c>
      <c r="H1537">
        <v>1.6546018614269999E-2</v>
      </c>
      <c r="I1537">
        <v>-0.6379373848987101</v>
      </c>
    </row>
    <row r="1538" spans="1:9" x14ac:dyDescent="0.25">
      <c r="A1538" s="1" t="s">
        <v>1550</v>
      </c>
      <c r="B1538" t="str">
        <f>HYPERLINK("https://www.suredividend.com/sure-analysis-research-database/","Texas Capital Bancshares, Inc.")</f>
        <v>Texas Capital Bancshares, Inc.</v>
      </c>
      <c r="C1538">
        <v>4.4218254630402007E-2</v>
      </c>
      <c r="D1538">
        <v>9.1004184100418009E-2</v>
      </c>
      <c r="E1538">
        <v>0.10079155672823201</v>
      </c>
      <c r="F1538">
        <v>-3.1719015936871001E-2</v>
      </c>
      <c r="G1538">
        <v>2.0816653322650001E-3</v>
      </c>
      <c r="H1538">
        <v>-5.0667475728155012E-2</v>
      </c>
      <c r="I1538">
        <v>0.15461254612546099</v>
      </c>
    </row>
    <row r="1539" spans="1:9" x14ac:dyDescent="0.25">
      <c r="A1539" s="1" t="s">
        <v>1551</v>
      </c>
      <c r="B1539" t="str">
        <f>HYPERLINK("https://www.suredividend.com/sure-analysis-research-database/","Trico Bancshares")</f>
        <v>Trico Bancshares</v>
      </c>
      <c r="C1539">
        <v>-3.3931168201648002E-2</v>
      </c>
      <c r="D1539">
        <v>0.28960037270938999</v>
      </c>
      <c r="E1539">
        <v>0.17335028892205401</v>
      </c>
      <c r="F1539">
        <v>-7.2376076332323999E-2</v>
      </c>
      <c r="G1539">
        <v>-0.15907350406433701</v>
      </c>
      <c r="H1539">
        <v>-3.1016703171682002E-2</v>
      </c>
      <c r="I1539">
        <v>0.33529417676400503</v>
      </c>
    </row>
    <row r="1540" spans="1:9" x14ac:dyDescent="0.25">
      <c r="A1540" s="1" t="s">
        <v>1552</v>
      </c>
      <c r="B1540" t="str">
        <f>HYPERLINK("https://www.suredividend.com/sure-analysis-research-database/","Third Coast Bancshares Inc")</f>
        <v>Third Coast Bancshares Inc</v>
      </c>
      <c r="C1540">
        <v>-2.7565084226646001E-2</v>
      </c>
      <c r="D1540">
        <v>0.15314769975786899</v>
      </c>
      <c r="E1540">
        <v>0.16158536585365799</v>
      </c>
      <c r="F1540">
        <v>-4.1268243583291002E-2</v>
      </c>
      <c r="G1540">
        <v>1.3837147418838999E-2</v>
      </c>
      <c r="H1540">
        <v>-0.23921725239616601</v>
      </c>
      <c r="I1540">
        <v>-0.238304678128748</v>
      </c>
    </row>
    <row r="1541" spans="1:9" x14ac:dyDescent="0.25">
      <c r="A1541" s="1" t="s">
        <v>1553</v>
      </c>
      <c r="B1541" t="str">
        <f>HYPERLINK("https://www.suredividend.com/sure-analysis-research-database/","Transcontinental Realty Investors, Inc.")</f>
        <v>Transcontinental Realty Investors, Inc.</v>
      </c>
      <c r="C1541">
        <v>0.240200689871432</v>
      </c>
      <c r="D1541">
        <v>0.43765903307887999</v>
      </c>
      <c r="E1541">
        <v>0.10320781032078</v>
      </c>
      <c r="F1541">
        <v>0.14438657407407299</v>
      </c>
      <c r="G1541">
        <v>-0.15743502343417101</v>
      </c>
      <c r="H1541">
        <v>-1.7391304347826E-2</v>
      </c>
      <c r="I1541">
        <v>0.18947368421052599</v>
      </c>
    </row>
    <row r="1542" spans="1:9" x14ac:dyDescent="0.25">
      <c r="A1542" s="1" t="s">
        <v>1554</v>
      </c>
      <c r="B1542" t="str">
        <f>HYPERLINK("https://www.suredividend.com/sure-analysis-research-database/","Tactile Systems Technology Inc")</f>
        <v>Tactile Systems Technology Inc</v>
      </c>
      <c r="C1542">
        <v>5.4612546125461008E-2</v>
      </c>
      <c r="D1542">
        <v>0.28161434977578398</v>
      </c>
      <c r="E1542">
        <v>-0.43203497615262298</v>
      </c>
      <c r="F1542">
        <v>-6.993006993000001E-4</v>
      </c>
      <c r="G1542">
        <v>7.9305135951661013E-2</v>
      </c>
      <c r="H1542">
        <v>-0.21223814773980099</v>
      </c>
      <c r="I1542">
        <v>-0.76999839047159102</v>
      </c>
    </row>
    <row r="1543" spans="1:9" x14ac:dyDescent="0.25">
      <c r="A1543" s="1" t="s">
        <v>1555</v>
      </c>
      <c r="B1543" t="str">
        <f>HYPERLINK("https://www.suredividend.com/sure-analysis-research-database/","Container Store Group Inc")</f>
        <v>Container Store Group Inc</v>
      </c>
      <c r="C1543">
        <v>-0.123076923076923</v>
      </c>
      <c r="D1543">
        <v>-0.15763546798029501</v>
      </c>
      <c r="E1543">
        <v>-0.47546012269938598</v>
      </c>
      <c r="F1543">
        <v>-0.25</v>
      </c>
      <c r="G1543">
        <v>-0.67366412213740401</v>
      </c>
      <c r="H1543">
        <v>-0.84048507462686506</v>
      </c>
      <c r="I1543">
        <v>-0.70819112627986303</v>
      </c>
    </row>
    <row r="1544" spans="1:9" x14ac:dyDescent="0.25">
      <c r="A1544" s="1" t="s">
        <v>1556</v>
      </c>
      <c r="B1544" t="str">
        <f>HYPERLINK("https://www.suredividend.com/sure-analysis-research-database/","Tucows, Inc.")</f>
        <v>Tucows, Inc.</v>
      </c>
      <c r="C1544">
        <v>-0.114239742558326</v>
      </c>
      <c r="D1544">
        <v>9.0638930163447012E-2</v>
      </c>
      <c r="E1544">
        <v>-0.26329876212780201</v>
      </c>
      <c r="F1544">
        <v>-0.18444444444444399</v>
      </c>
      <c r="G1544">
        <v>-0.35951134380453698</v>
      </c>
      <c r="H1544">
        <v>-0.72457786116322709</v>
      </c>
      <c r="I1544">
        <v>-0.65539906103286305</v>
      </c>
    </row>
    <row r="1545" spans="1:9" x14ac:dyDescent="0.25">
      <c r="A1545" s="1" t="s">
        <v>1557</v>
      </c>
      <c r="B1545" t="str">
        <f>HYPERLINK("https://www.suredividend.com/sure-analysis-TDS/","Telephone And Data Systems, Inc.")</f>
        <v>Telephone And Data Systems, Inc.</v>
      </c>
      <c r="C1545">
        <v>-1.3720742534302E-2</v>
      </c>
      <c r="D1545">
        <v>3.5370937312893001E-2</v>
      </c>
      <c r="E1545">
        <v>1.2984902442694479</v>
      </c>
      <c r="F1545">
        <v>-1.0899182561300001E-3</v>
      </c>
      <c r="G1545">
        <v>0.70759427634520711</v>
      </c>
      <c r="H1545">
        <v>1.469696390228E-3</v>
      </c>
      <c r="I1545">
        <v>-0.38786346650280601</v>
      </c>
    </row>
    <row r="1546" spans="1:9" x14ac:dyDescent="0.25">
      <c r="A1546" s="1" t="s">
        <v>1558</v>
      </c>
      <c r="B1546" t="str">
        <f>HYPERLINK("https://www.suredividend.com/sure-analysis-research-database/","ThredUp Inc")</f>
        <v>ThredUp Inc</v>
      </c>
      <c r="C1546">
        <v>-0.16935483870967699</v>
      </c>
      <c r="D1546">
        <v>-0.32236842105263103</v>
      </c>
      <c r="E1546">
        <v>-0.192156862745097</v>
      </c>
      <c r="F1546">
        <v>-8.4444444444444003E-2</v>
      </c>
      <c r="G1546">
        <v>6.1855670103092002E-2</v>
      </c>
      <c r="H1546">
        <v>-0.81066176470588203</v>
      </c>
      <c r="I1546">
        <v>-0.89700000000000002</v>
      </c>
    </row>
    <row r="1547" spans="1:9" x14ac:dyDescent="0.25">
      <c r="A1547" s="1" t="s">
        <v>1559</v>
      </c>
      <c r="B1547" t="str">
        <f>HYPERLINK("https://www.suredividend.com/sure-analysis-research-database/","Tidewater Inc.")</f>
        <v>Tidewater Inc.</v>
      </c>
      <c r="C1547">
        <v>0.119441131368206</v>
      </c>
      <c r="D1547">
        <v>-5.3723174420278998E-2</v>
      </c>
      <c r="E1547">
        <v>0.101424979044425</v>
      </c>
      <c r="F1547">
        <v>-8.8891970600471007E-2</v>
      </c>
      <c r="G1547">
        <v>0.68245838668373904</v>
      </c>
      <c r="H1547">
        <v>4.3501628664495122</v>
      </c>
      <c r="I1547">
        <v>2.0657956136257578</v>
      </c>
    </row>
    <row r="1548" spans="1:9" x14ac:dyDescent="0.25">
      <c r="A1548" s="1" t="s">
        <v>1560</v>
      </c>
      <c r="B1548" t="str">
        <f>HYPERLINK("https://www.suredividend.com/sure-analysis-research-database/","Tellurian Inc")</f>
        <v>Tellurian Inc</v>
      </c>
      <c r="C1548">
        <v>4.6841294298920998E-2</v>
      </c>
      <c r="D1548">
        <v>-0.230577576443941</v>
      </c>
      <c r="E1548">
        <v>-0.54402684563758308</v>
      </c>
      <c r="F1548">
        <v>-0.10084700899946999</v>
      </c>
      <c r="G1548">
        <v>-0.66199004975124309</v>
      </c>
      <c r="H1548">
        <v>-0.77941558441558401</v>
      </c>
      <c r="I1548">
        <v>-0.91048748353096109</v>
      </c>
    </row>
    <row r="1549" spans="1:9" x14ac:dyDescent="0.25">
      <c r="A1549" s="1" t="s">
        <v>1561</v>
      </c>
      <c r="B1549" t="str">
        <f>HYPERLINK("https://www.suredividend.com/sure-analysis-research-database/","Tenable Holdings Inc")</f>
        <v>Tenable Holdings Inc</v>
      </c>
      <c r="C1549">
        <v>0.12101000476417299</v>
      </c>
      <c r="D1549">
        <v>9.9019149929939002E-2</v>
      </c>
      <c r="E1549">
        <v>9.1626072836928002E-2</v>
      </c>
      <c r="F1549">
        <v>2.1710811984368E-2</v>
      </c>
      <c r="G1549">
        <v>0.27086146367809799</v>
      </c>
      <c r="H1549">
        <v>-6.5528196981730999E-2</v>
      </c>
      <c r="I1549">
        <v>0.92710892710892712</v>
      </c>
    </row>
    <row r="1550" spans="1:9" x14ac:dyDescent="0.25">
      <c r="A1550" s="1" t="s">
        <v>1562</v>
      </c>
      <c r="B1550" t="str">
        <f>HYPERLINK("https://www.suredividend.com/sure-analysis-research-database/","Terex Corp.")</f>
        <v>Terex Corp.</v>
      </c>
      <c r="C1550">
        <v>8.4392186611037007E-2</v>
      </c>
      <c r="D1550">
        <v>8.186448502645001E-2</v>
      </c>
      <c r="E1550">
        <v>-9.0806460076100007E-2</v>
      </c>
      <c r="F1550">
        <v>-4.8729550991990006E-3</v>
      </c>
      <c r="G1550">
        <v>0.200887119131026</v>
      </c>
      <c r="H1550">
        <v>0.250194044633545</v>
      </c>
      <c r="I1550">
        <v>1.0311167945439039</v>
      </c>
    </row>
    <row r="1551" spans="1:9" x14ac:dyDescent="0.25">
      <c r="A1551" s="1" t="s">
        <v>1563</v>
      </c>
      <c r="B1551" t="str">
        <f>HYPERLINK("https://www.suredividend.com/sure-analysis-research-database/","Triumph Financial Inc")</f>
        <v>Triumph Financial Inc</v>
      </c>
      <c r="C1551">
        <v>5.3612116338290008E-3</v>
      </c>
      <c r="D1551">
        <v>0.26067226890756301</v>
      </c>
      <c r="E1551">
        <v>0.13893106589735801</v>
      </c>
      <c r="F1551">
        <v>-6.4479920179595002E-2</v>
      </c>
      <c r="G1551">
        <v>0.44472265023112412</v>
      </c>
      <c r="H1551">
        <v>-0.36367492365116999</v>
      </c>
      <c r="I1551">
        <v>1.4489063010120791</v>
      </c>
    </row>
    <row r="1552" spans="1:9" x14ac:dyDescent="0.25">
      <c r="A1552" s="1" t="s">
        <v>1564</v>
      </c>
      <c r="B1552" t="str">
        <f>HYPERLINK("https://www.suredividend.com/sure-analysis-research-database/","Fresh Market Holdings Inc (The)")</f>
        <v>Fresh Market Holdings Inc (The)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25">
      <c r="A1553" s="1" t="s">
        <v>1565</v>
      </c>
      <c r="B1553" t="str">
        <f>HYPERLINK("https://www.suredividend.com/sure-analysis-research-database/","Tredegar Corp.")</f>
        <v>Tredegar Corp.</v>
      </c>
      <c r="C1553">
        <v>8.8421052631578012E-2</v>
      </c>
      <c r="D1553">
        <v>-5.7692307692300002E-3</v>
      </c>
      <c r="E1553">
        <v>-0.22255639097744301</v>
      </c>
      <c r="F1553">
        <v>-4.4362292051756007E-2</v>
      </c>
      <c r="G1553">
        <v>-0.54617275280898803</v>
      </c>
      <c r="H1553">
        <v>-0.53948247450229303</v>
      </c>
      <c r="I1553">
        <v>-0.48735237830816303</v>
      </c>
    </row>
    <row r="1554" spans="1:9" x14ac:dyDescent="0.25">
      <c r="A1554" s="1" t="s">
        <v>1566</v>
      </c>
      <c r="B1554" t="str">
        <f>HYPERLINK("https://www.suredividend.com/sure-analysis-research-database/","Transphorm Inc")</f>
        <v>Transphorm Inc</v>
      </c>
      <c r="C1554">
        <v>0.59468438538205903</v>
      </c>
      <c r="D1554">
        <v>1.2222222222222221</v>
      </c>
      <c r="E1554">
        <v>0.54340836012861704</v>
      </c>
      <c r="F1554">
        <v>0.31506849315068403</v>
      </c>
      <c r="G1554">
        <v>-1.2345679012345E-2</v>
      </c>
      <c r="H1554">
        <v>-0.30635838150289002</v>
      </c>
      <c r="I1554">
        <v>-0.30635838150289002</v>
      </c>
    </row>
    <row r="1555" spans="1:9" x14ac:dyDescent="0.25">
      <c r="A1555" s="1" t="s">
        <v>1567</v>
      </c>
      <c r="B1555" t="str">
        <f>HYPERLINK("https://www.suredividend.com/sure-analysis-research-database/","Textainer Group Holdings Limited")</f>
        <v>Textainer Group Holdings Limited</v>
      </c>
      <c r="C1555">
        <v>3.0432136335959998E-3</v>
      </c>
      <c r="D1555">
        <v>0.39218192979393202</v>
      </c>
      <c r="E1555">
        <v>0.25575618416741303</v>
      </c>
      <c r="F1555">
        <v>4.878048780487E-3</v>
      </c>
      <c r="G1555">
        <v>0.5456665687077551</v>
      </c>
      <c r="H1555">
        <v>0.35124424340981403</v>
      </c>
      <c r="I1555">
        <v>3.3896332205737418</v>
      </c>
    </row>
    <row r="1556" spans="1:9" x14ac:dyDescent="0.25">
      <c r="A1556" s="1" t="s">
        <v>1568</v>
      </c>
      <c r="B1556" t="str">
        <f>HYPERLINK("https://www.suredividend.com/sure-analysis-research-database/","Triumph Group Inc.")</f>
        <v>Triumph Group Inc.</v>
      </c>
      <c r="C1556">
        <v>0.29406779661016902</v>
      </c>
      <c r="D1556">
        <v>1.129707112970711</v>
      </c>
      <c r="E1556">
        <v>0.242473555736371</v>
      </c>
      <c r="F1556">
        <v>-7.9010856453558001E-2</v>
      </c>
      <c r="G1556">
        <v>0.50295275590551103</v>
      </c>
      <c r="H1556">
        <v>-0.27320323655402201</v>
      </c>
      <c r="I1556">
        <v>0.11917326297273501</v>
      </c>
    </row>
    <row r="1557" spans="1:9" x14ac:dyDescent="0.25">
      <c r="A1557" s="1" t="s">
        <v>1569</v>
      </c>
      <c r="B1557" t="str">
        <f>HYPERLINK("https://www.suredividend.com/sure-analysis-research-database/","TEGNA Inc")</f>
        <v>TEGNA Inc</v>
      </c>
      <c r="C1557">
        <v>2.5049439683586E-2</v>
      </c>
      <c r="D1557">
        <v>0.10440340909090901</v>
      </c>
      <c r="E1557">
        <v>-4.4358952297840003E-2</v>
      </c>
      <c r="F1557">
        <v>1.6339869281045E-2</v>
      </c>
      <c r="G1557">
        <v>-0.21802711509836201</v>
      </c>
      <c r="H1557">
        <v>-0.16134982229245401</v>
      </c>
      <c r="I1557">
        <v>0.46875472268399498</v>
      </c>
    </row>
    <row r="1558" spans="1:9" x14ac:dyDescent="0.25">
      <c r="A1558" s="1" t="s">
        <v>1570</v>
      </c>
      <c r="B1558" t="str">
        <f>HYPERLINK("https://www.suredividend.com/sure-analysis-research-database/","TG Therapeutics Inc")</f>
        <v>TG Therapeutics Inc</v>
      </c>
      <c r="C1558">
        <v>-5.5122828040742998E-2</v>
      </c>
      <c r="D1558">
        <v>1.3572496263079219</v>
      </c>
      <c r="E1558">
        <v>-0.27494252873563202</v>
      </c>
      <c r="F1558">
        <v>-7.6697892271662002E-2</v>
      </c>
      <c r="G1558">
        <v>0.15700660308143699</v>
      </c>
      <c r="H1558">
        <v>2.3361453601556999E-2</v>
      </c>
      <c r="I1558">
        <v>2.2650103519668732</v>
      </c>
    </row>
    <row r="1559" spans="1:9" x14ac:dyDescent="0.25">
      <c r="A1559" s="1" t="s">
        <v>1571</v>
      </c>
      <c r="B1559" t="str">
        <f>HYPERLINK("https://www.suredividend.com/sure-analysis-research-database/","Target Hospitality Corp")</f>
        <v>Target Hospitality Corp</v>
      </c>
      <c r="C1559">
        <v>-6.7608476286579011E-2</v>
      </c>
      <c r="D1559">
        <v>-0.38152610441766999</v>
      </c>
      <c r="E1559">
        <v>-0.28593508500772702</v>
      </c>
      <c r="F1559">
        <v>-5.0359712230215001E-2</v>
      </c>
      <c r="G1559">
        <v>-0.48666666666666603</v>
      </c>
      <c r="H1559">
        <v>1.7096774193548381</v>
      </c>
      <c r="I1559">
        <v>-8.5148514851485002E-2</v>
      </c>
    </row>
    <row r="1560" spans="1:9" x14ac:dyDescent="0.25">
      <c r="A1560" s="1" t="s">
        <v>1572</v>
      </c>
      <c r="B1560" t="str">
        <f>HYPERLINK("https://www.suredividend.com/sure-analysis-THFF/","First Financial Corp. - Indiana")</f>
        <v>First Financial Corp. - Indiana</v>
      </c>
      <c r="C1560">
        <v>-2.1428622912457E-2</v>
      </c>
      <c r="D1560">
        <v>0.25664109984635203</v>
      </c>
      <c r="E1560">
        <v>0.21655445970406001</v>
      </c>
      <c r="F1560">
        <v>-5.3451080641412997E-2</v>
      </c>
      <c r="G1560">
        <v>-6.8572970550166007E-2</v>
      </c>
      <c r="H1560">
        <v>-3.5583716921444013E-2</v>
      </c>
      <c r="I1560">
        <v>0.21550159957981099</v>
      </c>
    </row>
    <row r="1561" spans="1:9" x14ac:dyDescent="0.25">
      <c r="A1561" s="1" t="s">
        <v>1573</v>
      </c>
      <c r="B1561" t="str">
        <f>HYPERLINK("https://www.suredividend.com/sure-analysis-research-database/","Thermon Group Holdings Inc")</f>
        <v>Thermon Group Holdings Inc</v>
      </c>
      <c r="C1561">
        <v>-7.9795722949240009E-3</v>
      </c>
      <c r="D1561">
        <v>0.14432989690721601</v>
      </c>
      <c r="E1561">
        <v>0.13596491228070101</v>
      </c>
      <c r="F1561">
        <v>-4.5747620509671003E-2</v>
      </c>
      <c r="G1561">
        <v>0.41272727272727211</v>
      </c>
      <c r="H1561">
        <v>0.79445727482678907</v>
      </c>
      <c r="I1561">
        <v>0.36916299559471311</v>
      </c>
    </row>
    <row r="1562" spans="1:9" x14ac:dyDescent="0.25">
      <c r="A1562" s="1" t="s">
        <v>1574</v>
      </c>
      <c r="B1562" t="str">
        <f>HYPERLINK("https://www.suredividend.com/sure-analysis-research-database/","Third Harmonic Bio Inc")</f>
        <v>Third Harmonic Bio Inc</v>
      </c>
      <c r="C1562">
        <v>-3.7664783427489999E-3</v>
      </c>
      <c r="D1562">
        <v>0.56973293768545907</v>
      </c>
      <c r="E1562">
        <v>0.96654275092936803</v>
      </c>
      <c r="F1562">
        <v>-3.5551504102096003E-2</v>
      </c>
      <c r="G1562">
        <v>1.4045454545454541</v>
      </c>
      <c r="H1562">
        <v>-0.46239837398373901</v>
      </c>
      <c r="I1562">
        <v>-0.46239837398373901</v>
      </c>
    </row>
    <row r="1563" spans="1:9" x14ac:dyDescent="0.25">
      <c r="A1563" s="1" t="s">
        <v>1575</v>
      </c>
      <c r="B1563" t="str">
        <f>HYPERLINK("https://www.suredividend.com/sure-analysis-research-database/","Gentherm Inc")</f>
        <v>Gentherm Inc</v>
      </c>
      <c r="C1563">
        <v>2.0964360586999999E-3</v>
      </c>
      <c r="D1563">
        <v>-0.106542056074766</v>
      </c>
      <c r="E1563">
        <v>-0.136404697380307</v>
      </c>
      <c r="F1563">
        <v>-8.7089381207028013E-2</v>
      </c>
      <c r="G1563">
        <v>-0.33601889151271003</v>
      </c>
      <c r="H1563">
        <v>-0.50706404042487307</v>
      </c>
      <c r="I1563">
        <v>0.12285647169368</v>
      </c>
    </row>
    <row r="1564" spans="1:9" x14ac:dyDescent="0.25">
      <c r="A1564" s="1" t="s">
        <v>1576</v>
      </c>
      <c r="B1564" t="str">
        <f>HYPERLINK("https://www.suredividend.com/sure-analysis-research-database/","Thorne Healthtech Inc")</f>
        <v>Thorne Healthtech Inc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 s="1" t="s">
        <v>1577</v>
      </c>
      <c r="B1565" t="str">
        <f>HYPERLINK("https://www.suredividend.com/sure-analysis-research-database/","Theseus Pharmaceuticals Inc")</f>
        <v>Theseus Pharmaceuticals Inc</v>
      </c>
      <c r="C1565">
        <v>6.3324538258575008E-2</v>
      </c>
      <c r="D1565">
        <v>0.71489361702127607</v>
      </c>
      <c r="E1565">
        <v>-0.57668067226890707</v>
      </c>
      <c r="F1565">
        <v>-4.938271604938E-3</v>
      </c>
      <c r="G1565">
        <v>-0.58020833333333299</v>
      </c>
      <c r="H1565">
        <v>-0.57668067226890707</v>
      </c>
      <c r="I1565">
        <v>-0.78310010764262605</v>
      </c>
    </row>
    <row r="1566" spans="1:9" x14ac:dyDescent="0.25">
      <c r="A1566" s="1" t="s">
        <v>1578</v>
      </c>
      <c r="B1566" t="str">
        <f>HYPERLINK("https://www.suredividend.com/sure-analysis-research-database/","Thryv Holdings Inc")</f>
        <v>Thryv Holdings Inc</v>
      </c>
      <c r="C1566">
        <v>-1.8967334035827E-2</v>
      </c>
      <c r="D1566">
        <v>1.1406844106462999E-2</v>
      </c>
      <c r="E1566">
        <v>-0.25280898876404501</v>
      </c>
      <c r="F1566">
        <v>-8.5012285012285013E-2</v>
      </c>
      <c r="G1566">
        <v>-6.7134268537074007E-2</v>
      </c>
      <c r="H1566">
        <v>-0.44084084084084002</v>
      </c>
      <c r="I1566">
        <v>0.68126410835214402</v>
      </c>
    </row>
    <row r="1567" spans="1:9" x14ac:dyDescent="0.25">
      <c r="A1567" s="1" t="s">
        <v>1579</v>
      </c>
      <c r="B1567" t="str">
        <f>HYPERLINK("https://www.suredividend.com/sure-analysis-research-database/","Treehouse Foods Inc")</f>
        <v>Treehouse Foods Inc</v>
      </c>
      <c r="C1567">
        <v>-3.1919850885368001E-2</v>
      </c>
      <c r="D1567">
        <v>3.1529294935451001E-2</v>
      </c>
      <c r="E1567">
        <v>-0.18192557590076699</v>
      </c>
      <c r="F1567">
        <v>2.4125452352229998E-3</v>
      </c>
      <c r="G1567">
        <v>-0.162129461584997</v>
      </c>
      <c r="H1567">
        <v>-3.7526059763724001E-2</v>
      </c>
      <c r="I1567">
        <v>-0.27309307207837602</v>
      </c>
    </row>
    <row r="1568" spans="1:9" x14ac:dyDescent="0.25">
      <c r="A1568" s="1" t="s">
        <v>1580</v>
      </c>
      <c r="B1568" t="str">
        <f>HYPERLINK("https://www.suredividend.com/sure-analysis-research-database/","Instil Bio Inc")</f>
        <v>Instil Bio Inc</v>
      </c>
      <c r="C1568">
        <v>0.18224299065420499</v>
      </c>
      <c r="D1568">
        <v>2.8455284552845E-2</v>
      </c>
      <c r="E1568">
        <v>-0.37272727272727202</v>
      </c>
      <c r="F1568">
        <v>-3.9370078740150003E-3</v>
      </c>
      <c r="G1568">
        <v>-0.51364859669357898</v>
      </c>
      <c r="H1568">
        <v>-0.97201327433628304</v>
      </c>
      <c r="I1568">
        <v>-0.98564674735249602</v>
      </c>
    </row>
    <row r="1569" spans="1:9" x14ac:dyDescent="0.25">
      <c r="A1569" s="1" t="s">
        <v>1581</v>
      </c>
      <c r="B1569" t="str">
        <f>HYPERLINK("https://www.suredividend.com/sure-analysis-research-database/","Interface Inc.")</f>
        <v>Interface Inc.</v>
      </c>
      <c r="C1569">
        <v>4.6046915725456002E-2</v>
      </c>
      <c r="D1569">
        <v>0.30139651519737098</v>
      </c>
      <c r="E1569">
        <v>0.31243323377444399</v>
      </c>
      <c r="F1569">
        <v>-4.5958795562599013E-2</v>
      </c>
      <c r="G1569">
        <v>0.100437798758808</v>
      </c>
      <c r="H1569">
        <v>-0.194611118915266</v>
      </c>
      <c r="I1569">
        <v>-0.19401806095740401</v>
      </c>
    </row>
    <row r="1570" spans="1:9" x14ac:dyDescent="0.25">
      <c r="A1570" s="1" t="s">
        <v>1582</v>
      </c>
      <c r="B1570" t="str">
        <f>HYPERLINK("https://www.suredividend.com/sure-analysis-research-database/","Tiptree Inc")</f>
        <v>Tiptree Inc</v>
      </c>
      <c r="C1570">
        <v>6.819364914107201E-2</v>
      </c>
      <c r="D1570">
        <v>0.310445244846348</v>
      </c>
      <c r="E1570">
        <v>0.42692238154179901</v>
      </c>
      <c r="F1570">
        <v>8.2278481012658E-2</v>
      </c>
      <c r="G1570">
        <v>0.36788145027430902</v>
      </c>
      <c r="H1570">
        <v>0.52874214023899602</v>
      </c>
      <c r="I1570">
        <v>3.0068733890494408</v>
      </c>
    </row>
    <row r="1571" spans="1:9" x14ac:dyDescent="0.25">
      <c r="A1571" s="1" t="s">
        <v>1583</v>
      </c>
      <c r="B1571" t="str">
        <f>HYPERLINK("https://www.suredividend.com/sure-analysis-research-database/","Titan Machinery Inc")</f>
        <v>Titan Machinery Inc</v>
      </c>
      <c r="C1571">
        <v>4.5662100456619996E-3</v>
      </c>
      <c r="D1571">
        <v>3.0847325263567999E-2</v>
      </c>
      <c r="E1571">
        <v>-0.14230019493177301</v>
      </c>
      <c r="F1571">
        <v>-8.5872576177285012E-2</v>
      </c>
      <c r="G1571">
        <v>-0.38461538461538403</v>
      </c>
      <c r="H1571">
        <v>-0.21684959952536301</v>
      </c>
      <c r="I1571">
        <v>0.57330154946364709</v>
      </c>
    </row>
    <row r="1572" spans="1:9" x14ac:dyDescent="0.25">
      <c r="A1572" s="1" t="s">
        <v>1584</v>
      </c>
      <c r="B1572" t="str">
        <f>HYPERLINK("https://www.suredividend.com/sure-analysis-research-database/","Teekay Corp")</f>
        <v>Teekay Corp</v>
      </c>
      <c r="C1572">
        <v>0.205663189269746</v>
      </c>
      <c r="D1572">
        <v>0.235114503816793</v>
      </c>
      <c r="E1572">
        <v>0.191458026509572</v>
      </c>
      <c r="F1572">
        <v>0.13146853146853099</v>
      </c>
      <c r="G1572">
        <v>0.77024070021881808</v>
      </c>
      <c r="H1572">
        <v>1.3048433048433039</v>
      </c>
      <c r="I1572">
        <v>1.257380434176014</v>
      </c>
    </row>
    <row r="1573" spans="1:9" x14ac:dyDescent="0.25">
      <c r="A1573" s="1" t="s">
        <v>1585</v>
      </c>
      <c r="B1573" t="str">
        <f>HYPERLINK("https://www.suredividend.com/sure-analysis-research-database/","Alpha Teknova Inc")</f>
        <v>Alpha Teknova Inc</v>
      </c>
      <c r="C1573">
        <v>-0.12027027027027</v>
      </c>
      <c r="D1573">
        <v>0.64393939393939303</v>
      </c>
      <c r="E1573">
        <v>-2.5449101796407001E-2</v>
      </c>
      <c r="F1573">
        <v>-0.12734584450402101</v>
      </c>
      <c r="G1573">
        <v>-0.45109612141652611</v>
      </c>
      <c r="H1573">
        <v>-0.79398734177215102</v>
      </c>
      <c r="I1573">
        <v>-0.86980000000000002</v>
      </c>
    </row>
    <row r="1574" spans="1:9" x14ac:dyDescent="0.25">
      <c r="A1574" s="1" t="s">
        <v>1586</v>
      </c>
      <c r="B1574" t="str">
        <f>HYPERLINK("https://www.suredividend.com/sure-analysis-research-database/","Telos Corp")</f>
        <v>Telos Corp</v>
      </c>
      <c r="C1574">
        <v>0.18020304568527901</v>
      </c>
      <c r="D1574">
        <v>0.96202531645569611</v>
      </c>
      <c r="E1574">
        <v>0.76136363636363602</v>
      </c>
      <c r="F1574">
        <v>0.27397260273972601</v>
      </c>
      <c r="G1574">
        <v>-9.1796875E-2</v>
      </c>
      <c r="H1574">
        <v>-0.66997870830376105</v>
      </c>
      <c r="I1574">
        <v>-0.77082306554953106</v>
      </c>
    </row>
    <row r="1575" spans="1:9" x14ac:dyDescent="0.25">
      <c r="A1575" s="1" t="s">
        <v>1587</v>
      </c>
      <c r="B1575" t="str">
        <f>HYPERLINK("https://www.suredividend.com/sure-analysis-research-database/","Tillys Inc")</f>
        <v>Tillys Inc</v>
      </c>
      <c r="C1575">
        <v>-1.3333333333332999E-2</v>
      </c>
      <c r="D1575">
        <v>-8.6419753086419013E-2</v>
      </c>
      <c r="E1575">
        <v>-2.3746701846965E-2</v>
      </c>
      <c r="F1575">
        <v>-1.8567639257293999E-2</v>
      </c>
      <c r="G1575">
        <v>-0.14844649021864101</v>
      </c>
      <c r="H1575">
        <v>-0.45144551519644099</v>
      </c>
      <c r="I1575">
        <v>-0.135463520065424</v>
      </c>
    </row>
    <row r="1576" spans="1:9" x14ac:dyDescent="0.25">
      <c r="A1576" s="1" t="s">
        <v>1588</v>
      </c>
      <c r="B1576" t="str">
        <f>HYPERLINK("https://www.suredividend.com/sure-analysis-research-database/","Treace Medical Concepts Inc")</f>
        <v>Treace Medical Concepts Inc</v>
      </c>
      <c r="C1576">
        <v>0.33578947368421003</v>
      </c>
      <c r="D1576">
        <v>0.25519287833827797</v>
      </c>
      <c r="E1576">
        <v>-0.48498376623376599</v>
      </c>
      <c r="F1576">
        <v>-4.705882352941E-3</v>
      </c>
      <c r="G1576">
        <v>-0.51079414032382409</v>
      </c>
      <c r="H1576">
        <v>-0.37976539589442798</v>
      </c>
      <c r="I1576">
        <v>-0.50293772032902406</v>
      </c>
    </row>
    <row r="1577" spans="1:9" x14ac:dyDescent="0.25">
      <c r="A1577" s="1" t="s">
        <v>1589</v>
      </c>
      <c r="B1577" t="str">
        <f>HYPERLINK("https://www.suredividend.com/sure-analysis-research-database/","Transmedics Group Inc")</f>
        <v>Transmedics Group Inc</v>
      </c>
      <c r="C1577">
        <v>6.4845077787946001E-2</v>
      </c>
      <c r="D1577">
        <v>0.9052631578947371</v>
      </c>
      <c r="E1577">
        <v>-9.6606033717834008E-2</v>
      </c>
      <c r="F1577">
        <v>3.1927023945267002E-2</v>
      </c>
      <c r="G1577">
        <v>0.33743842364532001</v>
      </c>
      <c r="H1577">
        <v>3.927404718693285</v>
      </c>
      <c r="I1577">
        <v>2.6426654740608231</v>
      </c>
    </row>
    <row r="1578" spans="1:9" x14ac:dyDescent="0.25">
      <c r="A1578" s="1" t="s">
        <v>1590</v>
      </c>
      <c r="B1578" t="str">
        <f>HYPERLINK("https://www.suredividend.com/sure-analysis-research-database/","Taylor Morrison Home Corp.")</f>
        <v>Taylor Morrison Home Corp.</v>
      </c>
      <c r="C1578">
        <v>5.5827220863895001E-2</v>
      </c>
      <c r="D1578">
        <v>0.27103262202599898</v>
      </c>
      <c r="E1578">
        <v>2.0279582594998999E-2</v>
      </c>
      <c r="F1578">
        <v>-2.8678537956888E-2</v>
      </c>
      <c r="G1578">
        <v>0.56319758672699805</v>
      </c>
      <c r="H1578">
        <v>0.559434246163105</v>
      </c>
      <c r="I1578">
        <v>1.8441273326015359</v>
      </c>
    </row>
    <row r="1579" spans="1:9" x14ac:dyDescent="0.25">
      <c r="A1579" s="1" t="s">
        <v>1591</v>
      </c>
      <c r="B1579" t="str">
        <f>HYPERLINK("https://www.suredividend.com/sure-analysis-TMP/","Tompkins Financial Corp")</f>
        <v>Tompkins Financial Corp</v>
      </c>
      <c r="C1579">
        <v>-0.13127538586515</v>
      </c>
      <c r="D1579">
        <v>0.11234311843011199</v>
      </c>
      <c r="E1579">
        <v>-1.8962085003715001E-2</v>
      </c>
      <c r="F1579">
        <v>-0.112236427029719</v>
      </c>
      <c r="G1579">
        <v>-0.256961728039932</v>
      </c>
      <c r="H1579">
        <v>-0.30175130227887298</v>
      </c>
      <c r="I1579">
        <v>-0.18470222647804099</v>
      </c>
    </row>
    <row r="1580" spans="1:9" x14ac:dyDescent="0.25">
      <c r="A1580" s="1" t="s">
        <v>1592</v>
      </c>
      <c r="B1580" t="str">
        <f>HYPERLINK("https://www.suredividend.com/sure-analysis-research-database/","TimkenSteel Corp")</f>
        <v>TimkenSteel Corp</v>
      </c>
      <c r="C1580">
        <v>-2.8638497652582001E-2</v>
      </c>
      <c r="D1580">
        <v>1.7207472959685E-2</v>
      </c>
      <c r="E1580">
        <v>-7.9216733422340008E-2</v>
      </c>
      <c r="F1580">
        <v>-0.11769722814498899</v>
      </c>
      <c r="G1580">
        <v>5.7230454777721013E-2</v>
      </c>
      <c r="H1580">
        <v>0.27952999381570798</v>
      </c>
      <c r="I1580">
        <v>0.93726591760299605</v>
      </c>
    </row>
    <row r="1581" spans="1:9" x14ac:dyDescent="0.25">
      <c r="A1581" s="1" t="s">
        <v>1593</v>
      </c>
      <c r="B1581" t="str">
        <f>HYPERLINK("https://www.suredividend.com/sure-analysis-TNC/","Tennant Co.")</f>
        <v>Tennant Co.</v>
      </c>
      <c r="C1581">
        <v>2.7042381547550998E-2</v>
      </c>
      <c r="D1581">
        <v>0.209112688660505</v>
      </c>
      <c r="E1581">
        <v>0.14191362438507901</v>
      </c>
      <c r="F1581">
        <v>-2.4813895781637001E-2</v>
      </c>
      <c r="G1581">
        <v>0.35738859997807498</v>
      </c>
      <c r="H1581">
        <v>0.15260435793854801</v>
      </c>
      <c r="I1581">
        <v>0.71456861688809203</v>
      </c>
    </row>
    <row r="1582" spans="1:9" x14ac:dyDescent="0.25">
      <c r="A1582" s="1" t="s">
        <v>1594</v>
      </c>
      <c r="B1582" t="str">
        <f>HYPERLINK("https://www.suredividend.com/sure-analysis-research-database/","TriNet Group Inc")</f>
        <v>TriNet Group Inc</v>
      </c>
      <c r="C1582">
        <v>-5.1741211421026001E-2</v>
      </c>
      <c r="D1582">
        <v>-3.5747251825123012E-2</v>
      </c>
      <c r="E1582">
        <v>0.238254310344827</v>
      </c>
      <c r="F1582">
        <v>-3.3801395779029013E-2</v>
      </c>
      <c r="G1582">
        <v>0.53458867521367504</v>
      </c>
      <c r="H1582">
        <v>0.318531267928858</v>
      </c>
      <c r="I1582">
        <v>1.6636532220676861</v>
      </c>
    </row>
    <row r="1583" spans="1:9" x14ac:dyDescent="0.25">
      <c r="A1583" s="1" t="s">
        <v>1595</v>
      </c>
      <c r="B1583" t="str">
        <f>HYPERLINK("https://www.suredividend.com/sure-analysis-research-database/","Tango Therapeutics Inc")</f>
        <v>Tango Therapeutics Inc</v>
      </c>
      <c r="C1583">
        <v>9.3999999999999001E-2</v>
      </c>
      <c r="D1583">
        <v>0.42262678803641002</v>
      </c>
      <c r="E1583">
        <v>2.1710144927536228</v>
      </c>
      <c r="F1583">
        <v>0.10505050505050501</v>
      </c>
      <c r="G1583">
        <v>0.357320099255582</v>
      </c>
      <c r="H1583">
        <v>0.307048984468339</v>
      </c>
      <c r="I1583">
        <v>6.9403714565004007E-2</v>
      </c>
    </row>
    <row r="1584" spans="1:9" x14ac:dyDescent="0.25">
      <c r="A1584" s="1" t="s">
        <v>1596</v>
      </c>
      <c r="B1584" t="str">
        <f>HYPERLINK("https://www.suredividend.com/sure-analysis-research-database/","Teekay Tankers Ltd")</f>
        <v>Teekay Tankers Ltd</v>
      </c>
      <c r="C1584">
        <v>0.19313850063532401</v>
      </c>
      <c r="D1584">
        <v>0.31243011554230299</v>
      </c>
      <c r="E1584">
        <v>0.42633994688567212</v>
      </c>
      <c r="F1584">
        <v>0.12747648589153401</v>
      </c>
      <c r="G1584">
        <v>0.97322798243217712</v>
      </c>
      <c r="H1584">
        <v>3.8544693170656048</v>
      </c>
      <c r="I1584">
        <v>5.8849213623199041</v>
      </c>
    </row>
    <row r="1585" spans="1:9" x14ac:dyDescent="0.25">
      <c r="A1585" s="1" t="s">
        <v>1597</v>
      </c>
      <c r="B1585" t="str">
        <f>HYPERLINK("https://www.suredividend.com/sure-analysis-research-database/","Tenaya Therapeutics Inc")</f>
        <v>Tenaya Therapeutics Inc</v>
      </c>
      <c r="C1585">
        <v>0.45714285714285702</v>
      </c>
      <c r="D1585">
        <v>0.33624454148471611</v>
      </c>
      <c r="E1585">
        <v>-0.45840707964601701</v>
      </c>
      <c r="F1585">
        <v>-5.5555555555554997E-2</v>
      </c>
      <c r="G1585">
        <v>0.33624454148471611</v>
      </c>
      <c r="H1585">
        <v>-0.694305694305694</v>
      </c>
      <c r="I1585">
        <v>-0.80065146579804503</v>
      </c>
    </row>
    <row r="1586" spans="1:9" x14ac:dyDescent="0.25">
      <c r="A1586" s="1" t="s">
        <v>1598</v>
      </c>
      <c r="B1586" t="str">
        <f>HYPERLINK("https://www.suredividend.com/sure-analysis-research-database/","Oncology Institute Inc (The)")</f>
        <v>Oncology Institute Inc (The)</v>
      </c>
      <c r="C1586">
        <v>0.81578947368421006</v>
      </c>
      <c r="D1586">
        <v>0.33548387096774102</v>
      </c>
      <c r="E1586">
        <v>1.8551724137931029</v>
      </c>
      <c r="F1586">
        <v>1.4705882352940999E-2</v>
      </c>
      <c r="G1586">
        <v>0.217647058823529</v>
      </c>
      <c r="H1586">
        <v>-0.75986078886310904</v>
      </c>
      <c r="I1586">
        <v>-0.78812691914022504</v>
      </c>
    </row>
    <row r="1587" spans="1:9" x14ac:dyDescent="0.25">
      <c r="A1587" s="1" t="s">
        <v>1599</v>
      </c>
      <c r="B1587" t="str">
        <f>HYPERLINK("https://www.suredividend.com/sure-analysis-research-database/","Townebank Portsmouth VA")</f>
        <v>Townebank Portsmouth VA</v>
      </c>
      <c r="C1587">
        <v>-3.2388391354117002E-2</v>
      </c>
      <c r="D1587">
        <v>0.29831995410253698</v>
      </c>
      <c r="E1587">
        <v>0.221326035407406</v>
      </c>
      <c r="F1587">
        <v>-3.4274193548386997E-2</v>
      </c>
      <c r="G1587">
        <v>-2.0766963662072001E-2</v>
      </c>
      <c r="H1587">
        <v>-8.0099223813715009E-2</v>
      </c>
      <c r="I1587">
        <v>0.36449742910452998</v>
      </c>
    </row>
    <row r="1588" spans="1:9" x14ac:dyDescent="0.25">
      <c r="A1588" s="1" t="s">
        <v>1600</v>
      </c>
      <c r="B1588" t="str">
        <f>HYPERLINK("https://www.suredividend.com/sure-analysis-research-database/","Turning Point Brands Inc")</f>
        <v>Turning Point Brands Inc</v>
      </c>
      <c r="C1588">
        <v>6.1987602479500001E-3</v>
      </c>
      <c r="D1588">
        <v>0.19100027928861801</v>
      </c>
      <c r="E1588">
        <v>1.5761255732833001E-2</v>
      </c>
      <c r="F1588">
        <v>-4.4072948328266998E-2</v>
      </c>
      <c r="G1588">
        <v>0.157649180765355</v>
      </c>
      <c r="H1588">
        <v>-0.30764235159440301</v>
      </c>
      <c r="I1588">
        <v>-0.106480149724947</v>
      </c>
    </row>
    <row r="1589" spans="1:9" x14ac:dyDescent="0.25">
      <c r="A1589" s="1" t="s">
        <v>1601</v>
      </c>
      <c r="B1589" t="str">
        <f>HYPERLINK("https://www.suredividend.com/sure-analysis-research-database/","Tutor Perini Corp")</f>
        <v>Tutor Perini Corp</v>
      </c>
      <c r="C1589">
        <v>4.550625711035E-3</v>
      </c>
      <c r="D1589">
        <v>0.20628415300546399</v>
      </c>
      <c r="E1589">
        <v>0.16644649933949801</v>
      </c>
      <c r="F1589">
        <v>-2.9670329670328999E-2</v>
      </c>
      <c r="G1589">
        <v>3.2748538011695E-2</v>
      </c>
      <c r="H1589">
        <v>-0.28327922077922002</v>
      </c>
      <c r="I1589">
        <v>-0.51053215077605307</v>
      </c>
    </row>
    <row r="1590" spans="1:9" x14ac:dyDescent="0.25">
      <c r="A1590" s="1" t="s">
        <v>1602</v>
      </c>
      <c r="B1590" t="str">
        <f>HYPERLINK("https://www.suredividend.com/sure-analysis-research-database/","Tri Pointe Homes Inc.")</f>
        <v>Tri Pointe Homes Inc.</v>
      </c>
      <c r="C1590">
        <v>8.3646616541353011E-2</v>
      </c>
      <c r="D1590">
        <v>0.31771428571428501</v>
      </c>
      <c r="E1590">
        <v>4.0926873307251997E-2</v>
      </c>
      <c r="F1590">
        <v>-2.2881355932203001E-2</v>
      </c>
      <c r="G1590">
        <v>0.66940154440154409</v>
      </c>
      <c r="H1590">
        <v>0.29988726042841002</v>
      </c>
      <c r="I1590">
        <v>1.738717339667458</v>
      </c>
    </row>
    <row r="1591" spans="1:9" x14ac:dyDescent="0.25">
      <c r="A1591" s="1" t="s">
        <v>1603</v>
      </c>
      <c r="B1591" t="str">
        <f>HYPERLINK("https://www.suredividend.com/sure-analysis-research-database/","TPI Composites Inc")</f>
        <v>TPI Composites Inc</v>
      </c>
      <c r="C1591">
        <v>0.48598130841121512</v>
      </c>
      <c r="D1591">
        <v>0.31677018633540299</v>
      </c>
      <c r="E1591">
        <v>-0.68731563421828901</v>
      </c>
      <c r="F1591">
        <v>-0.231884057971014</v>
      </c>
      <c r="G1591">
        <v>-0.77637130801687704</v>
      </c>
      <c r="H1591">
        <v>-0.75872534142640302</v>
      </c>
      <c r="I1591">
        <v>-0.89389389389389307</v>
      </c>
    </row>
    <row r="1592" spans="1:9" x14ac:dyDescent="0.25">
      <c r="A1592" s="1" t="s">
        <v>1604</v>
      </c>
      <c r="B1592" t="str">
        <f>HYPERLINK("https://www.suredividend.com/sure-analysis-TR/","Tootsie Roll Industries, Inc.")</f>
        <v>Tootsie Roll Industries, Inc.</v>
      </c>
      <c r="C1592">
        <v>1.4218064084985001E-2</v>
      </c>
      <c r="D1592">
        <v>0.15905866397174201</v>
      </c>
      <c r="E1592">
        <v>3.0185819657502E-2</v>
      </c>
      <c r="F1592">
        <v>5.9265944645005002E-2</v>
      </c>
      <c r="G1592">
        <v>-0.187404656787513</v>
      </c>
      <c r="H1592">
        <v>7.8186099636521011E-2</v>
      </c>
      <c r="I1592">
        <v>0.24436308118576699</v>
      </c>
    </row>
    <row r="1593" spans="1:9" x14ac:dyDescent="0.25">
      <c r="A1593" s="1" t="s">
        <v>1605</v>
      </c>
      <c r="B1593" t="str">
        <f>HYPERLINK("https://www.suredividend.com/sure-analysis-research-database/","Tejon Ranch Co.")</f>
        <v>Tejon Ranch Co.</v>
      </c>
      <c r="C1593">
        <v>-4.0636042402826013E-2</v>
      </c>
      <c r="D1593">
        <v>4.0229885057471E-2</v>
      </c>
      <c r="E1593">
        <v>-4.2328042328042013E-2</v>
      </c>
      <c r="F1593">
        <v>-5.2906976744186013E-2</v>
      </c>
      <c r="G1593">
        <v>-0.19316493313521499</v>
      </c>
      <c r="H1593">
        <v>-9.8006644518272013E-2</v>
      </c>
      <c r="I1593">
        <v>-0.11371055495103299</v>
      </c>
    </row>
    <row r="1594" spans="1:9" x14ac:dyDescent="0.25">
      <c r="A1594" s="1" t="s">
        <v>1606</v>
      </c>
      <c r="B1594" t="str">
        <f>HYPERLINK("https://www.suredividend.com/sure-analysis-research-database/","LendingTree Inc.")</f>
        <v>LendingTree Inc.</v>
      </c>
      <c r="C1594">
        <v>7.7154685735792011E-2</v>
      </c>
      <c r="D1594">
        <v>1.4090909090909089</v>
      </c>
      <c r="E1594">
        <v>7.7560240963855012E-2</v>
      </c>
      <c r="F1594">
        <v>-5.6068601583112998E-2</v>
      </c>
      <c r="G1594">
        <v>-3.798319327731E-2</v>
      </c>
      <c r="H1594">
        <v>-0.78867311526249706</v>
      </c>
      <c r="I1594">
        <v>-0.88649613325401511</v>
      </c>
    </row>
    <row r="1595" spans="1:9" x14ac:dyDescent="0.25">
      <c r="A1595" s="1" t="s">
        <v>1607</v>
      </c>
      <c r="B1595" t="str">
        <f>HYPERLINK("https://www.suredividend.com/sure-analysis-research-database/","Trustmark Corp.")</f>
        <v>Trustmark Corp.</v>
      </c>
      <c r="C1595">
        <v>-2.1969974368363E-2</v>
      </c>
      <c r="D1595">
        <v>0.30384269926191998</v>
      </c>
      <c r="E1595">
        <v>0.23425983687992399</v>
      </c>
      <c r="F1595">
        <v>-4.1965566714489998E-2</v>
      </c>
      <c r="G1595">
        <v>-0.18619176746595101</v>
      </c>
      <c r="H1595">
        <v>-0.155081059707394</v>
      </c>
      <c r="I1595">
        <v>0.101702255787958</v>
      </c>
    </row>
    <row r="1596" spans="1:9" x14ac:dyDescent="0.25">
      <c r="A1596" s="1" t="s">
        <v>1608</v>
      </c>
      <c r="B1596" t="str">
        <f>HYPERLINK("https://www.suredividend.com/sure-analysis-TRN/","Trinity Industries, Inc.")</f>
        <v>Trinity Industries, Inc.</v>
      </c>
      <c r="C1596">
        <v>-8.5648659393082013E-2</v>
      </c>
      <c r="D1596">
        <v>0.146380410001753</v>
      </c>
      <c r="E1596">
        <v>-1.2443843676697999E-2</v>
      </c>
      <c r="F1596">
        <v>-5.5387599110147012E-2</v>
      </c>
      <c r="G1596">
        <v>-7.704997826385801E-2</v>
      </c>
      <c r="H1596">
        <v>-0.120816889942838</v>
      </c>
      <c r="I1596">
        <v>0.37264111844831799</v>
      </c>
    </row>
    <row r="1597" spans="1:9" x14ac:dyDescent="0.25">
      <c r="A1597" s="1" t="s">
        <v>1609</v>
      </c>
      <c r="B1597" t="str">
        <f>HYPERLINK("https://www.suredividend.com/sure-analysis-research-database/","Terreno Realty Corp")</f>
        <v>Terreno Realty Corp</v>
      </c>
      <c r="C1597">
        <v>3.8315441783649012E-2</v>
      </c>
      <c r="D1597">
        <v>0.14080101033561701</v>
      </c>
      <c r="E1597">
        <v>6.5242954011731011E-2</v>
      </c>
      <c r="F1597">
        <v>3.191319610658E-3</v>
      </c>
      <c r="G1597">
        <v>3.1240670937941001E-2</v>
      </c>
      <c r="H1597">
        <v>-0.14771841494874999</v>
      </c>
      <c r="I1597">
        <v>0.89025856885147303</v>
      </c>
    </row>
    <row r="1598" spans="1:9" x14ac:dyDescent="0.25">
      <c r="A1598" s="1" t="s">
        <v>1610</v>
      </c>
      <c r="B1598" t="str">
        <f>HYPERLINK("https://www.suredividend.com/sure-analysis-research-database/","Transcat Inc")</f>
        <v>Transcat Inc</v>
      </c>
      <c r="C1598">
        <v>-2.9726516052317999E-2</v>
      </c>
      <c r="D1598">
        <v>2.5340314136124999E-2</v>
      </c>
      <c r="E1598">
        <v>0.139267015706806</v>
      </c>
      <c r="F1598">
        <v>-0.10436293789444701</v>
      </c>
      <c r="G1598">
        <v>0.19721237315075099</v>
      </c>
      <c r="H1598">
        <v>5.7908383751079998E-2</v>
      </c>
      <c r="I1598">
        <v>3.5692953803079792</v>
      </c>
    </row>
    <row r="1599" spans="1:9" x14ac:dyDescent="0.25">
      <c r="A1599" s="1" t="s">
        <v>1611</v>
      </c>
      <c r="B1599" t="str">
        <f>HYPERLINK("https://www.suredividend.com/sure-analysis-research-database/","Tronox Holdings plc")</f>
        <v>Tronox Holdings plc</v>
      </c>
      <c r="C1599">
        <v>-3.2950191570881013E-2</v>
      </c>
      <c r="D1599">
        <v>0.126685117400231</v>
      </c>
      <c r="E1599">
        <v>-0.11377649190320301</v>
      </c>
      <c r="F1599">
        <v>-0.108757062146892</v>
      </c>
      <c r="G1599">
        <v>-0.19951285726971699</v>
      </c>
      <c r="H1599">
        <v>-0.45884290149397111</v>
      </c>
      <c r="I1599">
        <v>0.54305137798645209</v>
      </c>
    </row>
    <row r="1600" spans="1:9" x14ac:dyDescent="0.25">
      <c r="A1600" s="1" t="s">
        <v>1612</v>
      </c>
      <c r="B1600" t="str">
        <f>HYPERLINK("https://www.suredividend.com/sure-analysis-research-database/","Trimas Corporation")</f>
        <v>Trimas Corporation</v>
      </c>
      <c r="C1600">
        <v>-9.4901377000372003E-2</v>
      </c>
      <c r="D1600">
        <v>1.2055613121767001E-2</v>
      </c>
      <c r="E1600">
        <v>-0.108644898348134</v>
      </c>
      <c r="F1600">
        <v>-3.987366758784E-2</v>
      </c>
      <c r="G1600">
        <v>-0.189390076028011</v>
      </c>
      <c r="H1600">
        <v>-0.30489063174351799</v>
      </c>
      <c r="I1600">
        <v>-8.3167144812090005E-2</v>
      </c>
    </row>
    <row r="1601" spans="1:9" x14ac:dyDescent="0.25">
      <c r="A1601" s="1" t="s">
        <v>1613</v>
      </c>
      <c r="B1601" t="str">
        <f>HYPERLINK("https://www.suredividend.com/sure-analysis-TRST/","Trustco Bank Corp.")</f>
        <v>Trustco Bank Corp.</v>
      </c>
      <c r="C1601">
        <v>-3.9666993143976002E-2</v>
      </c>
      <c r="D1601">
        <v>0.14528783070843099</v>
      </c>
      <c r="E1601">
        <v>5.5443526684798003E-2</v>
      </c>
      <c r="F1601">
        <v>-5.2657004830917002E-2</v>
      </c>
      <c r="G1601">
        <v>-0.17057201346710199</v>
      </c>
      <c r="H1601">
        <v>-5.8403623617534997E-2</v>
      </c>
      <c r="I1601">
        <v>1.1481683980317001E-2</v>
      </c>
    </row>
    <row r="1602" spans="1:9" x14ac:dyDescent="0.25">
      <c r="A1602" s="1" t="s">
        <v>1614</v>
      </c>
      <c r="B1602" t="str">
        <f>HYPERLINK("https://www.suredividend.com/sure-analysis-research-database/","Triton International Ltd")</f>
        <v>Triton International Ltd</v>
      </c>
      <c r="C1602">
        <v>-3.6993725629767001E-2</v>
      </c>
      <c r="D1602">
        <v>-3.5835877571154001E-2</v>
      </c>
      <c r="E1602">
        <v>0.30135271975356898</v>
      </c>
      <c r="F1602">
        <v>0.188642228401601</v>
      </c>
      <c r="G1602">
        <v>0.50569058295115299</v>
      </c>
      <c r="H1602">
        <v>0.62478247726734204</v>
      </c>
      <c r="I1602">
        <v>1.737486880366145</v>
      </c>
    </row>
    <row r="1603" spans="1:9" x14ac:dyDescent="0.25">
      <c r="A1603" s="1" t="s">
        <v>1615</v>
      </c>
      <c r="B1603" t="str">
        <f>HYPERLINK("https://www.suredividend.com/sure-analysis-research-database/","TPG RE Finance Trust Inc")</f>
        <v>TPG RE Finance Trust Inc</v>
      </c>
      <c r="C1603">
        <v>2.5869050832922999E-2</v>
      </c>
      <c r="D1603">
        <v>7.8824315297261E-2</v>
      </c>
      <c r="E1603">
        <v>-5.5997194295066013E-2</v>
      </c>
      <c r="F1603">
        <v>-6.1538461538460003E-3</v>
      </c>
      <c r="G1603">
        <v>-6.7578880517306011E-2</v>
      </c>
      <c r="H1603">
        <v>-0.36977454318410102</v>
      </c>
      <c r="I1603">
        <v>-0.36052266877845901</v>
      </c>
    </row>
    <row r="1604" spans="1:9" x14ac:dyDescent="0.25">
      <c r="A1604" s="1" t="s">
        <v>1616</v>
      </c>
      <c r="B1604" t="str">
        <f>HYPERLINK("https://www.suredividend.com/sure-analysis-research-database/","Truecar Inc")</f>
        <v>Truecar Inc</v>
      </c>
      <c r="C1604">
        <v>5.9016393442623008E-2</v>
      </c>
      <c r="D1604">
        <v>0.5990099009900991</v>
      </c>
      <c r="E1604">
        <v>0.38034188034187999</v>
      </c>
      <c r="F1604">
        <v>-6.6473988439306006E-2</v>
      </c>
      <c r="G1604">
        <v>5.2117263843648003E-2</v>
      </c>
      <c r="H1604">
        <v>-0.129380053908355</v>
      </c>
      <c r="I1604">
        <v>-0.66178010471204207</v>
      </c>
    </row>
    <row r="1605" spans="1:9" x14ac:dyDescent="0.25">
      <c r="A1605" s="1" t="s">
        <v>1617</v>
      </c>
      <c r="B1605" t="str">
        <f>HYPERLINK("https://www.suredividend.com/sure-analysis-research-database/","Trupanion Inc")</f>
        <v>Trupanion Inc</v>
      </c>
      <c r="C1605">
        <v>-0.138550548112058</v>
      </c>
      <c r="D1605">
        <v>0.11268436578171</v>
      </c>
      <c r="E1605">
        <v>7.7714285714285E-2</v>
      </c>
      <c r="F1605">
        <v>-7.2763028515240011E-2</v>
      </c>
      <c r="G1605">
        <v>-0.48205785426583603</v>
      </c>
      <c r="H1605">
        <v>-0.718451433121019</v>
      </c>
      <c r="I1605">
        <v>4.3911439114391E-2</v>
      </c>
    </row>
    <row r="1606" spans="1:9" x14ac:dyDescent="0.25">
      <c r="A1606" s="1" t="s">
        <v>1618</v>
      </c>
      <c r="B1606" t="str">
        <f>HYPERLINK("https://www.suredividend.com/sure-analysis-research-database/","Trinseo PLC")</f>
        <v>Trinseo PLC</v>
      </c>
      <c r="C1606">
        <v>-5.2562074842989012E-2</v>
      </c>
      <c r="D1606">
        <v>-6.8271394270699004E-2</v>
      </c>
      <c r="E1606">
        <v>-0.65659073073262508</v>
      </c>
      <c r="F1606">
        <v>-0.26197055059149998</v>
      </c>
      <c r="G1606">
        <v>-0.76575372630012306</v>
      </c>
      <c r="H1606">
        <v>-0.8837783160853071</v>
      </c>
      <c r="I1606">
        <v>-0.88153364962760805</v>
      </c>
    </row>
    <row r="1607" spans="1:9" x14ac:dyDescent="0.25">
      <c r="A1607" s="1" t="s">
        <v>1619</v>
      </c>
      <c r="B1607" t="str">
        <f>HYPERLINK("https://www.suredividend.com/sure-analysis-research-database/","TuSimple Holdings Inc")</f>
        <v>TuSimple Holdings Inc</v>
      </c>
      <c r="C1607">
        <v>-0.27227722772277202</v>
      </c>
      <c r="D1607">
        <v>-0.30660377358490498</v>
      </c>
      <c r="E1607">
        <v>-0.68589743589743501</v>
      </c>
      <c r="F1607">
        <v>-0.16267942583732001</v>
      </c>
      <c r="G1607">
        <v>-0.66438356164383505</v>
      </c>
      <c r="H1607">
        <v>-0.97121034077555812</v>
      </c>
      <c r="I1607">
        <v>-0.98162499999999997</v>
      </c>
    </row>
    <row r="1608" spans="1:9" x14ac:dyDescent="0.25">
      <c r="A1608" s="1" t="s">
        <v>1620</v>
      </c>
      <c r="B1608" t="str">
        <f>HYPERLINK("https://www.suredividend.com/sure-analysis-research-database/","2seventy bio Inc")</f>
        <v>2seventy bio Inc</v>
      </c>
      <c r="C1608">
        <v>0.133333333333333</v>
      </c>
      <c r="D1608">
        <v>-0.15384615384615299</v>
      </c>
      <c r="E1608">
        <v>-0.64716981132075402</v>
      </c>
      <c r="F1608">
        <v>-0.124121779859484</v>
      </c>
      <c r="G1608">
        <v>-0.64003849855630401</v>
      </c>
      <c r="H1608">
        <v>-0.81993259508907002</v>
      </c>
      <c r="I1608">
        <v>-0.88875669244497302</v>
      </c>
    </row>
    <row r="1609" spans="1:9" x14ac:dyDescent="0.25">
      <c r="A1609" s="1" t="s">
        <v>1621</v>
      </c>
      <c r="B1609" t="str">
        <f>HYPERLINK("https://www.suredividend.com/sure-analysis-research-database/","Tattooed Chef Inc")</f>
        <v>Tattooed Chef Inc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25">
      <c r="A1610" s="1" t="s">
        <v>1622</v>
      </c>
      <c r="B1610" t="str">
        <f>HYPERLINK("https://www.suredividend.com/sure-analysis-research-database/","TTEC Holdings Inc")</f>
        <v>TTEC Holdings Inc</v>
      </c>
      <c r="C1610">
        <v>-2.0211742059672001E-2</v>
      </c>
      <c r="D1610">
        <v>-9.5513105286539002E-2</v>
      </c>
      <c r="E1610">
        <v>-0.38164368584097602</v>
      </c>
      <c r="F1610">
        <v>-6.0452238117212002E-2</v>
      </c>
      <c r="G1610">
        <v>-0.55371136348192806</v>
      </c>
      <c r="H1610">
        <v>-0.74889029490590109</v>
      </c>
      <c r="I1610">
        <v>-0.284164782735573</v>
      </c>
    </row>
    <row r="1611" spans="1:9" x14ac:dyDescent="0.25">
      <c r="A1611" s="1" t="s">
        <v>1623</v>
      </c>
      <c r="B1611" t="str">
        <f>HYPERLINK("https://www.suredividend.com/sure-analysis-research-database/","Techtarget Inc.")</f>
        <v>Techtarget Inc.</v>
      </c>
      <c r="C1611">
        <v>3.8174768863704002E-2</v>
      </c>
      <c r="D1611">
        <v>0.31160512434061799</v>
      </c>
      <c r="E1611">
        <v>5.0075414781296998E-2</v>
      </c>
      <c r="F1611">
        <v>-1.434308663224E-3</v>
      </c>
      <c r="G1611">
        <v>-0.26623102866779003</v>
      </c>
      <c r="H1611">
        <v>-0.59234102353905604</v>
      </c>
      <c r="I1611">
        <v>1.7387883556254911</v>
      </c>
    </row>
    <row r="1612" spans="1:9" x14ac:dyDescent="0.25">
      <c r="A1612" s="1" t="s">
        <v>1624</v>
      </c>
      <c r="B1612" t="str">
        <f>HYPERLINK("https://www.suredividend.com/sure-analysis-research-database/","Tetra Technologies, Inc.")</f>
        <v>Tetra Technologies, Inc.</v>
      </c>
      <c r="C1612">
        <v>-7.882882882882801E-2</v>
      </c>
      <c r="D1612">
        <v>-0.35079365079364999</v>
      </c>
      <c r="E1612">
        <v>4.3367346938775003E-2</v>
      </c>
      <c r="F1612">
        <v>-9.5132743362831007E-2</v>
      </c>
      <c r="G1612">
        <v>3.8071065989846997E-2</v>
      </c>
      <c r="H1612">
        <v>0.31511254019292601</v>
      </c>
      <c r="I1612">
        <v>0.76293103448275801</v>
      </c>
    </row>
    <row r="1613" spans="1:9" x14ac:dyDescent="0.25">
      <c r="A1613" s="1" t="s">
        <v>1625</v>
      </c>
      <c r="B1613" t="str">
        <f>HYPERLINK("https://www.suredividend.com/sure-analysis-research-database/","TTM Technologies Inc")</f>
        <v>TTM Technologies Inc</v>
      </c>
      <c r="C1613">
        <v>-1.9167217448776998E-2</v>
      </c>
      <c r="D1613">
        <v>0.19101123595505601</v>
      </c>
      <c r="E1613">
        <v>5.6980056980056003E-2</v>
      </c>
      <c r="F1613">
        <v>-6.1353573687539013E-2</v>
      </c>
      <c r="G1613">
        <v>-0.142196531791907</v>
      </c>
      <c r="H1613">
        <v>-1.2641383898868E-2</v>
      </c>
      <c r="I1613">
        <v>0.41873804971319201</v>
      </c>
    </row>
    <row r="1614" spans="1:9" x14ac:dyDescent="0.25">
      <c r="A1614" s="1" t="s">
        <v>1626</v>
      </c>
      <c r="B1614" t="str">
        <f>HYPERLINK("https://www.suredividend.com/sure-analysis-research-database/","Tile Shop Hldgs Inc")</f>
        <v>Tile Shop Hldgs Inc</v>
      </c>
      <c r="C1614">
        <v>2.0378457059679E-2</v>
      </c>
      <c r="D1614">
        <v>0.37450980392156802</v>
      </c>
      <c r="E1614">
        <v>0.18813559322033799</v>
      </c>
      <c r="F1614">
        <v>-4.7554347826087001E-2</v>
      </c>
      <c r="G1614">
        <v>0.39363817097415499</v>
      </c>
      <c r="H1614">
        <v>2.485380116959E-2</v>
      </c>
      <c r="I1614">
        <v>0.12946104890034599</v>
      </c>
    </row>
    <row r="1615" spans="1:9" x14ac:dyDescent="0.25">
      <c r="A1615" s="1" t="s">
        <v>1627</v>
      </c>
      <c r="B1615" t="str">
        <f>HYPERLINK("https://www.suredividend.com/sure-analysis-research-database/","Tupperware Brands Corporation")</f>
        <v>Tupperware Brands Corporation</v>
      </c>
      <c r="C1615">
        <v>0.02</v>
      </c>
      <c r="D1615">
        <v>-6.8493150684931003E-2</v>
      </c>
      <c r="E1615">
        <v>1.9142857142857139</v>
      </c>
      <c r="F1615">
        <v>0.02</v>
      </c>
      <c r="G1615">
        <v>-0.55263157894736803</v>
      </c>
      <c r="H1615">
        <v>-0.8606557377049181</v>
      </c>
      <c r="I1615">
        <v>-0.94276688447046708</v>
      </c>
    </row>
    <row r="1616" spans="1:9" x14ac:dyDescent="0.25">
      <c r="A1616" s="1" t="s">
        <v>1628</v>
      </c>
      <c r="B1616" t="str">
        <f>HYPERLINK("https://www.suredividend.com/sure-analysis-research-database/","Travere Therapeutics Inc")</f>
        <v>Travere Therapeutics Inc</v>
      </c>
      <c r="C1616">
        <v>7.0786516853932002E-2</v>
      </c>
      <c r="D1616">
        <v>0.34225352112676011</v>
      </c>
      <c r="E1616">
        <v>-0.38357050452781299</v>
      </c>
      <c r="F1616">
        <v>6.0066740823135997E-2</v>
      </c>
      <c r="G1616">
        <v>-0.53100393700787407</v>
      </c>
      <c r="H1616">
        <v>-0.63190421011973708</v>
      </c>
      <c r="I1616">
        <v>-0.59481292517006801</v>
      </c>
    </row>
    <row r="1617" spans="1:9" x14ac:dyDescent="0.25">
      <c r="A1617" s="1" t="s">
        <v>1629</v>
      </c>
      <c r="B1617" t="str">
        <f>HYPERLINK("https://www.suredividend.com/sure-analysis-research-database/","Titan International, Inc.")</f>
        <v>Titan International, Inc.</v>
      </c>
      <c r="C1617">
        <v>-7.0621468926550003E-3</v>
      </c>
      <c r="D1617">
        <v>0.100156494522691</v>
      </c>
      <c r="E1617">
        <v>0.17656903765690299</v>
      </c>
      <c r="F1617">
        <v>-5.5107526881720013E-2</v>
      </c>
      <c r="G1617">
        <v>-0.17873831775700899</v>
      </c>
      <c r="H1617">
        <v>0.264388489208633</v>
      </c>
      <c r="I1617">
        <v>1.346618599372454</v>
      </c>
    </row>
    <row r="1618" spans="1:9" x14ac:dyDescent="0.25">
      <c r="A1618" s="1" t="s">
        <v>1630</v>
      </c>
      <c r="B1618" t="str">
        <f>HYPERLINK("https://www.suredividend.com/sure-analysis-research-database/","Hostess Brands Inc")</f>
        <v>Hostess Brands Inc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25">
      <c r="A1619" s="1" t="s">
        <v>1631</v>
      </c>
      <c r="B1619" t="str">
        <f>HYPERLINK("https://www.suredividend.com/sure-analysis-TWO/","Two Harbors Investment Corp")</f>
        <v>Two Harbors Investment Corp</v>
      </c>
      <c r="C1619">
        <v>-9.8721358056170008E-3</v>
      </c>
      <c r="D1619">
        <v>0.17097633059617201</v>
      </c>
      <c r="E1619">
        <v>8.3006598450798011E-2</v>
      </c>
      <c r="F1619">
        <v>7.898542663255001E-3</v>
      </c>
      <c r="G1619">
        <v>-0.101564824180401</v>
      </c>
      <c r="H1619">
        <v>-0.22340194520955001</v>
      </c>
      <c r="I1619">
        <v>-0.55056254092559609</v>
      </c>
    </row>
    <row r="1620" spans="1:9" x14ac:dyDescent="0.25">
      <c r="A1620" s="1" t="s">
        <v>1632</v>
      </c>
      <c r="B1620" t="str">
        <f>HYPERLINK("https://www.suredividend.com/sure-analysis-research-database/","2U Inc")</f>
        <v>2U Inc</v>
      </c>
      <c r="C1620">
        <v>-0.13116071428571399</v>
      </c>
      <c r="D1620">
        <v>-0.527621359223301</v>
      </c>
      <c r="E1620">
        <v>-0.76032019704433507</v>
      </c>
      <c r="F1620">
        <v>-0.20886178861788601</v>
      </c>
      <c r="G1620">
        <v>-0.86903095558546406</v>
      </c>
      <c r="H1620">
        <v>-0.94066463414634105</v>
      </c>
      <c r="I1620">
        <v>-0.98167765016004505</v>
      </c>
    </row>
    <row r="1621" spans="1:9" x14ac:dyDescent="0.25">
      <c r="A1621" s="1" t="s">
        <v>1633</v>
      </c>
      <c r="B1621" t="str">
        <f>HYPERLINK("https://www.suredividend.com/sure-analysis-research-database/","Twist Bioscience Corp")</f>
        <v>Twist Bioscience Corp</v>
      </c>
      <c r="C1621">
        <v>0.157321371355334</v>
      </c>
      <c r="D1621">
        <v>1.127208480565371</v>
      </c>
      <c r="E1621">
        <v>0.54557124518613509</v>
      </c>
      <c r="F1621">
        <v>-2.0075963103634999E-2</v>
      </c>
      <c r="G1621">
        <v>0.39137134052388201</v>
      </c>
      <c r="H1621">
        <v>-0.39202154519441101</v>
      </c>
      <c r="I1621">
        <v>0.49937733499377301</v>
      </c>
    </row>
    <row r="1622" spans="1:9" x14ac:dyDescent="0.25">
      <c r="A1622" s="1" t="s">
        <v>1634</v>
      </c>
      <c r="B1622" t="str">
        <f>HYPERLINK("https://www.suredividend.com/sure-analysis-research-database/","Texas Roadhouse Inc")</f>
        <v>Texas Roadhouse Inc</v>
      </c>
      <c r="C1622">
        <v>4.2136039212310001E-3</v>
      </c>
      <c r="D1622">
        <v>0.27216040681245202</v>
      </c>
      <c r="E1622">
        <v>3.9682984828534003E-2</v>
      </c>
      <c r="F1622">
        <v>-4.4588071668166002E-2</v>
      </c>
      <c r="G1622">
        <v>0.19278892804249001</v>
      </c>
      <c r="H1622">
        <v>0.42172767060914601</v>
      </c>
      <c r="I1622">
        <v>0.93644134546027302</v>
      </c>
    </row>
    <row r="1623" spans="1:9" x14ac:dyDescent="0.25">
      <c r="A1623" s="1" t="s">
        <v>1635</v>
      </c>
      <c r="B1623" t="str">
        <f>HYPERLINK("https://www.suredividend.com/sure-analysis-research-database/","Tyra Biosciences Inc")</f>
        <v>Tyra Biosciences Inc</v>
      </c>
      <c r="C1623">
        <v>-0.12079615648593001</v>
      </c>
      <c r="D1623">
        <v>-9.4059405940594004E-2</v>
      </c>
      <c r="E1623">
        <v>-0.170336787564766</v>
      </c>
      <c r="F1623">
        <v>-7.5090252707581004E-2</v>
      </c>
      <c r="G1623">
        <v>0.52681764004767506</v>
      </c>
      <c r="H1623">
        <v>4.8281505728314002E-2</v>
      </c>
      <c r="I1623">
        <v>-0.50730769230769202</v>
      </c>
    </row>
    <row r="1624" spans="1:9" x14ac:dyDescent="0.25">
      <c r="A1624" s="1" t="s">
        <v>1636</v>
      </c>
      <c r="B1624" t="str">
        <f>HYPERLINK("https://www.suredividend.com/sure-analysis-research-database/","Urstadt Biddle Properties, Inc.")</f>
        <v>Urstadt Biddle Properties, Inc.</v>
      </c>
      <c r="C1624">
        <v>-4.1704442429736997E-2</v>
      </c>
      <c r="D1624">
        <v>0.25974304578933499</v>
      </c>
      <c r="E1624">
        <v>0.19284742950971301</v>
      </c>
      <c r="F1624">
        <v>0.15823558095321499</v>
      </c>
      <c r="G1624">
        <v>0.21746141442063999</v>
      </c>
      <c r="H1624">
        <v>0.235253215222713</v>
      </c>
      <c r="I1624">
        <v>0.19924210621858601</v>
      </c>
    </row>
    <row r="1625" spans="1:9" x14ac:dyDescent="0.25">
      <c r="A1625" s="1" t="s">
        <v>1637</v>
      </c>
      <c r="B1625" t="str">
        <f>HYPERLINK("https://www.suredividend.com/sure-analysis-UBSI/","United Bankshares, Inc.")</f>
        <v>United Bankshares, Inc.</v>
      </c>
      <c r="C1625">
        <v>-1.9962233612085E-2</v>
      </c>
      <c r="D1625">
        <v>0.40486695720434102</v>
      </c>
      <c r="E1625">
        <v>0.27400373118626398</v>
      </c>
      <c r="F1625">
        <v>-3.2490013315579012E-2</v>
      </c>
      <c r="G1625">
        <v>-3.9953067895639002E-2</v>
      </c>
      <c r="H1625">
        <v>3.9330342838833E-2</v>
      </c>
      <c r="I1625">
        <v>0.37119176303632301</v>
      </c>
    </row>
    <row r="1626" spans="1:9" x14ac:dyDescent="0.25">
      <c r="A1626" s="1" t="s">
        <v>1638</v>
      </c>
      <c r="B1626" t="str">
        <f>HYPERLINK("https://www.suredividend.com/sure-analysis-research-database/","United Community Banks Inc")</f>
        <v>United Community Banks Inc</v>
      </c>
      <c r="C1626">
        <v>2.8064680426400003E-4</v>
      </c>
      <c r="D1626">
        <v>0.17689742607192599</v>
      </c>
      <c r="E1626">
        <v>0.10240069038463701</v>
      </c>
      <c r="F1626">
        <v>-1.3328776486670999E-2</v>
      </c>
      <c r="G1626">
        <v>-0.134545628960795</v>
      </c>
      <c r="H1626">
        <v>-0.194789981592012</v>
      </c>
      <c r="I1626">
        <v>0.44038876027780011</v>
      </c>
    </row>
    <row r="1627" spans="1:9" x14ac:dyDescent="0.25">
      <c r="A1627" s="1" t="s">
        <v>1639</v>
      </c>
      <c r="B1627" t="str">
        <f>HYPERLINK("https://www.suredividend.com/sure-analysis-research-database/","Ultra Clean Hldgs Inc")</f>
        <v>Ultra Clean Hldgs Inc</v>
      </c>
      <c r="C1627">
        <v>0.10505050505050501</v>
      </c>
      <c r="D1627">
        <v>0.23615819209039501</v>
      </c>
      <c r="E1627">
        <v>-0.134036939313984</v>
      </c>
      <c r="F1627">
        <v>-3.8664323374341003E-2</v>
      </c>
      <c r="G1627">
        <v>-3.0459945172000002E-4</v>
      </c>
      <c r="H1627">
        <v>-0.41476462196861602</v>
      </c>
      <c r="I1627">
        <v>2.5290322580645159</v>
      </c>
    </row>
    <row r="1628" spans="1:9" x14ac:dyDescent="0.25">
      <c r="A1628" s="1" t="s">
        <v>1640</v>
      </c>
      <c r="B1628" t="str">
        <f>HYPERLINK("https://www.suredividend.com/sure-analysis-research-database/","Udemy Inc")</f>
        <v>Udemy Inc</v>
      </c>
      <c r="C1628">
        <v>-0.13987341772151901</v>
      </c>
      <c r="D1628">
        <v>0.42752100840336099</v>
      </c>
      <c r="E1628">
        <v>0.195250659630606</v>
      </c>
      <c r="F1628">
        <v>-7.7393075356415E-2</v>
      </c>
      <c r="G1628">
        <v>0.23433242506811899</v>
      </c>
      <c r="H1628">
        <v>-9.7609561752988003E-2</v>
      </c>
      <c r="I1628">
        <v>-0.50581818181818106</v>
      </c>
    </row>
    <row r="1629" spans="1:9" x14ac:dyDescent="0.25">
      <c r="A1629" s="1" t="s">
        <v>1641</v>
      </c>
      <c r="B1629" t="str">
        <f>HYPERLINK("https://www.suredividend.com/sure-analysis-UE/","Urban Edge Properties")</f>
        <v>Urban Edge Properties</v>
      </c>
      <c r="C1629">
        <v>-2.2321428571430001E-3</v>
      </c>
      <c r="D1629">
        <v>0.21152986136520699</v>
      </c>
      <c r="E1629">
        <v>0.118366734219019</v>
      </c>
      <c r="F1629">
        <v>-2.2950819672131001E-2</v>
      </c>
      <c r="G1629">
        <v>0.201798665116247</v>
      </c>
      <c r="H1629">
        <v>-1.8908508280017E-2</v>
      </c>
      <c r="I1629">
        <v>0.163214322889559</v>
      </c>
    </row>
    <row r="1630" spans="1:9" x14ac:dyDescent="0.25">
      <c r="A1630" s="1" t="s">
        <v>1642</v>
      </c>
      <c r="B1630" t="str">
        <f>HYPERLINK("https://www.suredividend.com/sure-analysis-research-database/","Uranium Energy Corp")</f>
        <v>Uranium Energy Corp</v>
      </c>
      <c r="C1630">
        <v>0.22555205047318599</v>
      </c>
      <c r="D1630">
        <v>0.50873786407766908</v>
      </c>
      <c r="E1630">
        <v>1.3981481481481479</v>
      </c>
      <c r="F1630">
        <v>0.21406249999999899</v>
      </c>
      <c r="G1630">
        <v>0.97208121827411109</v>
      </c>
      <c r="H1630">
        <v>1.36890243902439</v>
      </c>
      <c r="I1630">
        <v>4.9769230769230761</v>
      </c>
    </row>
    <row r="1631" spans="1:9" x14ac:dyDescent="0.25">
      <c r="A1631" s="1" t="s">
        <v>1643</v>
      </c>
      <c r="B1631" t="str">
        <f>HYPERLINK("https://www.suredividend.com/sure-analysis-research-database/","Universal Electronics Inc.")</f>
        <v>Universal Electronics Inc.</v>
      </c>
      <c r="C1631">
        <v>0.17441860465116199</v>
      </c>
      <c r="D1631">
        <v>0.163892445582586</v>
      </c>
      <c r="E1631">
        <v>-0.15205223880596999</v>
      </c>
      <c r="F1631">
        <v>-3.1948881789136997E-2</v>
      </c>
      <c r="G1631">
        <v>-0.61613175675675602</v>
      </c>
      <c r="H1631">
        <v>-0.76716188524590101</v>
      </c>
      <c r="I1631">
        <v>-0.69890692282212608</v>
      </c>
    </row>
    <row r="1632" spans="1:9" x14ac:dyDescent="0.25">
      <c r="A1632" s="1" t="s">
        <v>1644</v>
      </c>
      <c r="B1632" t="str">
        <f>HYPERLINK("https://www.suredividend.com/sure-analysis-research-database/","United Fire Group Inc")</f>
        <v>United Fire Group Inc</v>
      </c>
      <c r="C1632">
        <v>-9.8777046095950005E-3</v>
      </c>
      <c r="D1632">
        <v>0.10763240285195599</v>
      </c>
      <c r="E1632">
        <v>-3.7146477236861999E-2</v>
      </c>
      <c r="F1632">
        <v>4.6222664015903997E-2</v>
      </c>
      <c r="G1632">
        <v>-0.26285968420278499</v>
      </c>
      <c r="H1632">
        <v>-8.4352652549892007E-2</v>
      </c>
      <c r="I1632">
        <v>-0.52990622690008304</v>
      </c>
    </row>
    <row r="1633" spans="1:9" x14ac:dyDescent="0.25">
      <c r="A1633" s="1" t="s">
        <v>1645</v>
      </c>
      <c r="B1633" t="str">
        <f>HYPERLINK("https://www.suredividend.com/sure-analysis-research-database/","UNIFI, Inc.")</f>
        <v>UNIFI, Inc.</v>
      </c>
      <c r="C1633">
        <v>7.7795786061588004E-2</v>
      </c>
      <c r="D1633">
        <v>0</v>
      </c>
      <c r="E1633">
        <v>-0.177997527812113</v>
      </c>
      <c r="F1633">
        <v>-1.5015015015009999E-3</v>
      </c>
      <c r="G1633">
        <v>-0.27874186550976099</v>
      </c>
      <c r="H1633">
        <v>-0.71459227467811104</v>
      </c>
      <c r="I1633">
        <v>-0.73293172690763009</v>
      </c>
    </row>
    <row r="1634" spans="1:9" x14ac:dyDescent="0.25">
      <c r="A1634" s="1" t="s">
        <v>1646</v>
      </c>
      <c r="B1634" t="str">
        <f>HYPERLINK("https://www.suredividend.com/sure-analysis-research-database/","UFP Industries Inc")</f>
        <v>UFP Industries Inc</v>
      </c>
      <c r="C1634">
        <v>-1.0012728044123001E-2</v>
      </c>
      <c r="D1634">
        <v>0.199423881766228</v>
      </c>
      <c r="E1634">
        <v>0.19246072913142601</v>
      </c>
      <c r="F1634">
        <v>-7.0728793309438001E-2</v>
      </c>
      <c r="G1634">
        <v>0.36725273257183411</v>
      </c>
      <c r="H1634">
        <v>0.326243061578737</v>
      </c>
      <c r="I1634">
        <v>3.2850846586109368</v>
      </c>
    </row>
    <row r="1635" spans="1:9" x14ac:dyDescent="0.25">
      <c r="A1635" s="1" t="s">
        <v>1647</v>
      </c>
      <c r="B1635" t="str">
        <f>HYPERLINK("https://www.suredividend.com/sure-analysis-research-database/","UFP Technologies Inc.")</f>
        <v>UFP Technologies Inc.</v>
      </c>
      <c r="C1635">
        <v>-7.5114774047236002E-2</v>
      </c>
      <c r="D1635">
        <v>9.2947251454343002E-2</v>
      </c>
      <c r="E1635">
        <v>-8.8674514933507004E-2</v>
      </c>
      <c r="F1635">
        <v>-2.8074866310159999E-2</v>
      </c>
      <c r="G1635">
        <v>0.41847641669494401</v>
      </c>
      <c r="H1635">
        <v>1.2030303030303029</v>
      </c>
      <c r="I1635">
        <v>4.6604603926878809</v>
      </c>
    </row>
    <row r="1636" spans="1:9" x14ac:dyDescent="0.25">
      <c r="A1636" s="1" t="s">
        <v>1648</v>
      </c>
      <c r="B1636" t="str">
        <f>HYPERLINK("https://www.suredividend.com/sure-analysis-UHT/","Universal Health Realty Income Trust")</f>
        <v>Universal Health Realty Income Trust</v>
      </c>
      <c r="C1636">
        <v>-2.6236555176473001E-2</v>
      </c>
      <c r="D1636">
        <v>0.111865155771598</v>
      </c>
      <c r="E1636">
        <v>-0.108955346584117</v>
      </c>
      <c r="F1636">
        <v>-2.2658959537572E-2</v>
      </c>
      <c r="G1636">
        <v>-0.13346521663369501</v>
      </c>
      <c r="H1636">
        <v>-0.191714838065699</v>
      </c>
      <c r="I1636">
        <v>-0.20844178947959699</v>
      </c>
    </row>
    <row r="1637" spans="1:9" x14ac:dyDescent="0.25">
      <c r="A1637" s="1" t="s">
        <v>1649</v>
      </c>
      <c r="B1637" t="str">
        <f>HYPERLINK("https://www.suredividend.com/sure-analysis-research-database/","Unisys Corp.")</f>
        <v>Unisys Corp.</v>
      </c>
      <c r="C1637">
        <v>0.21172022684309999</v>
      </c>
      <c r="D1637">
        <v>1.094771241830065</v>
      </c>
      <c r="E1637">
        <v>0.24466019417475701</v>
      </c>
      <c r="F1637">
        <v>0.140569395017793</v>
      </c>
      <c r="G1637">
        <v>0.223282442748091</v>
      </c>
      <c r="H1637">
        <v>-0.67511403953370508</v>
      </c>
      <c r="I1637">
        <v>-0.49882720875684111</v>
      </c>
    </row>
    <row r="1638" spans="1:9" x14ac:dyDescent="0.25">
      <c r="A1638" s="1" t="s">
        <v>1650</v>
      </c>
      <c r="B1638" t="str">
        <f>HYPERLINK("https://www.suredividend.com/sure-analysis-research-database/","Frontier Group Holdings Inc")</f>
        <v>Frontier Group Holdings Inc</v>
      </c>
      <c r="C1638">
        <v>-5.7884231536925998E-2</v>
      </c>
      <c r="D1638">
        <v>5.5928411633109007E-2</v>
      </c>
      <c r="E1638">
        <v>-0.52178318135764901</v>
      </c>
      <c r="F1638">
        <v>-0.13553113553113499</v>
      </c>
      <c r="G1638">
        <v>-0.61437908496732008</v>
      </c>
      <c r="H1638">
        <v>-0.67130919220055707</v>
      </c>
      <c r="I1638">
        <v>-0.74960212201591503</v>
      </c>
    </row>
    <row r="1639" spans="1:9" x14ac:dyDescent="0.25">
      <c r="A1639" s="1" t="s">
        <v>1651</v>
      </c>
      <c r="B1639" t="str">
        <f>HYPERLINK("https://www.suredividend.com/sure-analysis-research-database/","Universal Logistics Holdings Inc")</f>
        <v>Universal Logistics Holdings Inc</v>
      </c>
      <c r="C1639">
        <v>0.119839240043843</v>
      </c>
      <c r="D1639">
        <v>0.27640790081914901</v>
      </c>
      <c r="E1639">
        <v>3.0165532308208998E-2</v>
      </c>
      <c r="F1639">
        <v>9.3861527480371007E-2</v>
      </c>
      <c r="G1639">
        <v>-0.10299071383208799</v>
      </c>
      <c r="H1639">
        <v>0.72042165766696209</v>
      </c>
      <c r="I1639">
        <v>0.66532643658176105</v>
      </c>
    </row>
    <row r="1640" spans="1:9" x14ac:dyDescent="0.25">
      <c r="A1640" s="1" t="s">
        <v>1652</v>
      </c>
      <c r="B1640" t="str">
        <f>HYPERLINK("https://www.suredividend.com/sure-analysis-UMBF/","UMB Financial Corp.")</f>
        <v>UMB Financial Corp.</v>
      </c>
      <c r="C1640">
        <v>-1.2416190712689E-2</v>
      </c>
      <c r="D1640">
        <v>0.300550861937876</v>
      </c>
      <c r="E1640">
        <v>0.27500436810020501</v>
      </c>
      <c r="F1640">
        <v>-4.7995212447636007E-2</v>
      </c>
      <c r="G1640">
        <v>-4.8784192166161998E-2</v>
      </c>
      <c r="H1640">
        <v>-0.23961787787043201</v>
      </c>
      <c r="I1640">
        <v>0.38607408543332611</v>
      </c>
    </row>
    <row r="1641" spans="1:9" x14ac:dyDescent="0.25">
      <c r="A1641" s="1" t="s">
        <v>1653</v>
      </c>
      <c r="B1641" t="str">
        <f>HYPERLINK("https://www.suredividend.com/sure-analysis-UMH/","UMH Properties Inc")</f>
        <v>UMH Properties Inc</v>
      </c>
      <c r="C1641">
        <v>4.8440610484406003E-2</v>
      </c>
      <c r="D1641">
        <v>0.13548980574500299</v>
      </c>
      <c r="E1641">
        <v>-1.0843162296847E-2</v>
      </c>
      <c r="F1641">
        <v>3.1331592689294002E-2</v>
      </c>
      <c r="G1641">
        <v>-3.2609627371024012E-2</v>
      </c>
      <c r="H1641">
        <v>-0.31498831578171499</v>
      </c>
      <c r="I1641">
        <v>0.58456354300385105</v>
      </c>
    </row>
    <row r="1642" spans="1:9" x14ac:dyDescent="0.25">
      <c r="A1642" s="1" t="s">
        <v>1654</v>
      </c>
      <c r="B1642" t="str">
        <f>HYPERLINK("https://www.suredividend.com/sure-analysis-UNF/","Unifirst Corp.")</f>
        <v>Unifirst Corp.</v>
      </c>
      <c r="C1642">
        <v>-8.2356134636264011E-2</v>
      </c>
      <c r="D1642">
        <v>5.5297119550186007E-2</v>
      </c>
      <c r="E1642">
        <v>8.7944368924040006E-2</v>
      </c>
      <c r="F1642">
        <v>-7.5884314690284005E-2</v>
      </c>
      <c r="G1642">
        <v>-0.14375217189999501</v>
      </c>
      <c r="H1642">
        <v>-0.120096907507364</v>
      </c>
      <c r="I1642">
        <v>0.26291550203935798</v>
      </c>
    </row>
    <row r="1643" spans="1:9" x14ac:dyDescent="0.25">
      <c r="A1643" s="1" t="s">
        <v>1655</v>
      </c>
      <c r="B1643" t="str">
        <f>HYPERLINK("https://www.suredividend.com/sure-analysis-research-database/","United Natural Foods Inc.")</f>
        <v>United Natural Foods Inc.</v>
      </c>
      <c r="C1643">
        <v>-3.6988968202466013E-2</v>
      </c>
      <c r="D1643">
        <v>-3.4482758620689002E-2</v>
      </c>
      <c r="E1643">
        <v>-0.28516377649325603</v>
      </c>
      <c r="F1643">
        <v>-8.5643869377695012E-2</v>
      </c>
      <c r="G1643">
        <v>-0.63901727073704706</v>
      </c>
      <c r="H1643">
        <v>-0.67843986998916506</v>
      </c>
      <c r="I1643">
        <v>0.173122529644268</v>
      </c>
    </row>
    <row r="1644" spans="1:9" x14ac:dyDescent="0.25">
      <c r="A1644" s="1" t="s">
        <v>1656</v>
      </c>
      <c r="B1644" t="str">
        <f>HYPERLINK("https://www.suredividend.com/sure-analysis-UNIT/","Uniti Group Inc")</f>
        <v>Uniti Group Inc</v>
      </c>
      <c r="C1644">
        <v>1.9642857142857E-2</v>
      </c>
      <c r="D1644">
        <v>0.29138773294734899</v>
      </c>
      <c r="E1644">
        <v>0.17945963810625401</v>
      </c>
      <c r="F1644">
        <v>-1.2110726643598E-2</v>
      </c>
      <c r="G1644">
        <v>0.103808235066692</v>
      </c>
      <c r="H1644">
        <v>-0.42834831708147197</v>
      </c>
      <c r="I1644">
        <v>-0.53895841744045203</v>
      </c>
    </row>
    <row r="1645" spans="1:9" x14ac:dyDescent="0.25">
      <c r="A1645" s="1" t="s">
        <v>1657</v>
      </c>
      <c r="B1645" t="str">
        <f>HYPERLINK("https://www.suredividend.com/sure-analysis-research-database/","Unity Bancorp, Inc.")</f>
        <v>Unity Bancorp, Inc.</v>
      </c>
      <c r="C1645">
        <v>3.0262104288207001E-2</v>
      </c>
      <c r="D1645">
        <v>0.186494698595499</v>
      </c>
      <c r="E1645">
        <v>0.23105684819464101</v>
      </c>
      <c r="F1645">
        <v>-5.6437985806015008E-2</v>
      </c>
      <c r="G1645">
        <v>6.4819758661195007E-2</v>
      </c>
      <c r="H1645">
        <v>1.147693021099E-2</v>
      </c>
      <c r="I1645">
        <v>0.6281307402979851</v>
      </c>
    </row>
    <row r="1646" spans="1:9" x14ac:dyDescent="0.25">
      <c r="A1646" s="1" t="s">
        <v>1658</v>
      </c>
      <c r="B1646" t="str">
        <f>HYPERLINK("https://www.suredividend.com/sure-analysis-research-database/","Urban One Inc")</f>
        <v>Urban One Inc</v>
      </c>
      <c r="C1646">
        <v>-8.9201877934272006E-2</v>
      </c>
      <c r="D1646">
        <v>-0.28014842300556497</v>
      </c>
      <c r="E1646">
        <v>-0.34125636672325899</v>
      </c>
      <c r="F1646">
        <v>-3.7220843672455997E-2</v>
      </c>
      <c r="G1646">
        <v>-0.321678321678321</v>
      </c>
      <c r="H1646">
        <v>-0.253846153846153</v>
      </c>
      <c r="I1646">
        <v>0.94000000000000006</v>
      </c>
    </row>
    <row r="1647" spans="1:9" x14ac:dyDescent="0.25">
      <c r="A1647" s="1" t="s">
        <v>1659</v>
      </c>
      <c r="B1647" t="str">
        <f>HYPERLINK("https://www.suredividend.com/sure-analysis-research-database/","Urban One Inc")</f>
        <v>Urban One Inc</v>
      </c>
      <c r="C1647">
        <v>-8.4337349397590008E-2</v>
      </c>
      <c r="D1647">
        <v>-0.29368029739776902</v>
      </c>
      <c r="E1647">
        <v>-0.34595524956970702</v>
      </c>
      <c r="F1647">
        <v>7.6487252124645008E-2</v>
      </c>
      <c r="G1647">
        <v>-0.219712525667351</v>
      </c>
      <c r="H1647">
        <v>-6.1728395061728003E-2</v>
      </c>
      <c r="I1647">
        <v>0.9047619047619041</v>
      </c>
    </row>
    <row r="1648" spans="1:9" x14ac:dyDescent="0.25">
      <c r="A1648" s="1" t="s">
        <v>1660</v>
      </c>
      <c r="B1648" t="str">
        <f>HYPERLINK("https://www.suredividend.com/sure-analysis-research-database/","Wheels Up Experience Inc")</f>
        <v>Wheels Up Experience Inc</v>
      </c>
      <c r="C1648">
        <v>1.4939759036144571</v>
      </c>
      <c r="D1648">
        <v>1.6202531645569609</v>
      </c>
      <c r="E1648">
        <v>1.60377358490566</v>
      </c>
      <c r="F1648">
        <v>0.206997084548104</v>
      </c>
      <c r="G1648">
        <v>-0.71836734693877502</v>
      </c>
      <c r="H1648">
        <v>-0.90235849056603712</v>
      </c>
      <c r="I1648">
        <v>-0.57098445595854908</v>
      </c>
    </row>
    <row r="1649" spans="1:9" x14ac:dyDescent="0.25">
      <c r="A1649" s="1" t="s">
        <v>1661</v>
      </c>
      <c r="B1649" t="str">
        <f>HYPERLINK("https://www.suredividend.com/sure-analysis-research-database/","Upbound Group Inc")</f>
        <v>Upbound Group Inc</v>
      </c>
      <c r="C1649">
        <v>3.8936160022987998E-2</v>
      </c>
      <c r="D1649">
        <v>0.15706417190261299</v>
      </c>
      <c r="E1649">
        <v>7.1370953138221005E-2</v>
      </c>
      <c r="F1649">
        <v>-4.2095967029732007E-2</v>
      </c>
      <c r="G1649">
        <v>0.29848363926576199</v>
      </c>
      <c r="H1649">
        <v>-0.24250889248933799</v>
      </c>
      <c r="I1649">
        <v>1.2025775708019699</v>
      </c>
    </row>
    <row r="1650" spans="1:9" x14ac:dyDescent="0.25">
      <c r="A1650" s="1" t="s">
        <v>1662</v>
      </c>
      <c r="B1650" t="str">
        <f>HYPERLINK("https://www.suredividend.com/sure-analysis-research-database/","Upland Software Inc")</f>
        <v>Upland Software Inc</v>
      </c>
      <c r="C1650">
        <v>-0.103982300884955</v>
      </c>
      <c r="D1650">
        <v>-1.6990291262136002E-2</v>
      </c>
      <c r="E1650">
        <v>-0.103982300884955</v>
      </c>
      <c r="F1650">
        <v>-4.2553191489361E-2</v>
      </c>
      <c r="G1650">
        <v>-0.52906976744186007</v>
      </c>
      <c r="H1650">
        <v>-0.80282375851996102</v>
      </c>
      <c r="I1650">
        <v>-0.85612788632326808</v>
      </c>
    </row>
    <row r="1651" spans="1:9" x14ac:dyDescent="0.25">
      <c r="A1651" s="1" t="s">
        <v>1663</v>
      </c>
      <c r="B1651" t="str">
        <f>HYPERLINK("https://www.suredividend.com/sure-analysis-research-database/","Upwork Inc")</f>
        <v>Upwork Inc</v>
      </c>
      <c r="C1651">
        <v>1.3633265167007001E-2</v>
      </c>
      <c r="D1651">
        <v>0.33723021582733798</v>
      </c>
      <c r="E1651">
        <v>0.38068709377901511</v>
      </c>
      <c r="F1651">
        <v>0</v>
      </c>
      <c r="G1651">
        <v>0.18015873015872999</v>
      </c>
      <c r="H1651">
        <v>-0.47824561403508697</v>
      </c>
      <c r="I1651">
        <v>-0.21695629278567599</v>
      </c>
    </row>
    <row r="1652" spans="1:9" x14ac:dyDescent="0.25">
      <c r="A1652" s="1" t="s">
        <v>1664</v>
      </c>
      <c r="B1652" t="str">
        <f>HYPERLINK("https://www.suredividend.com/sure-analysis-research-database/","Urban Outfitters, Inc.")</f>
        <v>Urban Outfitters, Inc.</v>
      </c>
      <c r="C1652">
        <v>5.7312787239794001E-2</v>
      </c>
      <c r="D1652">
        <v>0.23726668775703799</v>
      </c>
      <c r="E1652">
        <v>0.13329469718921999</v>
      </c>
      <c r="F1652">
        <v>9.5825161109554011E-2</v>
      </c>
      <c r="G1652">
        <v>0.37954144620811198</v>
      </c>
      <c r="H1652">
        <v>0.39928443649373802</v>
      </c>
      <c r="I1652">
        <v>0.19895769466584901</v>
      </c>
    </row>
    <row r="1653" spans="1:9" x14ac:dyDescent="0.25">
      <c r="A1653" s="1" t="s">
        <v>1665</v>
      </c>
      <c r="B1653" t="str">
        <f>HYPERLINK("https://www.suredividend.com/sure-analysis-research-database/","Ur-Energy Inc.")</f>
        <v>Ur-Energy Inc.</v>
      </c>
      <c r="C1653">
        <v>0.123376623376623</v>
      </c>
      <c r="D1653">
        <v>0.161073825503355</v>
      </c>
      <c r="E1653">
        <v>0.73869346733668306</v>
      </c>
      <c r="F1653">
        <v>0.123376623376623</v>
      </c>
      <c r="G1653">
        <v>0.37301587301587302</v>
      </c>
      <c r="H1653">
        <v>0.33076923076922998</v>
      </c>
      <c r="I1653">
        <v>1.5709615098825971</v>
      </c>
    </row>
    <row r="1654" spans="1:9" x14ac:dyDescent="0.25">
      <c r="A1654" s="1" t="s">
        <v>1666</v>
      </c>
      <c r="B1654" t="str">
        <f>HYPERLINK("https://www.suredividend.com/sure-analysis-research-database/","USCB Financial Holdings Inc")</f>
        <v>USCB Financial Holdings Inc</v>
      </c>
      <c r="C1654">
        <v>-9.740259740259001E-3</v>
      </c>
      <c r="D1654">
        <v>3.3898305084744999E-2</v>
      </c>
      <c r="E1654">
        <v>0.11111111111110999</v>
      </c>
      <c r="F1654">
        <v>-4.0816326530610002E-3</v>
      </c>
      <c r="G1654">
        <v>-1.294498381877E-2</v>
      </c>
      <c r="H1654">
        <v>-0.18829008649367901</v>
      </c>
      <c r="I1654">
        <v>-0.123563218390804</v>
      </c>
    </row>
    <row r="1655" spans="1:9" x14ac:dyDescent="0.25">
      <c r="A1655" s="1" t="s">
        <v>1667</v>
      </c>
      <c r="B1655" t="str">
        <f>HYPERLINK("https://www.suredividend.com/sure-analysis-research-database/","United States Lime &amp; Minerals Inc.")</f>
        <v>United States Lime &amp; Minerals Inc.</v>
      </c>
      <c r="C1655">
        <v>2.0315204518538001E-2</v>
      </c>
      <c r="D1655">
        <v>7.8759561349393006E-2</v>
      </c>
      <c r="E1655">
        <v>7.426478804611801E-2</v>
      </c>
      <c r="F1655">
        <v>-2.7566746255697001E-2</v>
      </c>
      <c r="G1655">
        <v>0.54340233398261806</v>
      </c>
      <c r="H1655">
        <v>0.79421334157817003</v>
      </c>
      <c r="I1655">
        <v>2.432492525900761</v>
      </c>
    </row>
    <row r="1656" spans="1:9" x14ac:dyDescent="0.25">
      <c r="A1656" s="1" t="s">
        <v>1668</v>
      </c>
      <c r="B1656" t="str">
        <f>HYPERLINK("https://www.suredividend.com/sure-analysis-research-database/","United States Cellular Corporation")</f>
        <v>United States Cellular Corporation</v>
      </c>
      <c r="C1656">
        <v>8.4289393584640014E-3</v>
      </c>
      <c r="D1656">
        <v>4.2604696199467003E-2</v>
      </c>
      <c r="E1656">
        <v>1.462550028587764</v>
      </c>
      <c r="F1656">
        <v>3.6831969186326002E-2</v>
      </c>
      <c r="G1656">
        <v>0.93225661731718212</v>
      </c>
      <c r="H1656">
        <v>0.36211258697027099</v>
      </c>
      <c r="I1656">
        <v>-0.25958397799553001</v>
      </c>
    </row>
    <row r="1657" spans="1:9" x14ac:dyDescent="0.25">
      <c r="A1657" s="1" t="s">
        <v>1669</v>
      </c>
      <c r="B1657" t="str">
        <f>HYPERLINK("https://www.suredividend.com/sure-analysis-research-database/","Usana Health Sciences Inc")</f>
        <v>Usana Health Sciences Inc</v>
      </c>
      <c r="C1657">
        <v>-2.2823984526112E-2</v>
      </c>
      <c r="D1657">
        <v>-8.2955164276638002E-2</v>
      </c>
      <c r="E1657">
        <v>-0.17693059628543401</v>
      </c>
      <c r="F1657">
        <v>-5.7462686567164002E-2</v>
      </c>
      <c r="G1657">
        <v>-0.12640498011412701</v>
      </c>
      <c r="H1657">
        <v>-0.49965336238486602</v>
      </c>
      <c r="I1657">
        <v>-0.56042808666144606</v>
      </c>
    </row>
    <row r="1658" spans="1:9" x14ac:dyDescent="0.25">
      <c r="A1658" s="1" t="s">
        <v>1670</v>
      </c>
      <c r="B1658" t="str">
        <f>HYPERLINK("https://www.suredividend.com/sure-analysis-research-database/","U.S. Physical Therapy, Inc.")</f>
        <v>U.S. Physical Therapy, Inc.</v>
      </c>
      <c r="C1658">
        <v>1.7741935483870999E-2</v>
      </c>
      <c r="D1658">
        <v>9.256753948941901E-2</v>
      </c>
      <c r="E1658">
        <v>-0.201564309713752</v>
      </c>
      <c r="F1658">
        <v>1.6212153747047001E-2</v>
      </c>
      <c r="G1658">
        <v>7.4483929852603006E-2</v>
      </c>
      <c r="H1658">
        <v>5.8884730915742013E-2</v>
      </c>
      <c r="I1658">
        <v>-5.6663949114669002E-2</v>
      </c>
    </row>
    <row r="1659" spans="1:9" x14ac:dyDescent="0.25">
      <c r="A1659" s="1" t="s">
        <v>1671</v>
      </c>
      <c r="B1659" t="str">
        <f>HYPERLINK("https://www.suredividend.com/sure-analysis-research-database/","Universal Technical Institute Inc")</f>
        <v>Universal Technical Institute Inc</v>
      </c>
      <c r="C1659">
        <v>0.19287020109689201</v>
      </c>
      <c r="D1659">
        <v>0.55727923627684905</v>
      </c>
      <c r="E1659">
        <v>0.91068814055636904</v>
      </c>
      <c r="F1659">
        <v>4.2332268370607003E-2</v>
      </c>
      <c r="G1659">
        <v>0.85897435897435903</v>
      </c>
      <c r="H1659">
        <v>0.7730978260869561</v>
      </c>
      <c r="I1659">
        <v>2.416230366492147</v>
      </c>
    </row>
    <row r="1660" spans="1:9" x14ac:dyDescent="0.25">
      <c r="A1660" s="1" t="s">
        <v>1672</v>
      </c>
      <c r="B1660" t="str">
        <f>HYPERLINK("https://www.suredividend.com/sure-analysis-research-database/","Unitil Corp.")</f>
        <v>Unitil Corp.</v>
      </c>
      <c r="C1660">
        <v>-6.1968637823540007E-2</v>
      </c>
      <c r="D1660">
        <v>0.101903307707331</v>
      </c>
      <c r="E1660">
        <v>-1.9629137451351E-2</v>
      </c>
      <c r="F1660">
        <v>-5.5544987635533012E-2</v>
      </c>
      <c r="G1660">
        <v>-3.7606052323992001E-2</v>
      </c>
      <c r="H1660">
        <v>0.146974436215284</v>
      </c>
      <c r="I1660">
        <v>0.20041198429430701</v>
      </c>
    </row>
    <row r="1661" spans="1:9" x14ac:dyDescent="0.25">
      <c r="A1661" s="1" t="s">
        <v>1673</v>
      </c>
      <c r="B1661" t="str">
        <f>HYPERLINK("https://www.suredividend.com/sure-analysis-research-database/","Utah Medical Products, Inc.")</f>
        <v>Utah Medical Products, Inc.</v>
      </c>
      <c r="C1661">
        <v>-1.7164103991141998E-2</v>
      </c>
      <c r="D1661">
        <v>4.204349535706E-3</v>
      </c>
      <c r="E1661">
        <v>-0.11178648631295</v>
      </c>
      <c r="F1661">
        <v>-1.4485870339586E-2</v>
      </c>
      <c r="G1661">
        <v>-5.7143895745105998E-2</v>
      </c>
      <c r="H1661">
        <v>-4.7561125346693003E-2</v>
      </c>
      <c r="I1661">
        <v>7.2714536445153008E-2</v>
      </c>
    </row>
    <row r="1662" spans="1:9" x14ac:dyDescent="0.25">
      <c r="A1662" s="1" t="s">
        <v>1674</v>
      </c>
      <c r="B1662" t="str">
        <f>HYPERLINK("https://www.suredividend.com/sure-analysis-research-database/","Utz Brands Inc")</f>
        <v>Utz Brands Inc</v>
      </c>
      <c r="C1662">
        <v>0.113608640232452</v>
      </c>
      <c r="D1662">
        <v>0.36865156236839902</v>
      </c>
      <c r="E1662">
        <v>1.7284445251316002E-2</v>
      </c>
      <c r="F1662">
        <v>6.1576354679800007E-4</v>
      </c>
      <c r="G1662">
        <v>-2.4861115373989999E-3</v>
      </c>
      <c r="H1662">
        <v>-2.7132525504094E-2</v>
      </c>
      <c r="I1662">
        <v>0.67525773195876204</v>
      </c>
    </row>
    <row r="1663" spans="1:9" x14ac:dyDescent="0.25">
      <c r="A1663" s="1" t="s">
        <v>1675</v>
      </c>
      <c r="B1663" t="str">
        <f>HYPERLINK("https://www.suredividend.com/sure-analysis-research-database/","Energy Fuels Inc")</f>
        <v>Energy Fuels Inc</v>
      </c>
      <c r="C1663">
        <v>3.7940379403794001E-2</v>
      </c>
      <c r="D1663">
        <v>1.5915119363395E-2</v>
      </c>
      <c r="E1663">
        <v>0.20440251572327001</v>
      </c>
      <c r="F1663">
        <v>6.5368567454798007E-2</v>
      </c>
      <c r="G1663">
        <v>9.5851216022889013E-2</v>
      </c>
      <c r="H1663">
        <v>6.2413314840499008E-2</v>
      </c>
      <c r="I1663">
        <v>1.5364238410596021</v>
      </c>
    </row>
    <row r="1664" spans="1:9" x14ac:dyDescent="0.25">
      <c r="A1664" s="1" t="s">
        <v>1676</v>
      </c>
      <c r="B1664" t="str">
        <f>HYPERLINK("https://www.suredividend.com/sure-analysis-research-database/","Universal Insurance Holdings Inc")</f>
        <v>Universal Insurance Holdings Inc</v>
      </c>
      <c r="C1664">
        <v>-6.0277275467140014E-3</v>
      </c>
      <c r="D1664">
        <v>0.21141329101835099</v>
      </c>
      <c r="E1664">
        <v>9.0226309560802007E-2</v>
      </c>
      <c r="F1664">
        <v>3.1914893617021003E-2</v>
      </c>
      <c r="G1664">
        <v>0.44293452104899311</v>
      </c>
      <c r="H1664">
        <v>-7.1624010539235006E-2</v>
      </c>
      <c r="I1664">
        <v>-0.47131168564686499</v>
      </c>
    </row>
    <row r="1665" spans="1:9" x14ac:dyDescent="0.25">
      <c r="A1665" s="1" t="s">
        <v>1677</v>
      </c>
      <c r="B1665" t="str">
        <f>HYPERLINK("https://www.suredividend.com/sure-analysis-research-database/","Univest Financial Corp")</f>
        <v>Univest Financial Corp</v>
      </c>
      <c r="C1665">
        <v>-4.5690061234102013E-2</v>
      </c>
      <c r="D1665">
        <v>0.239446959500795</v>
      </c>
      <c r="E1665">
        <v>0.14220638643333899</v>
      </c>
      <c r="F1665">
        <v>-8.0344984112573001E-2</v>
      </c>
      <c r="G1665">
        <v>-0.16679004425142599</v>
      </c>
      <c r="H1665">
        <v>-0.27974688044367002</v>
      </c>
      <c r="I1665">
        <v>9.8722315017679002E-2</v>
      </c>
    </row>
    <row r="1666" spans="1:9" x14ac:dyDescent="0.25">
      <c r="A1666" s="1" t="s">
        <v>1678</v>
      </c>
      <c r="B1666" t="str">
        <f>HYPERLINK("https://www.suredividend.com/sure-analysis-UVV/","Universal Corp.")</f>
        <v>Universal Corp.</v>
      </c>
      <c r="C1666">
        <v>-1.0386674344701001E-2</v>
      </c>
      <c r="D1666">
        <v>0.33659505069843199</v>
      </c>
      <c r="E1666">
        <v>0.24128507576942301</v>
      </c>
      <c r="F1666">
        <v>-9.2853211257523008E-2</v>
      </c>
      <c r="G1666">
        <v>0.18341570026936799</v>
      </c>
      <c r="H1666">
        <v>0.195212808116033</v>
      </c>
      <c r="I1666">
        <v>0.47593169411609199</v>
      </c>
    </row>
    <row r="1667" spans="1:9" x14ac:dyDescent="0.25">
      <c r="A1667" s="1" t="s">
        <v>1679</v>
      </c>
      <c r="B1667" t="str">
        <f>HYPERLINK("https://www.suredividend.com/sure-analysis-research-database/","Valaris Ltd")</f>
        <v>Valaris Ltd</v>
      </c>
      <c r="C1667">
        <v>3.1500926497838012E-2</v>
      </c>
      <c r="D1667">
        <v>-9.214460451209501E-2</v>
      </c>
      <c r="E1667">
        <v>-5.5830388692579003E-2</v>
      </c>
      <c r="F1667">
        <v>-2.5813037771620001E-2</v>
      </c>
      <c r="G1667">
        <v>-6.9896964633806E-2</v>
      </c>
      <c r="H1667">
        <v>0.67167167167167108</v>
      </c>
      <c r="I1667">
        <v>1.818565400843881</v>
      </c>
    </row>
    <row r="1668" spans="1:9" x14ac:dyDescent="0.25">
      <c r="A1668" s="1" t="s">
        <v>1680</v>
      </c>
      <c r="B1668" t="str">
        <f>HYPERLINK("https://www.suredividend.com/sure-analysis-research-database/","Value Line, Inc.")</f>
        <v>Value Line, Inc.</v>
      </c>
      <c r="C1668">
        <v>7.333333333333001E-3</v>
      </c>
      <c r="D1668">
        <v>0.38080399162927497</v>
      </c>
      <c r="E1668">
        <v>1.5848400369317998E-2</v>
      </c>
      <c r="F1668">
        <v>-7.0153846153846011E-2</v>
      </c>
      <c r="G1668">
        <v>-0.11435437547623201</v>
      </c>
      <c r="H1668">
        <v>-5.5028486732249013E-2</v>
      </c>
      <c r="I1668">
        <v>1.174643076450721</v>
      </c>
    </row>
    <row r="1669" spans="1:9" x14ac:dyDescent="0.25">
      <c r="A1669" s="1" t="s">
        <v>1681</v>
      </c>
      <c r="B1669" t="str">
        <f>HYPERLINK("https://www.suredividend.com/sure-analysis-research-database/","VBI Vaccines Inc.")</f>
        <v>VBI Vaccines Inc.</v>
      </c>
      <c r="C1669">
        <v>-6.5696784073506001E-2</v>
      </c>
      <c r="D1669">
        <v>8.9464285714285011E-2</v>
      </c>
      <c r="E1669">
        <v>-0.53780303030303001</v>
      </c>
      <c r="F1669">
        <v>3.8468085106383013E-2</v>
      </c>
      <c r="G1669">
        <v>-0.96336395844592504</v>
      </c>
      <c r="H1669">
        <v>-0.98935253054101213</v>
      </c>
      <c r="I1669">
        <v>-0.98774899598393506</v>
      </c>
    </row>
    <row r="1670" spans="1:9" x14ac:dyDescent="0.25">
      <c r="A1670" s="1" t="s">
        <v>1682</v>
      </c>
      <c r="B1670" t="str">
        <f>HYPERLINK("https://www.suredividend.com/sure-analysis-research-database/","Veritex Holdings Inc")</f>
        <v>Veritex Holdings Inc</v>
      </c>
      <c r="C1670">
        <v>-2.4304021210782002E-2</v>
      </c>
      <c r="D1670">
        <v>0.244041783577296</v>
      </c>
      <c r="E1670">
        <v>0.19877516450582999</v>
      </c>
      <c r="F1670">
        <v>-5.1138805328749003E-2</v>
      </c>
      <c r="G1670">
        <v>-0.18784713282083301</v>
      </c>
      <c r="H1670">
        <v>-0.43424943245583902</v>
      </c>
      <c r="I1670">
        <v>0.18059083010292701</v>
      </c>
    </row>
    <row r="1671" spans="1:9" x14ac:dyDescent="0.25">
      <c r="A1671" s="1" t="s">
        <v>1683</v>
      </c>
      <c r="B1671" t="str">
        <f>HYPERLINK("https://www.suredividend.com/sure-analysis-research-database/","Visteon Corp.")</f>
        <v>Visteon Corp.</v>
      </c>
      <c r="C1671">
        <v>-6.5092638137399003E-2</v>
      </c>
      <c r="D1671">
        <v>-0.12786784949525801</v>
      </c>
      <c r="E1671">
        <v>-0.26925541458413399</v>
      </c>
      <c r="F1671">
        <v>-8.6949559647718E-2</v>
      </c>
      <c r="G1671">
        <v>-0.20128869589578299</v>
      </c>
      <c r="H1671">
        <v>-7.6599190283400009E-2</v>
      </c>
      <c r="I1671">
        <v>0.73524041387705408</v>
      </c>
    </row>
    <row r="1672" spans="1:9" x14ac:dyDescent="0.25">
      <c r="A1672" s="1" t="s">
        <v>1684</v>
      </c>
      <c r="B1672" t="str">
        <f>HYPERLINK("https://www.suredividend.com/sure-analysis-research-database/","Vericel Corp")</f>
        <v>Vericel Corp</v>
      </c>
      <c r="C1672">
        <v>7.4459117729699001E-2</v>
      </c>
      <c r="D1672">
        <v>0.21166032953105199</v>
      </c>
      <c r="E1672">
        <v>-1.7219223849909E-2</v>
      </c>
      <c r="F1672">
        <v>7.3855658522886003E-2</v>
      </c>
      <c r="G1672">
        <v>0.35554767812832311</v>
      </c>
      <c r="H1672">
        <v>7.8702397743300012E-2</v>
      </c>
      <c r="I1672">
        <v>1.1531531531531529</v>
      </c>
    </row>
    <row r="1673" spans="1:9" x14ac:dyDescent="0.25">
      <c r="A1673" s="1" t="s">
        <v>1685</v>
      </c>
      <c r="B1673" t="str">
        <f>HYPERLINK("https://www.suredividend.com/sure-analysis-research-database/","Vacasa Inc")</f>
        <v>Vacasa Inc</v>
      </c>
      <c r="C1673">
        <v>-2.9411764705881999E-2</v>
      </c>
      <c r="D1673">
        <v>-0.22103004291845399</v>
      </c>
      <c r="E1673">
        <v>-0.52368455583256801</v>
      </c>
      <c r="F1673">
        <v>-0.114634146341463</v>
      </c>
      <c r="G1673">
        <v>-0.78520710059171606</v>
      </c>
      <c r="H1673">
        <v>-0.95340179717586604</v>
      </c>
      <c r="I1673">
        <v>-0.281899109792284</v>
      </c>
    </row>
    <row r="1674" spans="1:9" x14ac:dyDescent="0.25">
      <c r="A1674" s="1" t="s">
        <v>1686</v>
      </c>
      <c r="B1674" t="str">
        <f>HYPERLINK("https://www.suredividend.com/sure-analysis-research-database/","Victory Capital Holdings Inc")</f>
        <v>Victory Capital Holdings Inc</v>
      </c>
      <c r="C1674">
        <v>2.2912270123605E-2</v>
      </c>
      <c r="D1674">
        <v>0.12563447566599201</v>
      </c>
      <c r="E1674">
        <v>4.8960777585071003E-2</v>
      </c>
      <c r="F1674">
        <v>-1.4808362369337E-2</v>
      </c>
      <c r="G1674">
        <v>0.23956525710110499</v>
      </c>
      <c r="H1674">
        <v>8.8585096041246009E-2</v>
      </c>
      <c r="I1674">
        <v>2.5322409377667658</v>
      </c>
    </row>
    <row r="1675" spans="1:9" x14ac:dyDescent="0.25">
      <c r="A1675" s="1" t="s">
        <v>1687</v>
      </c>
      <c r="B1675" t="str">
        <f>HYPERLINK("https://www.suredividend.com/sure-analysis-research-database/","Veracyte Inc")</f>
        <v>Veracyte Inc</v>
      </c>
      <c r="C1675">
        <v>-3.4934497816593003E-2</v>
      </c>
      <c r="D1675">
        <v>0.24624060150375901</v>
      </c>
      <c r="E1675">
        <v>-7.0126227208976002E-2</v>
      </c>
      <c r="F1675">
        <v>-3.5986913849509E-2</v>
      </c>
      <c r="G1675">
        <v>-3.7565740045070002E-3</v>
      </c>
      <c r="H1675">
        <v>-0.10010179843909001</v>
      </c>
      <c r="I1675">
        <v>0.65130759651307601</v>
      </c>
    </row>
    <row r="1676" spans="1:9" x14ac:dyDescent="0.25">
      <c r="A1676" s="1" t="s">
        <v>1688</v>
      </c>
      <c r="B1676" t="str">
        <f>HYPERLINK("https://www.suredividend.com/sure-analysis-research-database/","Veeco Instruments Inc")</f>
        <v>Veeco Instruments Inc</v>
      </c>
      <c r="C1676">
        <v>-4.6417759838546013E-2</v>
      </c>
      <c r="D1676">
        <v>2.866473149492E-2</v>
      </c>
      <c r="E1676">
        <v>0.101826661484648</v>
      </c>
      <c r="F1676">
        <v>-8.6368030937802001E-2</v>
      </c>
      <c r="G1676">
        <v>0.39380530973451311</v>
      </c>
      <c r="H1676">
        <v>-7.5342465753424001E-2</v>
      </c>
      <c r="I1676">
        <v>2.4363636363636361</v>
      </c>
    </row>
    <row r="1677" spans="1:9" x14ac:dyDescent="0.25">
      <c r="A1677" s="1" t="s">
        <v>1689</v>
      </c>
      <c r="B1677" t="str">
        <f>HYPERLINK("https://www.suredividend.com/sure-analysis-research-database/","Velocity Financial Inc")</f>
        <v>Velocity Financial Inc</v>
      </c>
      <c r="C1677">
        <v>-2.0183486238532E-2</v>
      </c>
      <c r="D1677">
        <v>0.45108695652173902</v>
      </c>
      <c r="E1677">
        <v>0.34508816120906699</v>
      </c>
      <c r="F1677">
        <v>-6.9686411149825003E-2</v>
      </c>
      <c r="G1677">
        <v>0.60199999999999909</v>
      </c>
      <c r="H1677">
        <v>0.189309576837416</v>
      </c>
      <c r="I1677">
        <v>0.185788304959289</v>
      </c>
    </row>
    <row r="1678" spans="1:9" x14ac:dyDescent="0.25">
      <c r="A1678" s="1" t="s">
        <v>1690</v>
      </c>
      <c r="B1678" t="str">
        <f>HYPERLINK("https://www.suredividend.com/sure-analysis-research-database/","Vera Therapeutics Inc")</f>
        <v>Vera Therapeutics Inc</v>
      </c>
      <c r="C1678">
        <v>0.30779848171152502</v>
      </c>
      <c r="D1678">
        <v>0.78101503759398405</v>
      </c>
      <c r="E1678">
        <v>0.12730517549077899</v>
      </c>
      <c r="F1678">
        <v>0.23211963589076701</v>
      </c>
      <c r="G1678">
        <v>1.8115727002967359</v>
      </c>
      <c r="H1678">
        <v>-7.8755469129800013E-2</v>
      </c>
      <c r="I1678">
        <v>0.647826086956521</v>
      </c>
    </row>
    <row r="1679" spans="1:9" x14ac:dyDescent="0.25">
      <c r="A1679" s="1" t="s">
        <v>1691</v>
      </c>
      <c r="B1679" t="str">
        <f>HYPERLINK("https://www.suredividend.com/sure-analysis-research-database/","Veritone Inc")</f>
        <v>Veritone Inc</v>
      </c>
      <c r="C1679">
        <v>-0.18036529680365199</v>
      </c>
      <c r="D1679">
        <v>-0.22961373390557899</v>
      </c>
      <c r="E1679">
        <v>-0.58924485125858106</v>
      </c>
      <c r="F1679">
        <v>-8.2872928176790008E-3</v>
      </c>
      <c r="G1679">
        <v>-0.73680351906158303</v>
      </c>
      <c r="H1679">
        <v>-0.9037017167381971</v>
      </c>
      <c r="I1679">
        <v>-0.63292433537832304</v>
      </c>
    </row>
    <row r="1680" spans="1:9" x14ac:dyDescent="0.25">
      <c r="A1680" s="1" t="s">
        <v>1692</v>
      </c>
      <c r="B1680" t="str">
        <f>HYPERLINK("https://www.suredividend.com/sure-analysis-research-database/","Veru Inc")</f>
        <v>Veru Inc</v>
      </c>
      <c r="C1680">
        <v>-0.44474002418379599</v>
      </c>
      <c r="D1680">
        <v>-0.45976470588235202</v>
      </c>
      <c r="E1680">
        <v>-0.6355555555555551</v>
      </c>
      <c r="F1680">
        <v>-0.362222222222222</v>
      </c>
      <c r="G1680">
        <v>-0.9266453674121401</v>
      </c>
      <c r="H1680">
        <v>-0.92203735144312404</v>
      </c>
      <c r="I1680">
        <v>-0.67199999999999904</v>
      </c>
    </row>
    <row r="1681" spans="1:9" x14ac:dyDescent="0.25">
      <c r="A1681" s="1" t="s">
        <v>1693</v>
      </c>
      <c r="B1681" t="str">
        <f>HYPERLINK("https://www.suredividend.com/sure-analysis-research-database/","Verve Therapeutics Inc")</f>
        <v>Verve Therapeutics Inc</v>
      </c>
      <c r="C1681">
        <v>-4.0570999248685007E-2</v>
      </c>
      <c r="D1681">
        <v>9.1452991452991003E-2</v>
      </c>
      <c r="E1681">
        <v>-0.37278978388998002</v>
      </c>
      <c r="F1681">
        <v>-8.3931133428981008E-2</v>
      </c>
      <c r="G1681">
        <v>-0.44333042720139498</v>
      </c>
      <c r="H1681">
        <v>-0.58686509220317007</v>
      </c>
      <c r="I1681">
        <v>-0.59993734335839599</v>
      </c>
    </row>
    <row r="1682" spans="1:9" x14ac:dyDescent="0.25">
      <c r="A1682" s="1" t="s">
        <v>1694</v>
      </c>
      <c r="B1682" t="str">
        <f>HYPERLINK("https://www.suredividend.com/sure-analysis-VGR/","Vector Group Ltd")</f>
        <v>Vector Group Ltd</v>
      </c>
      <c r="C1682">
        <v>-6.6666666666666E-2</v>
      </c>
      <c r="D1682">
        <v>2.4284548498747002E-2</v>
      </c>
      <c r="E1682">
        <v>-0.14440849010036699</v>
      </c>
      <c r="F1682">
        <v>-3.1914893617021003E-2</v>
      </c>
      <c r="G1682">
        <v>-6.0879436527661007E-2</v>
      </c>
      <c r="H1682">
        <v>8.4118458804491009E-2</v>
      </c>
      <c r="I1682">
        <v>0.51805822003503199</v>
      </c>
    </row>
    <row r="1683" spans="1:9" x14ac:dyDescent="0.25">
      <c r="A1683" s="1" t="s">
        <v>1695</v>
      </c>
      <c r="B1683" t="str">
        <f>HYPERLINK("https://www.suredividend.com/sure-analysis-research-database/","Valhi, Inc.")</f>
        <v>Valhi, Inc.</v>
      </c>
      <c r="C1683">
        <v>9.1045899172309999E-2</v>
      </c>
      <c r="D1683">
        <v>0.137638576147249</v>
      </c>
      <c r="E1683">
        <v>7.805278119504001E-3</v>
      </c>
      <c r="F1683">
        <v>-4.5424621461487007E-2</v>
      </c>
      <c r="G1683">
        <v>-0.39850996399356198</v>
      </c>
      <c r="H1683">
        <v>-0.50888744377607908</v>
      </c>
      <c r="I1683">
        <v>-0.41890055985925301</v>
      </c>
    </row>
    <row r="1684" spans="1:9" x14ac:dyDescent="0.25">
      <c r="A1684" s="1" t="s">
        <v>1696</v>
      </c>
      <c r="B1684" t="str">
        <f>HYPERLINK("https://www.suredividend.com/sure-analysis-research-database/","Via Renewables Inc")</f>
        <v>Via Renewables Inc</v>
      </c>
      <c r="C1684">
        <v>0.208428246013667</v>
      </c>
      <c r="D1684">
        <v>0.65136186770428006</v>
      </c>
      <c r="E1684">
        <v>0.37613488975356602</v>
      </c>
      <c r="F1684">
        <v>0.128723404255319</v>
      </c>
      <c r="G1684">
        <v>-0.621089020866888</v>
      </c>
      <c r="H1684">
        <v>-0.79090876843096802</v>
      </c>
      <c r="I1684">
        <v>0.44712076161379211</v>
      </c>
    </row>
    <row r="1685" spans="1:9" x14ac:dyDescent="0.25">
      <c r="A1685" s="1" t="s">
        <v>1697</v>
      </c>
      <c r="B1685" t="str">
        <f>HYPERLINK("https://www.suredividend.com/sure-analysis-research-database/","Viavi Solutions Inc")</f>
        <v>Viavi Solutions Inc</v>
      </c>
      <c r="C1685">
        <v>7.9059829059829001E-2</v>
      </c>
      <c r="D1685">
        <v>0.28010139416983498</v>
      </c>
      <c r="E1685">
        <v>-0.119442022667829</v>
      </c>
      <c r="F1685">
        <v>2.9791459781519998E-3</v>
      </c>
      <c r="G1685">
        <v>-0.10142348754448401</v>
      </c>
      <c r="H1685">
        <v>-0.40553266627427897</v>
      </c>
      <c r="I1685">
        <v>-4.3560606060606001E-2</v>
      </c>
    </row>
    <row r="1686" spans="1:9" x14ac:dyDescent="0.25">
      <c r="A1686" s="1" t="s">
        <v>1698</v>
      </c>
      <c r="B1686" t="str">
        <f>HYPERLINK("https://www.suredividend.com/sure-analysis-research-database/","Vicor Corp.")</f>
        <v>Vicor Corp.</v>
      </c>
      <c r="C1686">
        <v>-6.3049853372433004E-2</v>
      </c>
      <c r="D1686">
        <v>-0.28255988023952</v>
      </c>
      <c r="E1686">
        <v>-0.34146341463414598</v>
      </c>
      <c r="F1686">
        <v>-0.14686248331108101</v>
      </c>
      <c r="G1686">
        <v>-0.36375705277132397</v>
      </c>
      <c r="H1686">
        <v>-0.64751310103888904</v>
      </c>
      <c r="I1686">
        <v>-0.13041506010433199</v>
      </c>
    </row>
    <row r="1687" spans="1:9" x14ac:dyDescent="0.25">
      <c r="A1687" s="1" t="s">
        <v>1699</v>
      </c>
      <c r="B1687" t="str">
        <f>HYPERLINK("https://www.suredividend.com/sure-analysis-research-database/","View Inc.")</f>
        <v>View Inc.</v>
      </c>
      <c r="C1687">
        <v>-0.628140703517587</v>
      </c>
      <c r="D1687">
        <v>-0.62244897959183609</v>
      </c>
      <c r="E1687">
        <v>-0.85490196078431302</v>
      </c>
      <c r="F1687">
        <v>-0.59340659340659307</v>
      </c>
      <c r="G1687">
        <v>-0.96781069207012005</v>
      </c>
      <c r="H1687">
        <v>-0.99216931216931203</v>
      </c>
      <c r="I1687">
        <v>-0.84742268041237112</v>
      </c>
    </row>
    <row r="1688" spans="1:9" x14ac:dyDescent="0.25">
      <c r="A1688" s="1" t="s">
        <v>1700</v>
      </c>
      <c r="B1688" t="str">
        <f>HYPERLINK("https://www.suredividend.com/sure-analysis-research-database/","Vir Biotechnology Inc")</f>
        <v>Vir Biotechnology Inc</v>
      </c>
      <c r="C1688">
        <v>3.0815109343936001E-2</v>
      </c>
      <c r="D1688">
        <v>0.23894862604539999</v>
      </c>
      <c r="E1688">
        <v>-0.55626872058194199</v>
      </c>
      <c r="F1688">
        <v>3.0815109343936001E-2</v>
      </c>
      <c r="G1688">
        <v>-0.60971019947309002</v>
      </c>
      <c r="H1688">
        <v>-0.72456839309428911</v>
      </c>
      <c r="I1688">
        <v>-0.26034236804564898</v>
      </c>
    </row>
    <row r="1689" spans="1:9" x14ac:dyDescent="0.25">
      <c r="A1689" s="1" t="s">
        <v>1701</v>
      </c>
      <c r="B1689" t="str">
        <f>HYPERLINK("https://www.suredividend.com/sure-analysis-research-database/","Vital Farms Inc")</f>
        <v>Vital Farms Inc</v>
      </c>
      <c r="C1689">
        <v>-3.2679738562089999E-3</v>
      </c>
      <c r="D1689">
        <v>0.41728624535315911</v>
      </c>
      <c r="E1689">
        <v>0.36526410026857598</v>
      </c>
      <c r="F1689">
        <v>-2.8043339706819E-2</v>
      </c>
      <c r="G1689">
        <v>-6.3842848373235006E-2</v>
      </c>
      <c r="H1689">
        <v>-0.176565874730021</v>
      </c>
      <c r="I1689">
        <v>-0.56749858196256309</v>
      </c>
    </row>
    <row r="1690" spans="1:9" x14ac:dyDescent="0.25">
      <c r="A1690" s="1" t="s">
        <v>1702</v>
      </c>
      <c r="B1690" t="str">
        <f>HYPERLINK("https://www.suredividend.com/sure-analysis-research-database/","Velo3D Inc")</f>
        <v>Velo3D Inc</v>
      </c>
      <c r="C1690">
        <v>-0.49251087131583099</v>
      </c>
      <c r="D1690">
        <v>-0.77330935251798505</v>
      </c>
      <c r="E1690">
        <v>-0.8593303571428571</v>
      </c>
      <c r="F1690">
        <v>-0.20749496981891299</v>
      </c>
      <c r="G1690">
        <v>-0.85066350710900407</v>
      </c>
      <c r="H1690">
        <v>-0.94342908438061013</v>
      </c>
      <c r="I1690">
        <v>-0.96011392405063212</v>
      </c>
    </row>
    <row r="1691" spans="1:9" x14ac:dyDescent="0.25">
      <c r="A1691" s="1" t="s">
        <v>1703</v>
      </c>
      <c r="B1691" t="str">
        <f>HYPERLINK("https://www.suredividend.com/sure-analysis-research-database/","Village Super Market, Inc.")</f>
        <v>Village Super Market, Inc.</v>
      </c>
      <c r="C1691">
        <v>-3.965091335E-6</v>
      </c>
      <c r="D1691">
        <v>7.4380165289256006E-2</v>
      </c>
      <c r="E1691">
        <v>0.146582529391974</v>
      </c>
      <c r="F1691">
        <v>-1.9828839262811E-2</v>
      </c>
      <c r="G1691">
        <v>0.14859818191754801</v>
      </c>
      <c r="H1691">
        <v>0.26796110647454502</v>
      </c>
      <c r="I1691">
        <v>0.23484596251395401</v>
      </c>
    </row>
    <row r="1692" spans="1:9" x14ac:dyDescent="0.25">
      <c r="A1692" s="1" t="s">
        <v>1704</v>
      </c>
      <c r="B1692" t="str">
        <f>HYPERLINK("https://www.suredividend.com/sure-analysis-research-database/","Valley National Bancorp")</f>
        <v>Valley National Bancorp</v>
      </c>
      <c r="C1692">
        <v>-1.6377649325625999E-2</v>
      </c>
      <c r="D1692">
        <v>0.27164030389836802</v>
      </c>
      <c r="E1692">
        <v>0.249036614756003</v>
      </c>
      <c r="F1692">
        <v>-5.9852670349907003E-2</v>
      </c>
      <c r="G1692">
        <v>-2.6144351923388001E-2</v>
      </c>
      <c r="H1692">
        <v>-0.23375960614793401</v>
      </c>
      <c r="I1692">
        <v>0.316162631809627</v>
      </c>
    </row>
    <row r="1693" spans="1:9" x14ac:dyDescent="0.25">
      <c r="A1693" s="1" t="s">
        <v>1705</v>
      </c>
      <c r="B1693" t="str">
        <f>HYPERLINK("https://www.suredividend.com/sure-analysis-research-database/","Vimeo Inc")</f>
        <v>Vimeo Inc</v>
      </c>
      <c r="C1693">
        <v>-3.90625E-2</v>
      </c>
      <c r="D1693">
        <v>0.118181818181818</v>
      </c>
      <c r="E1693">
        <v>-0.15172413793103401</v>
      </c>
      <c r="F1693">
        <v>-5.8673469387755008E-2</v>
      </c>
      <c r="G1693">
        <v>-3.6553524804177E-2</v>
      </c>
      <c r="H1693">
        <v>-0.75643564356435611</v>
      </c>
      <c r="I1693">
        <v>-0.91870456047587512</v>
      </c>
    </row>
    <row r="1694" spans="1:9" x14ac:dyDescent="0.25">
      <c r="A1694" s="1" t="s">
        <v>1706</v>
      </c>
      <c r="B1694" t="str">
        <f>HYPERLINK("https://www.suredividend.com/sure-analysis-research-database/","Vanda Pharmaceuticals Inc")</f>
        <v>Vanda Pharmaceuticals Inc</v>
      </c>
      <c r="C1694">
        <v>-2.7777777777776999E-2</v>
      </c>
      <c r="D1694">
        <v>-9.4117647058823001E-2</v>
      </c>
      <c r="E1694">
        <v>-0.36152570480928597</v>
      </c>
      <c r="F1694">
        <v>-8.7677725118483013E-2</v>
      </c>
      <c r="G1694">
        <v>-0.49804432855280312</v>
      </c>
      <c r="H1694">
        <v>-0.73466574776016502</v>
      </c>
      <c r="I1694">
        <v>-0.8665048543689321</v>
      </c>
    </row>
    <row r="1695" spans="1:9" x14ac:dyDescent="0.25">
      <c r="A1695" s="1" t="s">
        <v>1707</v>
      </c>
      <c r="B1695" t="str">
        <f>HYPERLINK("https://www.suredividend.com/sure-analysis-research-database/","Vishay Precision Group Inc")</f>
        <v>Vishay Precision Group Inc</v>
      </c>
      <c r="C1695">
        <v>-1.589825119236E-3</v>
      </c>
      <c r="D1695">
        <v>7.0558050032070007E-3</v>
      </c>
      <c r="E1695">
        <v>-0.142779142779142</v>
      </c>
      <c r="F1695">
        <v>-7.8368065746991011E-2</v>
      </c>
      <c r="G1695">
        <v>-0.25166825548140997</v>
      </c>
      <c r="H1695">
        <v>-8.8798607080673012E-2</v>
      </c>
      <c r="I1695">
        <v>-1.5982450642430999E-2</v>
      </c>
    </row>
    <row r="1696" spans="1:9" x14ac:dyDescent="0.25">
      <c r="A1696" s="1" t="s">
        <v>1708</v>
      </c>
      <c r="B1696" t="str">
        <f>HYPERLINK("https://www.suredividend.com/sure-analysis-research-database/","ViewRay Inc.")</f>
        <v>ViewRay Inc.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25">
      <c r="A1697" s="1" t="s">
        <v>1709</v>
      </c>
      <c r="B1697" t="str">
        <f>HYPERLINK("https://www.suredividend.com/sure-analysis-research-database/","Viridian Therapeutics Inc")</f>
        <v>Viridian Therapeutics Inc</v>
      </c>
      <c r="C1697">
        <v>0.15132605304212099</v>
      </c>
      <c r="D1697">
        <v>0.7941653160453811</v>
      </c>
      <c r="E1697">
        <v>3.3613445378151002E-2</v>
      </c>
      <c r="F1697">
        <v>1.6528925619834E-2</v>
      </c>
      <c r="G1697">
        <v>-0.38890422301959598</v>
      </c>
      <c r="H1697">
        <v>0.164650184113624</v>
      </c>
      <c r="I1697">
        <v>-0.567155425219941</v>
      </c>
    </row>
    <row r="1698" spans="1:9" x14ac:dyDescent="0.25">
      <c r="A1698" s="1" t="s">
        <v>1710</v>
      </c>
      <c r="B1698" t="str">
        <f>HYPERLINK("https://www.suredividend.com/sure-analysis-research-database/","Veris Residential Inc")</f>
        <v>Veris Residential Inc</v>
      </c>
      <c r="C1698">
        <v>1.3099981769409E-2</v>
      </c>
      <c r="D1698">
        <v>-1.1278792692612999E-2</v>
      </c>
      <c r="E1698">
        <v>-6.4009480212462E-2</v>
      </c>
      <c r="F1698">
        <v>-1.0807374443737999E-2</v>
      </c>
      <c r="G1698">
        <v>-6.7911846984191004E-2</v>
      </c>
      <c r="H1698">
        <v>-0.169278243738888</v>
      </c>
      <c r="I1698">
        <v>-0.18356638770102501</v>
      </c>
    </row>
    <row r="1699" spans="1:9" x14ac:dyDescent="0.25">
      <c r="A1699" s="1" t="s">
        <v>1711</v>
      </c>
      <c r="B1699" t="str">
        <f>HYPERLINK("https://www.suredividend.com/sure-analysis-research-database/","Varex Imaging Corp")</f>
        <v>Varex Imaging Corp</v>
      </c>
      <c r="C1699">
        <v>-2.2062350119904001E-2</v>
      </c>
      <c r="D1699">
        <v>9.4471282877080009E-2</v>
      </c>
      <c r="E1699">
        <v>-0.126392459297343</v>
      </c>
      <c r="F1699">
        <v>-5.3658536585360003E-3</v>
      </c>
      <c r="G1699">
        <v>-1.4975845410626999E-2</v>
      </c>
      <c r="H1699">
        <v>-0.29858961128310901</v>
      </c>
      <c r="I1699">
        <v>-0.22323809523809501</v>
      </c>
    </row>
    <row r="1700" spans="1:9" x14ac:dyDescent="0.25">
      <c r="A1700" s="1" t="s">
        <v>1712</v>
      </c>
      <c r="B1700" t="str">
        <f>HYPERLINK("https://www.suredividend.com/sure-analysis-research-database/","Varonis Systems Inc")</f>
        <v>Varonis Systems Inc</v>
      </c>
      <c r="C1700">
        <v>4.6548234765010001E-2</v>
      </c>
      <c r="D1700">
        <v>0.52190974493132702</v>
      </c>
      <c r="E1700">
        <v>0.73721537887271305</v>
      </c>
      <c r="F1700">
        <v>2.7826855123673999E-2</v>
      </c>
      <c r="G1700">
        <v>0.89110117838277103</v>
      </c>
      <c r="H1700">
        <v>0.17347453353504799</v>
      </c>
      <c r="I1700">
        <v>1.649330836184371</v>
      </c>
    </row>
    <row r="1701" spans="1:9" x14ac:dyDescent="0.25">
      <c r="A1701" s="1" t="s">
        <v>1713</v>
      </c>
      <c r="B1701" t="str">
        <f>HYPERLINK("https://www.suredividend.com/sure-analysis-research-database/","Verint Systems, Inc.")</f>
        <v>Verint Systems, Inc.</v>
      </c>
      <c r="C1701">
        <v>-1.7028985507245999E-2</v>
      </c>
      <c r="D1701">
        <v>0.31827016520894003</v>
      </c>
      <c r="E1701">
        <v>-0.28379091869060202</v>
      </c>
      <c r="F1701">
        <v>3.699593044764E-3</v>
      </c>
      <c r="G1701">
        <v>-0.27304394426580902</v>
      </c>
      <c r="H1701">
        <v>-0.49061209162598501</v>
      </c>
      <c r="I1701">
        <v>5.1509631409635007E-2</v>
      </c>
    </row>
    <row r="1702" spans="1:9" x14ac:dyDescent="0.25">
      <c r="A1702" s="1" t="s">
        <v>1714</v>
      </c>
      <c r="B1702" t="str">
        <f>HYPERLINK("https://www.suredividend.com/sure-analysis-research-database/","Verra Mobility Corp")</f>
        <v>Verra Mobility Corp</v>
      </c>
      <c r="C1702">
        <v>-7.7132486388380014E-3</v>
      </c>
      <c r="D1702">
        <v>0.111845449923741</v>
      </c>
      <c r="E1702">
        <v>6.7349926793558001E-2</v>
      </c>
      <c r="F1702">
        <v>-5.0369083803733998E-2</v>
      </c>
      <c r="G1702">
        <v>0.50309278350515407</v>
      </c>
      <c r="H1702">
        <v>0.44261213720316611</v>
      </c>
      <c r="I1702">
        <v>1.273388773388773</v>
      </c>
    </row>
    <row r="1703" spans="1:9" x14ac:dyDescent="0.25">
      <c r="A1703" s="1" t="s">
        <v>1715</v>
      </c>
      <c r="B1703" t="str">
        <f>HYPERLINK("https://www.suredividend.com/sure-analysis-research-database/","Virtus Investment Partners Inc")</f>
        <v>Virtus Investment Partners Inc</v>
      </c>
      <c r="C1703">
        <v>9.2701806118687002E-2</v>
      </c>
      <c r="D1703">
        <v>0.33474108859403001</v>
      </c>
      <c r="E1703">
        <v>0.19718220986024601</v>
      </c>
      <c r="F1703">
        <v>-1.9027134348113001E-2</v>
      </c>
      <c r="G1703">
        <v>0.16605518750989501</v>
      </c>
      <c r="H1703">
        <v>-9.3071457525487011E-2</v>
      </c>
      <c r="I1703">
        <v>2.4177244376808589</v>
      </c>
    </row>
    <row r="1704" spans="1:9" x14ac:dyDescent="0.25">
      <c r="A1704" s="1" t="s">
        <v>1716</v>
      </c>
      <c r="B1704" t="str">
        <f>HYPERLINK("https://www.suredividend.com/sure-analysis-research-database/","Veritiv Corp")</f>
        <v>Veritiv Corp</v>
      </c>
      <c r="C1704">
        <v>3.482880755607E-3</v>
      </c>
      <c r="D1704">
        <v>1.1183153887335E-2</v>
      </c>
      <c r="E1704">
        <v>0.584583518989088</v>
      </c>
      <c r="F1704">
        <v>0.41727779945506599</v>
      </c>
      <c r="G1704">
        <v>0.31817804670191802</v>
      </c>
      <c r="H1704">
        <v>0.31790926978879602</v>
      </c>
      <c r="I1704">
        <v>4.6353950147026159</v>
      </c>
    </row>
    <row r="1705" spans="1:9" x14ac:dyDescent="0.25">
      <c r="A1705" s="1" t="s">
        <v>1717</v>
      </c>
      <c r="B1705" t="str">
        <f>HYPERLINK("https://www.suredividend.com/sure-analysis-research-database/","VSE Corp.")</f>
        <v>VSE Corp.</v>
      </c>
      <c r="C1705">
        <v>-5.2614641995171997E-2</v>
      </c>
      <c r="D1705">
        <v>9.979602967656101E-2</v>
      </c>
      <c r="E1705">
        <v>9.3285799168152009E-2</v>
      </c>
      <c r="F1705">
        <v>-8.8685961925398002E-2</v>
      </c>
      <c r="G1705">
        <v>0.168991546253389</v>
      </c>
      <c r="H1705">
        <v>3.4601516759559997E-2</v>
      </c>
      <c r="I1705">
        <v>0.93274138751661706</v>
      </c>
    </row>
    <row r="1706" spans="1:9" x14ac:dyDescent="0.25">
      <c r="A1706" s="1" t="s">
        <v>1718</v>
      </c>
      <c r="B1706" t="str">
        <f>HYPERLINK("https://www.suredividend.com/sure-analysis-research-database/","Vishay Intertechnology, Inc.")</f>
        <v>Vishay Intertechnology, Inc.</v>
      </c>
      <c r="C1706">
        <v>-4.7193877551020003E-2</v>
      </c>
      <c r="D1706">
        <v>-4.9178797663041E-2</v>
      </c>
      <c r="E1706">
        <v>-0.24214499007449999</v>
      </c>
      <c r="F1706">
        <v>-6.5081351689611003E-2</v>
      </c>
      <c r="G1706">
        <v>-7.8231879823080011E-3</v>
      </c>
      <c r="H1706">
        <v>7.4480020712867009E-2</v>
      </c>
      <c r="I1706">
        <v>0.31785544166681301</v>
      </c>
    </row>
    <row r="1707" spans="1:9" x14ac:dyDescent="0.25">
      <c r="A1707" s="1" t="s">
        <v>1719</v>
      </c>
      <c r="B1707" t="str">
        <f>HYPERLINK("https://www.suredividend.com/sure-analysis-research-database/","Vista Outdoor Inc")</f>
        <v>Vista Outdoor Inc</v>
      </c>
      <c r="C1707">
        <v>5.0275229357797997E-2</v>
      </c>
      <c r="D1707">
        <v>-0.12743902439024299</v>
      </c>
      <c r="E1707">
        <v>-3.8306451612902997E-2</v>
      </c>
      <c r="F1707">
        <v>-3.2127155901251002E-2</v>
      </c>
      <c r="G1707">
        <v>4.3383157127232001E-2</v>
      </c>
      <c r="H1707">
        <v>-0.35656474820143802</v>
      </c>
      <c r="I1707">
        <v>1.423370025402201</v>
      </c>
    </row>
    <row r="1708" spans="1:9" x14ac:dyDescent="0.25">
      <c r="A1708" s="1" t="s">
        <v>1720</v>
      </c>
      <c r="B1708" t="str">
        <f>HYPERLINK("https://www.suredividend.com/sure-analysis-research-database/","VistaGen Therapeutics Inc")</f>
        <v>VistaGen Therapeutics Inc</v>
      </c>
      <c r="C1708">
        <v>0.14736842105263101</v>
      </c>
      <c r="D1708">
        <v>0.58430232558139505</v>
      </c>
      <c r="E1708">
        <v>2.0277777777777768</v>
      </c>
      <c r="F1708">
        <v>6.0311284046691997E-2</v>
      </c>
      <c r="G1708">
        <v>0.13541666666666599</v>
      </c>
      <c r="H1708">
        <v>-0.88922764227642204</v>
      </c>
      <c r="I1708">
        <v>-0.89678030303030309</v>
      </c>
    </row>
    <row r="1709" spans="1:9" x14ac:dyDescent="0.25">
      <c r="A1709" s="1" t="s">
        <v>1721</v>
      </c>
      <c r="B1709" t="str">
        <f>HYPERLINK("https://www.suredividend.com/sure-analysis-research-database/","Vital Energy Inc.")</f>
        <v>Vital Energy Inc.</v>
      </c>
      <c r="C1709">
        <v>1.4907714150496E-2</v>
      </c>
      <c r="D1709">
        <v>-0.22678925545339801</v>
      </c>
      <c r="E1709">
        <v>-0.131605588175744</v>
      </c>
      <c r="F1709">
        <v>-5.7155418773355997E-2</v>
      </c>
      <c r="G1709">
        <v>-0.14151321056845401</v>
      </c>
      <c r="H1709">
        <v>-0.38807247824225999</v>
      </c>
      <c r="I1709">
        <v>-0.46521197007481202</v>
      </c>
    </row>
    <row r="1710" spans="1:9" x14ac:dyDescent="0.25">
      <c r="A1710" s="1" t="s">
        <v>1722</v>
      </c>
      <c r="B1710" t="str">
        <f>HYPERLINK("https://www.suredividend.com/sure-analysis-research-database/","Vertex Energy Inc")</f>
        <v>Vertex Energy Inc</v>
      </c>
      <c r="C1710">
        <v>-0.38872403560830798</v>
      </c>
      <c r="D1710">
        <v>-0.56076759061833603</v>
      </c>
      <c r="E1710">
        <v>-0.68404907975460105</v>
      </c>
      <c r="F1710">
        <v>-0.39233038348082511</v>
      </c>
      <c r="G1710">
        <v>-0.70144927536231805</v>
      </c>
      <c r="H1710">
        <v>-0.59126984126984106</v>
      </c>
      <c r="I1710">
        <v>0.48201438848920802</v>
      </c>
    </row>
    <row r="1711" spans="1:9" x14ac:dyDescent="0.25">
      <c r="A1711" s="1" t="s">
        <v>1723</v>
      </c>
      <c r="B1711" t="str">
        <f>HYPERLINK("https://www.suredividend.com/sure-analysis-research-database/","Bristow Group Inc.")</f>
        <v>Bristow Group Inc.</v>
      </c>
      <c r="C1711">
        <v>1.4247208317289E-2</v>
      </c>
      <c r="D1711">
        <v>-3.4811286185415E-2</v>
      </c>
      <c r="E1711">
        <v>-0.13040607461208301</v>
      </c>
      <c r="F1711">
        <v>-6.8270251149628008E-2</v>
      </c>
      <c r="G1711">
        <v>-8.952644313861001E-2</v>
      </c>
      <c r="H1711">
        <v>-0.22801875732707999</v>
      </c>
      <c r="I1711">
        <v>1.620895522388059</v>
      </c>
    </row>
    <row r="1712" spans="1:9" x14ac:dyDescent="0.25">
      <c r="A1712" s="1" t="s">
        <v>1724</v>
      </c>
      <c r="B1712" t="str">
        <f>HYPERLINK("https://www.suredividend.com/sure-analysis-research-database/","Ventyx Biosciences Inc")</f>
        <v>Ventyx Biosciences Inc</v>
      </c>
      <c r="C1712">
        <v>-6.3025210084033001E-2</v>
      </c>
      <c r="D1712">
        <v>-0.87913279132791311</v>
      </c>
      <c r="E1712">
        <v>-0.93702343970629709</v>
      </c>
      <c r="F1712">
        <v>-9.7165991902834009E-2</v>
      </c>
      <c r="G1712">
        <v>-0.93586425079091107</v>
      </c>
      <c r="H1712">
        <v>-0.85850253807106602</v>
      </c>
      <c r="I1712">
        <v>-0.89391056137012304</v>
      </c>
    </row>
    <row r="1713" spans="1:9" x14ac:dyDescent="0.25">
      <c r="A1713" s="1" t="s">
        <v>1725</v>
      </c>
      <c r="B1713" t="str">
        <f>HYPERLINK("https://www.suredividend.com/sure-analysis-research-database/","Vuzix Corporation")</f>
        <v>Vuzix Corporation</v>
      </c>
      <c r="C1713">
        <v>-0.10243902439024299</v>
      </c>
      <c r="D1713">
        <v>-0.41772151898734111</v>
      </c>
      <c r="E1713">
        <v>-0.678321678321678</v>
      </c>
      <c r="F1713">
        <v>-0.11750599520383601</v>
      </c>
      <c r="G1713">
        <v>-0.6334661354581671</v>
      </c>
      <c r="H1713">
        <v>-0.75947712418300606</v>
      </c>
      <c r="I1713">
        <v>-0.64341085271317811</v>
      </c>
    </row>
    <row r="1714" spans="1:9" x14ac:dyDescent="0.25">
      <c r="A1714" s="1" t="s">
        <v>1726</v>
      </c>
      <c r="B1714" t="str">
        <f>HYPERLINK("https://www.suredividend.com/sure-analysis-research-database/","Viad Corp.")</f>
        <v>Viad Corp.</v>
      </c>
      <c r="C1714">
        <v>-7.2097644053363011E-2</v>
      </c>
      <c r="D1714">
        <v>0.291584354010272</v>
      </c>
      <c r="E1714">
        <v>0.17420977011494199</v>
      </c>
      <c r="F1714">
        <v>-9.6961325966850004E-2</v>
      </c>
      <c r="G1714">
        <v>0.27845131012905699</v>
      </c>
      <c r="H1714">
        <v>-0.193436960276338</v>
      </c>
      <c r="I1714">
        <v>-0.36329675552075602</v>
      </c>
    </row>
    <row r="1715" spans="1:9" x14ac:dyDescent="0.25">
      <c r="A1715" s="1" t="s">
        <v>1727</v>
      </c>
      <c r="B1715" t="str">
        <f>HYPERLINK("https://www.suredividend.com/sure-analysis-research-database/","V2X Inc")</f>
        <v>V2X Inc</v>
      </c>
      <c r="C1715">
        <v>-0.116670356431259</v>
      </c>
      <c r="D1715">
        <v>-0.244461276273433</v>
      </c>
      <c r="E1715">
        <v>-0.177997527812113</v>
      </c>
      <c r="F1715">
        <v>-0.14082687338501201</v>
      </c>
      <c r="G1715">
        <v>-7.6602638278176011E-2</v>
      </c>
      <c r="H1715">
        <v>-0.14979757085020201</v>
      </c>
      <c r="I1715">
        <v>0.6985951468710091</v>
      </c>
    </row>
    <row r="1716" spans="1:9" x14ac:dyDescent="0.25">
      <c r="A1716" s="1" t="s">
        <v>1728</v>
      </c>
      <c r="B1716" t="str">
        <f>HYPERLINK("https://www.suredividend.com/sure-analysis-research-database/","Vintage Wine Estates Inc")</f>
        <v>Vintage Wine Estates Inc</v>
      </c>
      <c r="C1716">
        <v>-3.7080178606095013E-2</v>
      </c>
      <c r="D1716">
        <v>-0.30140845070422501</v>
      </c>
      <c r="E1716">
        <v>-0.42042533302173402</v>
      </c>
      <c r="F1716">
        <v>-1.2542305395182E-2</v>
      </c>
      <c r="G1716">
        <v>-0.84878048780487803</v>
      </c>
      <c r="H1716">
        <v>-0.95025075225677003</v>
      </c>
      <c r="I1716">
        <v>-0.96063492063492006</v>
      </c>
    </row>
    <row r="1717" spans="1:9" x14ac:dyDescent="0.25">
      <c r="A1717" s="1" t="s">
        <v>1729</v>
      </c>
      <c r="B1717" t="str">
        <f>HYPERLINK("https://www.suredividend.com/sure-analysis-research-database/","Vaxart Inc")</f>
        <v>Vaxart Inc</v>
      </c>
      <c r="C1717">
        <v>-0.17632352941176399</v>
      </c>
      <c r="D1717">
        <v>-0.15774436090225499</v>
      </c>
      <c r="E1717">
        <v>-0.28785759694850599</v>
      </c>
      <c r="F1717">
        <v>-2.2171787709497001E-2</v>
      </c>
      <c r="G1717">
        <v>-0.52128205128205107</v>
      </c>
      <c r="H1717">
        <v>-0.90016042780748606</v>
      </c>
      <c r="I1717">
        <v>-0.73948837209302309</v>
      </c>
    </row>
    <row r="1718" spans="1:9" x14ac:dyDescent="0.25">
      <c r="A1718" s="1" t="s">
        <v>1730</v>
      </c>
      <c r="B1718" t="str">
        <f>HYPERLINK("https://www.suredividend.com/sure-analysis-research-database/","VIZIO Holding Corp")</f>
        <v>VIZIO Holding Corp</v>
      </c>
      <c r="C1718">
        <v>-9.2715231788070007E-3</v>
      </c>
      <c r="D1718">
        <v>0.49301397205588798</v>
      </c>
      <c r="E1718">
        <v>4.3235704323569997E-2</v>
      </c>
      <c r="F1718">
        <v>-2.8571428571428002E-2</v>
      </c>
      <c r="G1718">
        <v>-0.11058263971462499</v>
      </c>
      <c r="H1718">
        <v>-0.58810572687224605</v>
      </c>
      <c r="I1718">
        <v>-0.60837696335078506</v>
      </c>
    </row>
    <row r="1719" spans="1:9" x14ac:dyDescent="0.25">
      <c r="A1719" s="1" t="s">
        <v>1731</v>
      </c>
      <c r="B1719" t="str">
        <f>HYPERLINK("https://www.suredividend.com/sure-analysis-WABC/","Westamerica Bancorporation")</f>
        <v>Westamerica Bancorporation</v>
      </c>
      <c r="C1719">
        <v>-2.8749999999998999E-2</v>
      </c>
      <c r="D1719">
        <v>0.27762430939226501</v>
      </c>
      <c r="E1719">
        <v>0.33173691401372102</v>
      </c>
      <c r="F1719">
        <v>-3.5809253678425003E-2</v>
      </c>
      <c r="G1719">
        <v>-6.2472438630000002E-4</v>
      </c>
      <c r="H1719">
        <v>-2.1139123002100001E-4</v>
      </c>
      <c r="I1719">
        <v>8.1660495030208002E-2</v>
      </c>
    </row>
    <row r="1720" spans="1:9" x14ac:dyDescent="0.25">
      <c r="A1720" s="1" t="s">
        <v>1732</v>
      </c>
      <c r="B1720" t="str">
        <f>HYPERLINK("https://www.suredividend.com/sure-analysis-WAFD/","WaFd Inc")</f>
        <v>WaFd Inc</v>
      </c>
      <c r="C1720">
        <v>-2.3181962527785999E-2</v>
      </c>
      <c r="D1720">
        <v>0.24365235954329301</v>
      </c>
      <c r="E1720">
        <v>0.150065616552569</v>
      </c>
      <c r="F1720">
        <v>-6.6747572815534006E-2</v>
      </c>
      <c r="G1720">
        <v>-0.107220600101003</v>
      </c>
      <c r="H1720">
        <v>-9.2900976989292006E-2</v>
      </c>
      <c r="I1720">
        <v>0.30790098050053999</v>
      </c>
    </row>
    <row r="1721" spans="1:9" x14ac:dyDescent="0.25">
      <c r="A1721" s="1" t="s">
        <v>1733</v>
      </c>
      <c r="B1721" t="str">
        <f>HYPERLINK("https://www.suredividend.com/sure-analysis-WASH/","Washington Trust Bancorp, Inc.")</f>
        <v>Washington Trust Bancorp, Inc.</v>
      </c>
      <c r="C1721">
        <v>-2.1136634649404001E-2</v>
      </c>
      <c r="D1721">
        <v>0.202443519763052</v>
      </c>
      <c r="E1721">
        <v>0.175938133375312</v>
      </c>
      <c r="F1721">
        <v>-7.7208153180976E-2</v>
      </c>
      <c r="G1721">
        <v>-0.29363539009623801</v>
      </c>
      <c r="H1721">
        <v>-0.40008914338030099</v>
      </c>
      <c r="I1721">
        <v>-0.196823852288702</v>
      </c>
    </row>
    <row r="1722" spans="1:9" x14ac:dyDescent="0.25">
      <c r="A1722" s="1" t="s">
        <v>1734</v>
      </c>
      <c r="B1722" t="str">
        <f>HYPERLINK("https://www.suredividend.com/sure-analysis-research-database/","Walker &amp; Dunlop Inc")</f>
        <v>Walker &amp; Dunlop Inc</v>
      </c>
      <c r="C1722">
        <v>-3.1009283033774E-2</v>
      </c>
      <c r="D1722">
        <v>0.44291783515266597</v>
      </c>
      <c r="E1722">
        <v>0.10917807553308199</v>
      </c>
      <c r="F1722">
        <v>-0.116115665255382</v>
      </c>
      <c r="G1722">
        <v>8.6637525762235004E-2</v>
      </c>
      <c r="H1722">
        <v>-0.30247354596089299</v>
      </c>
      <c r="I1722">
        <v>1.3286169268521899</v>
      </c>
    </row>
    <row r="1723" spans="1:9" x14ac:dyDescent="0.25">
      <c r="A1723" s="1" t="s">
        <v>1735</v>
      </c>
      <c r="B1723" t="str">
        <f>HYPERLINK("https://www.suredividend.com/sure-analysis-WDFC/","WD-40 Co.")</f>
        <v>WD-40 Co.</v>
      </c>
      <c r="C1723">
        <v>0.13430292956575901</v>
      </c>
      <c r="D1723">
        <v>0.36845725331975099</v>
      </c>
      <c r="E1723">
        <v>0.23517402030432899</v>
      </c>
      <c r="F1723">
        <v>0.141799472957711</v>
      </c>
      <c r="G1723">
        <v>0.5950844961783881</v>
      </c>
      <c r="H1723">
        <v>0.16605957980504499</v>
      </c>
      <c r="I1723">
        <v>0.74155317680174804</v>
      </c>
    </row>
    <row r="1724" spans="1:9" x14ac:dyDescent="0.25">
      <c r="A1724" s="1" t="s">
        <v>1736</v>
      </c>
      <c r="B1724" t="str">
        <f>HYPERLINK("https://www.suredividend.com/sure-analysis-research-database/","Weave Communications Inc")</f>
        <v>Weave Communications Inc</v>
      </c>
      <c r="C1724">
        <v>1.1937557392102E-2</v>
      </c>
      <c r="D1724">
        <v>0.59248554913294704</v>
      </c>
      <c r="E1724">
        <v>-9.0661831368900011E-4</v>
      </c>
      <c r="F1724">
        <v>-3.9232781168265E-2</v>
      </c>
      <c r="G1724">
        <v>1.071428571428571</v>
      </c>
      <c r="H1724">
        <v>-5.4151624548730007E-3</v>
      </c>
      <c r="I1724">
        <v>-0.41351782863225101</v>
      </c>
    </row>
    <row r="1725" spans="1:9" x14ac:dyDescent="0.25">
      <c r="A1725" s="1" t="s">
        <v>1737</v>
      </c>
      <c r="B1725" t="str">
        <f>HYPERLINK("https://www.suredividend.com/sure-analysis-research-database/","Werner Enterprises, Inc.")</f>
        <v>Werner Enterprises, Inc.</v>
      </c>
      <c r="C1725">
        <v>-8.2542659378890011E-3</v>
      </c>
      <c r="D1725">
        <v>4.6385686464419013E-2</v>
      </c>
      <c r="E1725">
        <v>-6.1785805162395013E-2</v>
      </c>
      <c r="F1725">
        <v>-5.1451498701911007E-2</v>
      </c>
      <c r="G1725">
        <v>-4.7321049724673013E-2</v>
      </c>
      <c r="H1725">
        <v>-9.7085241084306009E-2</v>
      </c>
      <c r="I1725">
        <v>0.54037790809091202</v>
      </c>
    </row>
    <row r="1726" spans="1:9" x14ac:dyDescent="0.25">
      <c r="A1726" s="1" t="s">
        <v>1738</v>
      </c>
      <c r="B1726" t="str">
        <f>HYPERLINK("https://www.suredividend.com/sure-analysis-WEYS/","Weyco Group, Inc")</f>
        <v>Weyco Group, Inc</v>
      </c>
      <c r="C1726">
        <v>4.5946832950440001E-3</v>
      </c>
      <c r="D1726">
        <v>0.169977334316914</v>
      </c>
      <c r="E1726">
        <v>0.18103704389630301</v>
      </c>
      <c r="F1726">
        <v>-2.391581632653E-2</v>
      </c>
      <c r="G1726">
        <v>0.25517693853282403</v>
      </c>
      <c r="H1726">
        <v>0.38385934455430298</v>
      </c>
      <c r="I1726">
        <v>0.36374166874576702</v>
      </c>
    </row>
    <row r="1727" spans="1:9" x14ac:dyDescent="0.25">
      <c r="A1727" s="1" t="s">
        <v>1739</v>
      </c>
      <c r="B1727" t="str">
        <f>HYPERLINK("https://www.suredividend.com/sure-analysis-research-database/","Weatherford International plc")</f>
        <v>Weatherford International plc</v>
      </c>
      <c r="C1727">
        <v>8.447462308666101E-2</v>
      </c>
      <c r="D1727">
        <v>-1.4124293785310001E-2</v>
      </c>
      <c r="E1727">
        <v>0.23305417429992101</v>
      </c>
      <c r="F1727">
        <v>-3.6798528058876998E-2</v>
      </c>
      <c r="G1727">
        <v>0.73185076272743999</v>
      </c>
      <c r="H1727">
        <v>2.1705921938088828</v>
      </c>
      <c r="I1727">
        <v>6.3559718969555039</v>
      </c>
    </row>
    <row r="1728" spans="1:9" x14ac:dyDescent="0.25">
      <c r="A1728" s="1" t="s">
        <v>1740</v>
      </c>
      <c r="B1728" t="str">
        <f>HYPERLINK("https://www.suredividend.com/sure-analysis-WGO/","Winnebago Industries, Inc.")</f>
        <v>Winnebago Industries, Inc.</v>
      </c>
      <c r="C1728">
        <v>-3.9545183728258E-2</v>
      </c>
      <c r="D1728">
        <v>0.18336077999218101</v>
      </c>
      <c r="E1728">
        <v>-2.4990271763922E-2</v>
      </c>
      <c r="F1728">
        <v>-7.7895119873634011E-2</v>
      </c>
      <c r="G1728">
        <v>0.112680062070582</v>
      </c>
      <c r="H1728">
        <v>-6.8797621466928999E-2</v>
      </c>
      <c r="I1728">
        <v>1.5578478902534141</v>
      </c>
    </row>
    <row r="1729" spans="1:9" x14ac:dyDescent="0.25">
      <c r="A1729" s="1" t="s">
        <v>1741</v>
      </c>
      <c r="B1729" t="str">
        <f>HYPERLINK("https://www.suredividend.com/sure-analysis-research-database/","GeneDx Holdings Corp")</f>
        <v>GeneDx Holdings Corp</v>
      </c>
      <c r="C1729">
        <v>0.94680851063829807</v>
      </c>
      <c r="D1729">
        <v>0.13312693498452</v>
      </c>
      <c r="E1729">
        <v>-0.47338129496402798</v>
      </c>
      <c r="F1729">
        <v>0.33090909090909099</v>
      </c>
      <c r="G1729">
        <v>-0.76301476301476301</v>
      </c>
      <c r="H1729">
        <v>-9.1811414392059004E-2</v>
      </c>
      <c r="I1729">
        <v>-0.62653061224489703</v>
      </c>
    </row>
    <row r="1730" spans="1:9" x14ac:dyDescent="0.25">
      <c r="A1730" s="1" t="s">
        <v>1742</v>
      </c>
      <c r="B1730" t="str">
        <f>HYPERLINK("https://www.suredividend.com/sure-analysis-research-database/","Cactus Inc")</f>
        <v>Cactus Inc</v>
      </c>
      <c r="C1730">
        <v>-3.4548487014534002E-2</v>
      </c>
      <c r="D1730">
        <v>-0.196116281422786</v>
      </c>
      <c r="E1730">
        <v>-0.14319727819233999</v>
      </c>
      <c r="F1730">
        <v>-0.10748898678414</v>
      </c>
      <c r="G1730">
        <v>-0.263201726711846</v>
      </c>
      <c r="H1730">
        <v>-5.7545105026037997E-2</v>
      </c>
      <c r="I1730">
        <v>0.42207372883735311</v>
      </c>
    </row>
    <row r="1731" spans="1:9" x14ac:dyDescent="0.25">
      <c r="A1731" s="1" t="s">
        <v>1743</v>
      </c>
      <c r="B1731" t="str">
        <f>HYPERLINK("https://www.suredividend.com/sure-analysis-research-database/","Winmark Corporation")</f>
        <v>Winmark Corporation</v>
      </c>
      <c r="C1731">
        <v>-0.17923301188607299</v>
      </c>
      <c r="D1731">
        <v>-6.7012553700695004E-2</v>
      </c>
      <c r="E1731">
        <v>8.248290189891401E-2</v>
      </c>
      <c r="F1731">
        <v>-0.123506166926116</v>
      </c>
      <c r="G1731">
        <v>0.43960167270401401</v>
      </c>
      <c r="H1731">
        <v>0.7086092467889461</v>
      </c>
      <c r="I1731">
        <v>1.405285081291249</v>
      </c>
    </row>
    <row r="1732" spans="1:9" x14ac:dyDescent="0.25">
      <c r="A1732" s="1" t="s">
        <v>1744</v>
      </c>
      <c r="B1732" t="str">
        <f>HYPERLINK("https://www.suredividend.com/sure-analysis-research-database/","Wingstop Inc")</f>
        <v>Wingstop Inc</v>
      </c>
      <c r="C1732">
        <v>3.7691635554849001E-2</v>
      </c>
      <c r="D1732">
        <v>0.49291938966698812</v>
      </c>
      <c r="E1732">
        <v>0.34023929070476</v>
      </c>
      <c r="F1732">
        <v>1.8278899368617998E-2</v>
      </c>
      <c r="G1732">
        <v>0.79914226218020701</v>
      </c>
      <c r="H1732">
        <v>0.7655800086092881</v>
      </c>
      <c r="I1732">
        <v>3.116277311083242</v>
      </c>
    </row>
    <row r="1733" spans="1:9" x14ac:dyDescent="0.25">
      <c r="A1733" s="1" t="s">
        <v>1745</v>
      </c>
      <c r="B1733" t="str">
        <f>HYPERLINK("https://www.suredividend.com/sure-analysis-research-database/","Encore Wire Corp.")</f>
        <v>Encore Wire Corp.</v>
      </c>
      <c r="C1733">
        <v>6.4087787365439006E-2</v>
      </c>
      <c r="D1733">
        <v>0.21401888461348501</v>
      </c>
      <c r="E1733">
        <v>0.20530062585810299</v>
      </c>
      <c r="F1733">
        <v>1.2875994684402E-2</v>
      </c>
      <c r="G1733">
        <v>0.44982224915146002</v>
      </c>
      <c r="H1733">
        <v>0.67169258971311208</v>
      </c>
      <c r="I1733">
        <v>3.2075308012806798</v>
      </c>
    </row>
    <row r="1734" spans="1:9" x14ac:dyDescent="0.25">
      <c r="A1734" s="1" t="s">
        <v>1746</v>
      </c>
      <c r="B1734" t="str">
        <f>HYPERLINK("https://www.suredividend.com/sure-analysis-research-database/","ContextLogic Inc")</f>
        <v>ContextLogic Inc</v>
      </c>
      <c r="C1734">
        <v>-0.23555956678700299</v>
      </c>
      <c r="D1734">
        <v>-5.8685446009380006E-3</v>
      </c>
      <c r="E1734">
        <v>-0.54705882352941104</v>
      </c>
      <c r="F1734">
        <v>-0.28823529411764698</v>
      </c>
      <c r="G1734">
        <v>-0.78285391990975706</v>
      </c>
      <c r="H1734">
        <v>-0.94420289855072403</v>
      </c>
      <c r="I1734">
        <v>-0.99295926849542804</v>
      </c>
    </row>
    <row r="1735" spans="1:9" x14ac:dyDescent="0.25">
      <c r="A1735" s="1" t="s">
        <v>1747</v>
      </c>
      <c r="B1735" t="str">
        <f>HYPERLINK("https://www.suredividend.com/sure-analysis-research-database/","Workiva Inc")</f>
        <v>Workiva Inc</v>
      </c>
      <c r="C1735">
        <v>-3.1584309730005013E-2</v>
      </c>
      <c r="D1735">
        <v>-2.1716755866610999E-2</v>
      </c>
      <c r="E1735">
        <v>-8.3943716268311E-2</v>
      </c>
      <c r="F1735">
        <v>-6.3823500443218009E-2</v>
      </c>
      <c r="G1735">
        <v>6.1062737218128008E-2</v>
      </c>
      <c r="H1735">
        <v>-0.18788448393711499</v>
      </c>
      <c r="I1735">
        <v>1.5138852155514411</v>
      </c>
    </row>
    <row r="1736" spans="1:9" x14ac:dyDescent="0.25">
      <c r="A1736" s="1" t="s">
        <v>1748</v>
      </c>
      <c r="B1736" t="str">
        <f>HYPERLINK("https://www.suredividend.com/sure-analysis-research-database/","Workhorse Group Inc")</f>
        <v>Workhorse Group Inc</v>
      </c>
      <c r="C1736">
        <v>-0.17802932853100001</v>
      </c>
      <c r="D1736">
        <v>-0.27088087631218599</v>
      </c>
      <c r="E1736">
        <v>-0.70954545454545404</v>
      </c>
      <c r="F1736">
        <v>-0.112499999999999</v>
      </c>
      <c r="G1736">
        <v>-0.84261083743842302</v>
      </c>
      <c r="H1736">
        <v>-0.91870229007633608</v>
      </c>
      <c r="I1736">
        <v>-0.59043712344571209</v>
      </c>
    </row>
    <row r="1737" spans="1:9" x14ac:dyDescent="0.25">
      <c r="A1737" s="1" t="s">
        <v>1749</v>
      </c>
      <c r="B1737" t="str">
        <f>HYPERLINK("https://www.suredividend.com/sure-analysis-research-database/","Willdan Group Inc")</f>
        <v>Willdan Group Inc</v>
      </c>
      <c r="C1737">
        <v>-0.13542168674698701</v>
      </c>
      <c r="D1737">
        <v>-8.4226646248085013E-2</v>
      </c>
      <c r="E1737">
        <v>-9.0263691683569E-2</v>
      </c>
      <c r="F1737">
        <v>-0.16558139534883701</v>
      </c>
      <c r="G1737">
        <v>-7.1428571428571008E-2</v>
      </c>
      <c r="H1737">
        <v>-0.43047619047619001</v>
      </c>
      <c r="I1737">
        <v>-0.46447761194029802</v>
      </c>
    </row>
    <row r="1738" spans="1:9" x14ac:dyDescent="0.25">
      <c r="A1738" s="1" t="s">
        <v>1750</v>
      </c>
      <c r="B1738" t="str">
        <f>HYPERLINK("https://www.suredividend.com/sure-analysis-WLY/","John Wiley &amp; Sons Inc.")</f>
        <v>John Wiley &amp; Sons Inc.</v>
      </c>
      <c r="C1738">
        <v>1.2113935111552E-2</v>
      </c>
      <c r="D1738">
        <v>0.108670353052975</v>
      </c>
      <c r="E1738">
        <v>-5.1403892779179998E-2</v>
      </c>
      <c r="F1738">
        <v>1.4492753623188E-2</v>
      </c>
      <c r="G1738">
        <v>-0.23983096862532099</v>
      </c>
      <c r="H1738">
        <v>-0.43069306930693002</v>
      </c>
      <c r="I1738">
        <v>-0.30843855304727302</v>
      </c>
    </row>
    <row r="1739" spans="1:9" x14ac:dyDescent="0.25">
      <c r="A1739" s="1" t="s">
        <v>1751</v>
      </c>
      <c r="B1739" t="str">
        <f>HYPERLINK("https://www.suredividend.com/sure-analysis-research-database/","Weis Markets, Inc.")</f>
        <v>Weis Markets, Inc.</v>
      </c>
      <c r="C1739">
        <v>-4.2040185471406012E-2</v>
      </c>
      <c r="D1739">
        <v>-3.713169696677E-3</v>
      </c>
      <c r="E1739">
        <v>-3.03216146913E-2</v>
      </c>
      <c r="F1739">
        <v>-3.0956848030018001E-2</v>
      </c>
      <c r="G1739">
        <v>-0.28550596161006703</v>
      </c>
      <c r="H1739">
        <v>-3.823658464847E-3</v>
      </c>
      <c r="I1739">
        <v>0.44795153871132698</v>
      </c>
    </row>
    <row r="1740" spans="1:9" x14ac:dyDescent="0.25">
      <c r="A1740" s="1" t="s">
        <v>1752</v>
      </c>
      <c r="B1740" t="str">
        <f>HYPERLINK("https://www.suredividend.com/sure-analysis-research-database/","Wabash National Corp.")</f>
        <v>Wabash National Corp.</v>
      </c>
      <c r="C1740">
        <v>-8.9267335961318001E-2</v>
      </c>
      <c r="D1740">
        <v>8.757658255146801E-2</v>
      </c>
      <c r="E1740">
        <v>-1.2357118188633E-2</v>
      </c>
      <c r="F1740">
        <v>-8.1800063432149003E-2</v>
      </c>
      <c r="G1740">
        <v>-6.3472221667538006E-2</v>
      </c>
      <c r="H1740">
        <v>0.16814282725434099</v>
      </c>
      <c r="I1740">
        <v>0.76130389064143</v>
      </c>
    </row>
    <row r="1741" spans="1:9" x14ac:dyDescent="0.25">
      <c r="A1741" s="1" t="s">
        <v>1753</v>
      </c>
      <c r="B1741" t="str">
        <f>HYPERLINK("https://www.suredividend.com/sure-analysis-WOR/","Worthington Enterprises Inc.")</f>
        <v>Worthington Enterprises Inc.</v>
      </c>
      <c r="C1741">
        <v>-8.7735331749220005E-3</v>
      </c>
      <c r="D1741">
        <v>0.33393351732416299</v>
      </c>
      <c r="E1741">
        <v>0.154888844876897</v>
      </c>
      <c r="F1741">
        <v>-5.7688966116420007E-2</v>
      </c>
      <c r="G1741">
        <v>0.51594778184664303</v>
      </c>
      <c r="H1741">
        <v>0.45671491044278911</v>
      </c>
      <c r="I1741">
        <v>1.5285116144614259</v>
      </c>
    </row>
    <row r="1742" spans="1:9" x14ac:dyDescent="0.25">
      <c r="A1742" s="1" t="s">
        <v>1754</v>
      </c>
      <c r="B1742" t="str">
        <f>HYPERLINK("https://www.suredividend.com/sure-analysis-research-database/","WideOpenWest Inc")</f>
        <v>WideOpenWest Inc</v>
      </c>
      <c r="C1742">
        <v>-8.8541666666666005E-2</v>
      </c>
      <c r="D1742">
        <v>-0.50704225352112609</v>
      </c>
      <c r="E1742">
        <v>-0.60091220068415008</v>
      </c>
      <c r="F1742">
        <v>-0.13580246913580199</v>
      </c>
      <c r="G1742">
        <v>-0.67228464419475609</v>
      </c>
      <c r="H1742">
        <v>-0.8287671232876711</v>
      </c>
      <c r="I1742">
        <v>-0.55919395465994903</v>
      </c>
    </row>
    <row r="1743" spans="1:9" x14ac:dyDescent="0.25">
      <c r="A1743" s="1" t="s">
        <v>1755</v>
      </c>
      <c r="B1743" t="str">
        <f>HYPERLINK("https://www.suredividend.com/sure-analysis-research-database/","Warby Parker Inc")</f>
        <v>Warby Parker Inc</v>
      </c>
      <c r="C1743">
        <v>0.175064047822373</v>
      </c>
      <c r="D1743">
        <v>-2.8985507246369999E-3</v>
      </c>
      <c r="E1743">
        <v>5.6024558710667013E-2</v>
      </c>
      <c r="F1743">
        <v>-2.4113475177304999E-2</v>
      </c>
      <c r="G1743">
        <v>-0.17948717948717899</v>
      </c>
      <c r="H1743">
        <v>-0.61217587373167903</v>
      </c>
      <c r="I1743">
        <v>-0.74747660121123105</v>
      </c>
    </row>
    <row r="1744" spans="1:9" x14ac:dyDescent="0.25">
      <c r="A1744" s="1" t="s">
        <v>1756</v>
      </c>
      <c r="B1744" t="str">
        <f>HYPERLINK("https://www.suredividend.com/sure-analysis-research-database/","World Acceptance Corp.")</f>
        <v>World Acceptance Corp.</v>
      </c>
      <c r="C1744">
        <v>-3.8121838906922001E-2</v>
      </c>
      <c r="D1744">
        <v>2.9323854915581999E-2</v>
      </c>
      <c r="E1744">
        <v>-8.3836640782283006E-2</v>
      </c>
      <c r="F1744">
        <v>-2.3825940396843E-2</v>
      </c>
      <c r="G1744">
        <v>0.61229912691383004</v>
      </c>
      <c r="H1744">
        <v>-0.41145496535796711</v>
      </c>
      <c r="I1744">
        <v>0.17006427915518799</v>
      </c>
    </row>
    <row r="1745" spans="1:9" x14ac:dyDescent="0.25">
      <c r="A1745" s="1" t="s">
        <v>1757</v>
      </c>
      <c r="B1745" t="str">
        <f>HYPERLINK("https://www.suredividend.com/sure-analysis-WSBC/","Wesbanco, Inc.")</f>
        <v>Wesbanco, Inc.</v>
      </c>
      <c r="C1745">
        <v>-4.3988269794721001E-2</v>
      </c>
      <c r="D1745">
        <v>0.23849725622625501</v>
      </c>
      <c r="E1745">
        <v>0.17661212704523499</v>
      </c>
      <c r="F1745">
        <v>-6.4711507810009006E-2</v>
      </c>
      <c r="G1745">
        <v>-0.146097631250382</v>
      </c>
      <c r="H1745">
        <v>-0.12110428124663</v>
      </c>
      <c r="I1745">
        <v>-1.9588186939872E-2</v>
      </c>
    </row>
    <row r="1746" spans="1:9" x14ac:dyDescent="0.25">
      <c r="A1746" s="1" t="s">
        <v>1758</v>
      </c>
      <c r="B1746" t="str">
        <f>HYPERLINK("https://www.suredividend.com/sure-analysis-research-database/","Waterstone Financial Inc")</f>
        <v>Waterstone Financial Inc</v>
      </c>
      <c r="C1746">
        <v>2.7973096912259E-2</v>
      </c>
      <c r="D1746">
        <v>0.303989529303407</v>
      </c>
      <c r="E1746">
        <v>-3.6988243380636013E-2</v>
      </c>
      <c r="F1746">
        <v>-3.2116462655526999E-2</v>
      </c>
      <c r="G1746">
        <v>-0.147801073327124</v>
      </c>
      <c r="H1746">
        <v>-0.26048109965635702</v>
      </c>
      <c r="I1746">
        <v>0.15548835491103999</v>
      </c>
    </row>
    <row r="1747" spans="1:9" x14ac:dyDescent="0.25">
      <c r="A1747" s="1" t="s">
        <v>1759</v>
      </c>
      <c r="B1747" t="str">
        <f>HYPERLINK("https://www.suredividend.com/sure-analysis-research-database/","WSFS Financial Corp.")</f>
        <v>WSFS Financial Corp.</v>
      </c>
      <c r="C1747">
        <v>1.9213174748398999E-2</v>
      </c>
      <c r="D1747">
        <v>0.27375061815208901</v>
      </c>
      <c r="E1747">
        <v>0.15011059748451999</v>
      </c>
      <c r="F1747">
        <v>-2.9827999129108999E-2</v>
      </c>
      <c r="G1747">
        <v>-5.9240805641177008E-2</v>
      </c>
      <c r="H1747">
        <v>-0.15538235249518501</v>
      </c>
      <c r="I1747">
        <v>0.19629941849539001</v>
      </c>
    </row>
    <row r="1748" spans="1:9" x14ac:dyDescent="0.25">
      <c r="A1748" s="1" t="s">
        <v>1760</v>
      </c>
      <c r="B1748" t="str">
        <f>HYPERLINK("https://www.suredividend.com/sure-analysis-WSR/","Whitestone REIT")</f>
        <v>Whitestone REIT</v>
      </c>
      <c r="C1748">
        <v>1.6348140710179999E-3</v>
      </c>
      <c r="D1748">
        <v>0.26457615221012698</v>
      </c>
      <c r="E1748">
        <v>0.25011651873103302</v>
      </c>
      <c r="F1748">
        <v>-1.4661703239289E-2</v>
      </c>
      <c r="G1748">
        <v>0.22907417213148101</v>
      </c>
      <c r="H1748">
        <v>0.286560927773514</v>
      </c>
      <c r="I1748">
        <v>0.19300603916064499</v>
      </c>
    </row>
    <row r="1749" spans="1:9" x14ac:dyDescent="0.25">
      <c r="A1749" s="1" t="s">
        <v>1761</v>
      </c>
      <c r="B1749" t="str">
        <f>HYPERLINK("https://www.suredividend.com/sure-analysis-research-database/","WisdomTree Inc")</f>
        <v>WisdomTree Inc</v>
      </c>
      <c r="C1749">
        <v>0.10062893081761</v>
      </c>
      <c r="D1749">
        <v>2.9714621947631002E-2</v>
      </c>
      <c r="E1749">
        <v>-4.9185454752220014E-3</v>
      </c>
      <c r="F1749">
        <v>1.010101010101E-2</v>
      </c>
      <c r="G1749">
        <v>0.23828055899522299</v>
      </c>
      <c r="H1749">
        <v>0.110212367765776</v>
      </c>
      <c r="I1749">
        <v>0.17158733346722899</v>
      </c>
    </row>
    <row r="1750" spans="1:9" x14ac:dyDescent="0.25">
      <c r="A1750" s="1" t="s">
        <v>1762</v>
      </c>
      <c r="B1750" t="str">
        <f>HYPERLINK("https://www.suredividend.com/sure-analysis-research-database/","West Bancorporation")</f>
        <v>West Bancorporation</v>
      </c>
      <c r="C1750">
        <v>4.570848146267E-3</v>
      </c>
      <c r="D1750">
        <v>0.295282499934515</v>
      </c>
      <c r="E1750">
        <v>0.110936376707404</v>
      </c>
      <c r="F1750">
        <v>-6.6981132075471003E-2</v>
      </c>
      <c r="G1750">
        <v>-0.10955049857068801</v>
      </c>
      <c r="H1750">
        <v>-0.29540086988426401</v>
      </c>
      <c r="I1750">
        <v>0.27757145163894698</v>
      </c>
    </row>
    <row r="1751" spans="1:9" x14ac:dyDescent="0.25">
      <c r="A1751" s="1" t="s">
        <v>1763</v>
      </c>
      <c r="B1751" t="str">
        <f>HYPERLINK("https://www.suredividend.com/sure-analysis-research-database/","W &amp; T Offshore Inc")</f>
        <v>W &amp; T Offshore Inc</v>
      </c>
      <c r="C1751">
        <v>-4.8387096774193013E-2</v>
      </c>
      <c r="D1751">
        <v>-0.27837573385518499</v>
      </c>
      <c r="E1751">
        <v>-0.28535090481843001</v>
      </c>
      <c r="F1751">
        <v>-9.5092024539877001E-2</v>
      </c>
      <c r="G1751">
        <v>-0.50770976570322401</v>
      </c>
      <c r="H1751">
        <v>-0.29555603314468498</v>
      </c>
      <c r="I1751">
        <v>-0.43857645827385999</v>
      </c>
    </row>
    <row r="1752" spans="1:9" x14ac:dyDescent="0.25">
      <c r="A1752" s="1" t="s">
        <v>1764</v>
      </c>
      <c r="B1752" t="str">
        <f>HYPERLINK("https://www.suredividend.com/sure-analysis-research-database/","Watts Water Technologies, Inc.")</f>
        <v>Watts Water Technologies, Inc.</v>
      </c>
      <c r="C1752">
        <v>-1.2867647058823E-2</v>
      </c>
      <c r="D1752">
        <v>0.117456368078395</v>
      </c>
      <c r="E1752">
        <v>9.2716160529017003E-2</v>
      </c>
      <c r="F1752">
        <v>-4.6318517807430001E-2</v>
      </c>
      <c r="G1752">
        <v>0.26514412990061098</v>
      </c>
      <c r="H1752">
        <v>7.5574408377235003E-2</v>
      </c>
      <c r="I1752">
        <v>1.933252235481</v>
      </c>
    </row>
    <row r="1753" spans="1:9" x14ac:dyDescent="0.25">
      <c r="A1753" s="1" t="s">
        <v>1765</v>
      </c>
      <c r="B1753" t="str">
        <f>HYPERLINK("https://www.suredividend.com/sure-analysis-research-database/","Select Water Solutions Inc")</f>
        <v>Select Water Solutions Inc</v>
      </c>
      <c r="C1753">
        <v>-1.3568521031207001E-2</v>
      </c>
      <c r="D1753">
        <v>-4.7182175622541997E-2</v>
      </c>
      <c r="E1753">
        <v>-0.11195260489830799</v>
      </c>
      <c r="F1753">
        <v>-4.2160737812911013E-2</v>
      </c>
      <c r="G1753">
        <v>-0.18572612620685</v>
      </c>
      <c r="H1753">
        <v>0.127673765685833</v>
      </c>
      <c r="I1753">
        <v>-4.3282580373475002E-2</v>
      </c>
    </row>
    <row r="1754" spans="1:9" x14ac:dyDescent="0.25">
      <c r="A1754" s="1" t="s">
        <v>1766</v>
      </c>
      <c r="B1754" t="str">
        <f>HYPERLINK("https://www.suredividend.com/sure-analysis-research-database/","TeraWulf Inc")</f>
        <v>TeraWulf Inc</v>
      </c>
      <c r="C1754">
        <v>4.2944785276072997E-2</v>
      </c>
      <c r="D1754">
        <v>0.66666666666666607</v>
      </c>
      <c r="E1754">
        <v>-0.56072351421188604</v>
      </c>
      <c r="F1754">
        <v>-0.29166666666666602</v>
      </c>
      <c r="G1754">
        <v>0.9318181818181811</v>
      </c>
      <c r="H1754">
        <v>-0.88764044943820208</v>
      </c>
      <c r="I1754">
        <v>-0.78126326895611109</v>
      </c>
    </row>
    <row r="1755" spans="1:9" x14ac:dyDescent="0.25">
      <c r="A1755" s="1" t="s">
        <v>1767</v>
      </c>
      <c r="B1755" t="str">
        <f>HYPERLINK("https://www.suredividend.com/sure-analysis-research-database/","WW International Inc")</f>
        <v>WW International Inc</v>
      </c>
      <c r="C1755">
        <v>-0.23812754409769299</v>
      </c>
      <c r="D1755">
        <v>-0.48931332423828999</v>
      </c>
      <c r="E1755">
        <v>-0.32754491017963999</v>
      </c>
      <c r="F1755">
        <v>-0.35828571428571399</v>
      </c>
      <c r="G1755">
        <v>0.26892655367231599</v>
      </c>
      <c r="H1755">
        <v>-0.61646174863387904</v>
      </c>
      <c r="I1755">
        <v>-0.83138138138138107</v>
      </c>
    </row>
    <row r="1756" spans="1:9" x14ac:dyDescent="0.25">
      <c r="A1756" s="1" t="s">
        <v>1768</v>
      </c>
      <c r="B1756" t="str">
        <f>HYPERLINK("https://www.suredividend.com/sure-analysis-research-database/","Wolverine World Wide, Inc.")</f>
        <v>Wolverine World Wide, Inc.</v>
      </c>
      <c r="C1756">
        <v>-3.6316010736345002E-2</v>
      </c>
      <c r="D1756">
        <v>0.24853360147477699</v>
      </c>
      <c r="E1756">
        <v>-0.32852636322667811</v>
      </c>
      <c r="F1756">
        <v>5.6242969628789996E-3</v>
      </c>
      <c r="G1756">
        <v>-0.31868584101145397</v>
      </c>
      <c r="H1756">
        <v>-0.63452772724485407</v>
      </c>
      <c r="I1756">
        <v>-0.69247069183774501</v>
      </c>
    </row>
    <row r="1757" spans="1:9" x14ac:dyDescent="0.25">
      <c r="A1757" s="1" t="s">
        <v>1769</v>
      </c>
      <c r="B1757" t="str">
        <f>HYPERLINK("https://www.suredividend.com/sure-analysis-research-database/","Xeris Biopharma Holdings Inc")</f>
        <v>Xeris Biopharma Holdings Inc</v>
      </c>
      <c r="C1757">
        <v>0.30660377358490498</v>
      </c>
      <c r="D1757">
        <v>0.75316455696202511</v>
      </c>
      <c r="E1757">
        <v>9.0551181102362002E-2</v>
      </c>
      <c r="F1757">
        <v>0.17872340425531899</v>
      </c>
      <c r="G1757">
        <v>1.1640625</v>
      </c>
      <c r="H1757">
        <v>0.225663716814159</v>
      </c>
      <c r="I1757">
        <v>0.17372881355932199</v>
      </c>
    </row>
    <row r="1758" spans="1:9" x14ac:dyDescent="0.25">
      <c r="A1758" s="1" t="s">
        <v>1770</v>
      </c>
      <c r="B1758" t="str">
        <f>HYPERLINK("https://www.suredividend.com/sure-analysis-research-database/","Xenia Hotels &amp; Resorts Inc")</f>
        <v>Xenia Hotels &amp; Resorts Inc</v>
      </c>
      <c r="C1758">
        <v>1.6506646686698E-2</v>
      </c>
      <c r="D1758">
        <v>0.15463917525773099</v>
      </c>
      <c r="E1758">
        <v>3.7257730171115E-2</v>
      </c>
      <c r="F1758">
        <v>-3.3773861967693997E-2</v>
      </c>
      <c r="G1758">
        <v>-5.1481316288800004E-3</v>
      </c>
      <c r="H1758">
        <v>-0.25119206127024202</v>
      </c>
      <c r="I1758">
        <v>-0.187247944960134</v>
      </c>
    </row>
    <row r="1759" spans="1:9" x14ac:dyDescent="0.25">
      <c r="A1759" s="1" t="s">
        <v>1771</v>
      </c>
      <c r="B1759" t="str">
        <f>HYPERLINK("https://www.suredividend.com/sure-analysis-research-database/","Xometry Inc")</f>
        <v>Xometry Inc</v>
      </c>
      <c r="C1759">
        <v>0.17704661182921999</v>
      </c>
      <c r="D1759">
        <v>0.75525700934579409</v>
      </c>
      <c r="E1759">
        <v>0.28035790370685998</v>
      </c>
      <c r="F1759">
        <v>-0.16318574213310999</v>
      </c>
      <c r="G1759">
        <v>5.9217483256961002E-2</v>
      </c>
      <c r="H1759">
        <v>-0.44649106649475001</v>
      </c>
      <c r="I1759">
        <v>-0.65613914635541803</v>
      </c>
    </row>
    <row r="1760" spans="1:9" x14ac:dyDescent="0.25">
      <c r="A1760" s="1" t="s">
        <v>1772</v>
      </c>
      <c r="B1760" t="str">
        <f>HYPERLINK("https://www.suredividend.com/sure-analysis-research-database/","Xencor Inc")</f>
        <v>Xencor Inc</v>
      </c>
      <c r="C1760">
        <v>-1.2165450121654001E-2</v>
      </c>
      <c r="D1760">
        <v>7.6923076923076011E-2</v>
      </c>
      <c r="E1760">
        <v>-0.157676348547717</v>
      </c>
      <c r="F1760">
        <v>-4.3805934997644007E-2</v>
      </c>
      <c r="G1760">
        <v>-0.28268551236749101</v>
      </c>
      <c r="H1760">
        <v>-0.43782885627250001</v>
      </c>
      <c r="I1760">
        <v>-0.45938748335552498</v>
      </c>
    </row>
    <row r="1761" spans="1:9" x14ac:dyDescent="0.25">
      <c r="A1761" s="1" t="s">
        <v>1773</v>
      </c>
      <c r="B1761" t="str">
        <f>HYPERLINK("https://www.suredividend.com/sure-analysis-research-database/","Xos Inc")</f>
        <v>Xos Inc</v>
      </c>
      <c r="C1761">
        <v>0.56783919597989907</v>
      </c>
      <c r="D1761">
        <v>-4.2944785276072997E-2</v>
      </c>
      <c r="E1761">
        <v>-0.22388059701492499</v>
      </c>
      <c r="F1761">
        <v>0.17293233082706699</v>
      </c>
      <c r="G1761">
        <v>-0.6855789579764181</v>
      </c>
      <c r="H1761">
        <v>-0.87317073170731707</v>
      </c>
      <c r="I1761">
        <v>-0.95867549668874108</v>
      </c>
    </row>
    <row r="1762" spans="1:9" x14ac:dyDescent="0.25">
      <c r="A1762" s="1" t="s">
        <v>1774</v>
      </c>
      <c r="B1762" t="str">
        <f>HYPERLINK("https://www.suredividend.com/sure-analysis-research-database/","XPEL Inc")</f>
        <v>XPEL Inc</v>
      </c>
      <c r="C1762">
        <v>-2.5360905189230998E-2</v>
      </c>
      <c r="D1762">
        <v>-0.20559707425663801</v>
      </c>
      <c r="E1762">
        <v>-0.40282094190772111</v>
      </c>
      <c r="F1762">
        <v>-7.2237697307335008E-2</v>
      </c>
      <c r="G1762">
        <v>-0.31599123767798398</v>
      </c>
      <c r="H1762">
        <v>-0.23957382039573799</v>
      </c>
      <c r="I1762">
        <v>28.791293977340491</v>
      </c>
    </row>
    <row r="1763" spans="1:9" x14ac:dyDescent="0.25">
      <c r="A1763" s="1" t="s">
        <v>1775</v>
      </c>
      <c r="B1763" t="str">
        <f>HYPERLINK("https://www.suredividend.com/sure-analysis-research-database/","Xperi Inc")</f>
        <v>Xperi Inc</v>
      </c>
      <c r="C1763">
        <v>0.107454017424975</v>
      </c>
      <c r="D1763">
        <v>0.31343283582089498</v>
      </c>
      <c r="E1763">
        <v>-0.126050420168067</v>
      </c>
      <c r="F1763">
        <v>3.8112522686024997E-2</v>
      </c>
      <c r="G1763">
        <v>0.15322580645161199</v>
      </c>
      <c r="H1763">
        <v>-0.50260869565217303</v>
      </c>
      <c r="I1763">
        <v>-0.50260869565217303</v>
      </c>
    </row>
    <row r="1764" spans="1:9" x14ac:dyDescent="0.25">
      <c r="A1764" s="1" t="s">
        <v>1776</v>
      </c>
      <c r="B1764" t="str">
        <f>HYPERLINK("https://www.suredividend.com/sure-analysis-research-database/","Xponential Fitness Inc")</f>
        <v>Xponential Fitness Inc</v>
      </c>
      <c r="C1764">
        <v>0.13383600377002799</v>
      </c>
      <c r="D1764">
        <v>-0.125090909090909</v>
      </c>
      <c r="E1764">
        <v>-0.41771539206195502</v>
      </c>
      <c r="F1764">
        <v>-6.6718386346004008E-2</v>
      </c>
      <c r="G1764">
        <v>-0.51057770545158609</v>
      </c>
      <c r="H1764">
        <v>-0.22686375321336699</v>
      </c>
      <c r="I1764">
        <v>-1.7959183673468999E-2</v>
      </c>
    </row>
    <row r="1765" spans="1:9" x14ac:dyDescent="0.25">
      <c r="A1765" s="1" t="s">
        <v>1777</v>
      </c>
      <c r="B1765" t="str">
        <f>HYPERLINK("https://www.suredividend.com/sure-analysis-research-database/","Expro Group Holdings N.V.")</f>
        <v>Expro Group Holdings N.V.</v>
      </c>
      <c r="C1765">
        <v>6.8431245965137999E-2</v>
      </c>
      <c r="D1765">
        <v>-0.23201856148491801</v>
      </c>
      <c r="E1765">
        <v>-0.19582118561710299</v>
      </c>
      <c r="F1765">
        <v>3.9572864321608003E-2</v>
      </c>
      <c r="G1765">
        <v>-9.0659340659340004E-2</v>
      </c>
      <c r="H1765">
        <v>5.2129688493324007E-2</v>
      </c>
      <c r="I1765">
        <v>-0.53248587570621408</v>
      </c>
    </row>
    <row r="1766" spans="1:9" x14ac:dyDescent="0.25">
      <c r="A1766" s="1" t="s">
        <v>1778</v>
      </c>
      <c r="B1766" t="str">
        <f>HYPERLINK("https://www.suredividend.com/sure-analysis-XRX/","Xerox Holdings Corp")</f>
        <v>Xerox Holdings Corp</v>
      </c>
      <c r="C1766">
        <v>-1.3010318528488E-2</v>
      </c>
      <c r="D1766">
        <v>0.152518532871177</v>
      </c>
      <c r="E1766">
        <v>5.8166196663416013E-2</v>
      </c>
      <c r="F1766">
        <v>-0.123840698308783</v>
      </c>
      <c r="G1766">
        <v>7.2332356260057004E-2</v>
      </c>
      <c r="H1766">
        <v>-0.20159879096404701</v>
      </c>
      <c r="I1766">
        <v>-0.32416793963801299</v>
      </c>
    </row>
    <row r="1767" spans="1:9" x14ac:dyDescent="0.25">
      <c r="A1767" s="1" t="s">
        <v>1779</v>
      </c>
      <c r="B1767" t="str">
        <f>HYPERLINK("https://www.suredividend.com/sure-analysis-research-database/","22nd Century Group Inc")</f>
        <v>22nd Century Group Inc</v>
      </c>
      <c r="C1767">
        <v>-0.113614103819784</v>
      </c>
      <c r="D1767">
        <v>-0.69296013570822701</v>
      </c>
      <c r="E1767">
        <v>-0.92612244897959106</v>
      </c>
      <c r="F1767">
        <v>-2.7926960257787001E-2</v>
      </c>
      <c r="G1767">
        <v>-0.98882716049382713</v>
      </c>
      <c r="H1767">
        <v>-0.99519256308100912</v>
      </c>
      <c r="I1767">
        <v>-0.99535897435897402</v>
      </c>
    </row>
    <row r="1768" spans="1:9" x14ac:dyDescent="0.25">
      <c r="A1768" s="1" t="s">
        <v>1780</v>
      </c>
      <c r="B1768" t="str">
        <f>HYPERLINK("https://www.suredividend.com/sure-analysis-research-database/","Yelp Inc")</f>
        <v>Yelp Inc</v>
      </c>
      <c r="C1768">
        <v>-1.7532029669588001E-2</v>
      </c>
      <c r="D1768">
        <v>4.0962133841389997E-2</v>
      </c>
      <c r="E1768">
        <v>0.14274509803921501</v>
      </c>
      <c r="F1768">
        <v>-7.6679340937896009E-2</v>
      </c>
      <c r="G1768">
        <v>0.50464716006884602</v>
      </c>
      <c r="H1768">
        <v>0.23265651438240201</v>
      </c>
      <c r="I1768">
        <v>0.26695652173912998</v>
      </c>
    </row>
    <row r="1769" spans="1:9" x14ac:dyDescent="0.25">
      <c r="A1769" s="1" t="s">
        <v>1781</v>
      </c>
      <c r="B1769" t="str">
        <f>HYPERLINK("https://www.suredividend.com/sure-analysis-research-database/","Yext Inc")</f>
        <v>Yext Inc</v>
      </c>
      <c r="C1769">
        <v>-3.3509700176366002E-2</v>
      </c>
      <c r="D1769">
        <v>-6.6439522998296002E-2</v>
      </c>
      <c r="E1769">
        <v>-0.47709923664122111</v>
      </c>
      <c r="F1769">
        <v>-6.9609507640067E-2</v>
      </c>
      <c r="G1769">
        <v>-0.17593984962406001</v>
      </c>
      <c r="H1769">
        <v>-0.38770949720670311</v>
      </c>
      <c r="I1769">
        <v>-0.653603034134007</v>
      </c>
    </row>
    <row r="1770" spans="1:9" x14ac:dyDescent="0.25">
      <c r="A1770" s="1" t="s">
        <v>1782</v>
      </c>
      <c r="B1770" t="str">
        <f>HYPERLINK("https://www.suredividend.com/sure-analysis-research-database/","Y-Mabs Therapeutics Inc")</f>
        <v>Y-Mabs Therapeutics Inc</v>
      </c>
      <c r="C1770">
        <v>0.40875912408759102</v>
      </c>
      <c r="D1770">
        <v>0.82075471698113212</v>
      </c>
      <c r="E1770">
        <v>0.36492220650636398</v>
      </c>
      <c r="F1770">
        <v>0.41495601173020502</v>
      </c>
      <c r="G1770">
        <v>1.0230607966457019</v>
      </c>
      <c r="H1770">
        <v>-0.23168789808917201</v>
      </c>
      <c r="I1770">
        <v>-0.59179357021996604</v>
      </c>
    </row>
    <row r="1771" spans="1:9" x14ac:dyDescent="0.25">
      <c r="A1771" s="1" t="s">
        <v>1783</v>
      </c>
      <c r="B1771" t="str">
        <f>HYPERLINK("https://www.suredividend.com/sure-analysis-YORW/","York Water Co.")</f>
        <v>York Water Co.</v>
      </c>
      <c r="C1771">
        <v>-7.4910200068227004E-2</v>
      </c>
      <c r="D1771">
        <v>9.1888726528419999E-3</v>
      </c>
      <c r="E1771">
        <v>-0.117466881078183</v>
      </c>
      <c r="F1771">
        <v>-4.5054375970998997E-2</v>
      </c>
      <c r="G1771">
        <v>-0.16333179066960599</v>
      </c>
      <c r="H1771">
        <v>-0.156386461009179</v>
      </c>
      <c r="I1771">
        <v>0.289406795956968</v>
      </c>
    </row>
    <row r="1772" spans="1:9" x14ac:dyDescent="0.25">
      <c r="A1772" s="1" t="s">
        <v>1784</v>
      </c>
      <c r="B1772" t="str">
        <f>HYPERLINK("https://www.suredividend.com/sure-analysis-research-database/","Clear Secure Inc")</f>
        <v>Clear Secure Inc</v>
      </c>
      <c r="C1772">
        <v>-6.5226781857451011E-2</v>
      </c>
      <c r="D1772">
        <v>0.30238268625456599</v>
      </c>
      <c r="E1772">
        <v>-0.145623095023767</v>
      </c>
      <c r="F1772">
        <v>4.7941888619854003E-2</v>
      </c>
      <c r="G1772">
        <v>-0.26288252445704002</v>
      </c>
      <c r="H1772">
        <v>-0.15080641996625199</v>
      </c>
      <c r="I1772">
        <v>-0.44611383845157498</v>
      </c>
    </row>
    <row r="1773" spans="1:9" x14ac:dyDescent="0.25">
      <c r="A1773" s="1" t="s">
        <v>1785</v>
      </c>
      <c r="B1773" t="str">
        <f>HYPERLINK("https://www.suredividend.com/sure-analysis-research-database/","Ziff Davis Inc")</f>
        <v>Ziff Davis Inc</v>
      </c>
      <c r="C1773">
        <v>1.6687268232384998E-2</v>
      </c>
      <c r="D1773">
        <v>6.4724919093851002E-2</v>
      </c>
      <c r="E1773">
        <v>-0.116422720558614</v>
      </c>
      <c r="F1773">
        <v>-2.0687602321773999E-2</v>
      </c>
      <c r="G1773">
        <v>-0.21694632869213301</v>
      </c>
      <c r="H1773">
        <v>-0.39074074074074011</v>
      </c>
      <c r="I1773">
        <v>4.7844116466758013E-2</v>
      </c>
    </row>
    <row r="1774" spans="1:9" x14ac:dyDescent="0.25">
      <c r="A1774" s="1" t="s">
        <v>1786</v>
      </c>
      <c r="B1774" t="str">
        <f>HYPERLINK("https://www.suredividend.com/sure-analysis-research-database/","Zeta Global Holdings Corp")</f>
        <v>Zeta Global Holdings Corp</v>
      </c>
      <c r="C1774">
        <v>0.124708624708624</v>
      </c>
      <c r="D1774">
        <v>0.12997658079625299</v>
      </c>
      <c r="E1774">
        <v>7.9418344519014999E-2</v>
      </c>
      <c r="F1774">
        <v>9.4104308390022012E-2</v>
      </c>
      <c r="G1774">
        <v>8.7936865839910006E-2</v>
      </c>
      <c r="H1774">
        <v>0.114318706697459</v>
      </c>
      <c r="I1774">
        <v>8.5489313835770006E-2</v>
      </c>
    </row>
    <row r="1775" spans="1:9" x14ac:dyDescent="0.25">
      <c r="A1775" s="1" t="s">
        <v>1787</v>
      </c>
      <c r="B1775" t="str">
        <f>HYPERLINK("https://www.suredividend.com/sure-analysis-research-database/","Olympic Steel Inc.")</f>
        <v>Olympic Steel Inc.</v>
      </c>
      <c r="C1775">
        <v>0.115486025663561</v>
      </c>
      <c r="D1775">
        <v>0.28318154612659502</v>
      </c>
      <c r="E1775">
        <v>0.22030013306771001</v>
      </c>
      <c r="F1775">
        <v>-4.8575712143928002E-2</v>
      </c>
      <c r="G1775">
        <v>0.55881926686858108</v>
      </c>
      <c r="H1775">
        <v>1.5759365473682501</v>
      </c>
      <c r="I1775">
        <v>2.8729364377040678</v>
      </c>
    </row>
    <row r="1776" spans="1:9" x14ac:dyDescent="0.25">
      <c r="A1776" s="1" t="s">
        <v>1788</v>
      </c>
      <c r="B1776" t="str">
        <f>HYPERLINK("https://www.suredividend.com/sure-analysis-research-database/","Lightning eMotors Inc")</f>
        <v>Lightning eMotors Inc</v>
      </c>
      <c r="C1776">
        <v>-0.25909090909090898</v>
      </c>
      <c r="D1776">
        <v>-0.55219780219780201</v>
      </c>
      <c r="E1776">
        <v>-0.74531249999999993</v>
      </c>
      <c r="F1776">
        <v>-0.7776261937244201</v>
      </c>
      <c r="G1776">
        <v>-0.95710526315789413</v>
      </c>
      <c r="H1776">
        <v>-0.99137566137566113</v>
      </c>
      <c r="I1776">
        <v>-0.83367346938775511</v>
      </c>
    </row>
    <row r="1777" spans="1:9" x14ac:dyDescent="0.25">
      <c r="A1777" s="1" t="s">
        <v>1789</v>
      </c>
      <c r="B1777" t="str">
        <f>HYPERLINK("https://www.suredividend.com/sure-analysis-research-database/","Ermenegildo Zegna N.V.")</f>
        <v>Ermenegildo Zegna N.V.</v>
      </c>
      <c r="C1777">
        <v>-7.6595744680851008E-2</v>
      </c>
      <c r="D1777">
        <v>-0.114285714285714</v>
      </c>
      <c r="E1777">
        <v>-0.25989085948158203</v>
      </c>
      <c r="F1777">
        <v>-6.2229904926533998E-2</v>
      </c>
      <c r="G1777">
        <v>-3.2416283943460002E-2</v>
      </c>
      <c r="H1777">
        <v>0.123700236132399</v>
      </c>
      <c r="I1777">
        <v>1.8033740546829002E-2</v>
      </c>
    </row>
    <row r="1778" spans="1:9" x14ac:dyDescent="0.25">
      <c r="A1778" s="1" t="s">
        <v>1790</v>
      </c>
      <c r="B1778" t="str">
        <f>HYPERLINK("https://www.suredividend.com/sure-analysis-research-database/","ZimVie Inc")</f>
        <v>ZimVie Inc</v>
      </c>
      <c r="C1778">
        <v>0.55834829443447009</v>
      </c>
      <c r="D1778">
        <v>1.1093560145808019</v>
      </c>
      <c r="E1778">
        <v>0.60000000000000009</v>
      </c>
      <c r="F1778">
        <v>-2.1971830985915E-2</v>
      </c>
      <c r="G1778">
        <v>0.91189427312775306</v>
      </c>
      <c r="H1778">
        <v>-0.320015667841754</v>
      </c>
      <c r="I1778">
        <v>-0.320015667841754</v>
      </c>
    </row>
    <row r="1779" spans="1:9" x14ac:dyDescent="0.25">
      <c r="A1779" s="1" t="s">
        <v>1791</v>
      </c>
      <c r="B1779" t="str">
        <f>HYPERLINK("https://www.suredividend.com/sure-analysis-research-database/","ZipRecruiter Inc")</f>
        <v>ZipRecruiter Inc</v>
      </c>
      <c r="C1779">
        <v>2.0057306590257E-2</v>
      </c>
      <c r="D1779">
        <v>0.33084112149532702</v>
      </c>
      <c r="E1779">
        <v>-0.25052631578947299</v>
      </c>
      <c r="F1779">
        <v>2.4460431654675999E-2</v>
      </c>
      <c r="G1779">
        <v>-0.19320113314447501</v>
      </c>
      <c r="H1779">
        <v>-0.41639344262295003</v>
      </c>
      <c r="I1779">
        <v>-0.32511848341232202</v>
      </c>
    </row>
    <row r="1780" spans="1:9" x14ac:dyDescent="0.25">
      <c r="A1780" s="1" t="s">
        <v>1792</v>
      </c>
      <c r="B1780" t="str">
        <f>HYPERLINK("https://www.suredividend.com/sure-analysis-research-database/","Zentalis Pharmaceuticals Inc")</f>
        <v>Zentalis Pharmaceuticals Inc</v>
      </c>
      <c r="C1780">
        <v>-5.9986816084376997E-2</v>
      </c>
      <c r="D1780">
        <v>-0.24709609292502599</v>
      </c>
      <c r="E1780">
        <v>-0.48389431777053898</v>
      </c>
      <c r="F1780">
        <v>-5.8745874587458002E-2</v>
      </c>
      <c r="G1780">
        <v>-0.42822774659182011</v>
      </c>
      <c r="H1780">
        <v>-0.78175696357514501</v>
      </c>
      <c r="I1780">
        <v>-0.38534482758620597</v>
      </c>
    </row>
    <row r="1781" spans="1:9" x14ac:dyDescent="0.25">
      <c r="A1781" s="1" t="s">
        <v>1793</v>
      </c>
      <c r="B1781" t="str">
        <f>HYPERLINK("https://www.suredividend.com/sure-analysis-research-database/","Zumiez Inc")</f>
        <v>Zumiez Inc</v>
      </c>
      <c r="C1781">
        <v>-7.9816980172852006E-2</v>
      </c>
      <c r="D1781">
        <v>0.14484503478810801</v>
      </c>
      <c r="E1781">
        <v>3.6655211912943013E-2</v>
      </c>
      <c r="F1781">
        <v>-0.110127826941986</v>
      </c>
      <c r="G1781">
        <v>-0.25819672131147497</v>
      </c>
      <c r="H1781">
        <v>-0.58872983412860702</v>
      </c>
      <c r="I1781">
        <v>-0.18394950405770899</v>
      </c>
    </row>
    <row r="1782" spans="1:9" x14ac:dyDescent="0.25">
      <c r="A1782" s="1" t="s">
        <v>1794</v>
      </c>
      <c r="B1782" t="str">
        <f>HYPERLINK("https://www.suredividend.com/sure-analysis-research-database/","Zuora Inc")</f>
        <v>Zuora Inc</v>
      </c>
      <c r="C1782">
        <v>-6.2153163152053013E-2</v>
      </c>
      <c r="D1782">
        <v>0.101694915254237</v>
      </c>
      <c r="E1782">
        <v>-0.234601449275362</v>
      </c>
      <c r="F1782">
        <v>-0.10106382978723399</v>
      </c>
      <c r="G1782">
        <v>0.25557206537889998</v>
      </c>
      <c r="H1782">
        <v>-0.47613143211407299</v>
      </c>
      <c r="I1782">
        <v>-0.5768652979469201</v>
      </c>
    </row>
    <row r="1783" spans="1:9" x14ac:dyDescent="0.25">
      <c r="A1783" s="1" t="s">
        <v>1795</v>
      </c>
      <c r="B1783" t="str">
        <f>HYPERLINK("https://www.suredividend.com/sure-analysis-research-database/","Zurn Elkay Water Solutions Corp")</f>
        <v>Zurn Elkay Water Solutions Corp</v>
      </c>
      <c r="C1783">
        <v>-3.9904502046384002E-2</v>
      </c>
      <c r="D1783">
        <v>6.3934327094608001E-2</v>
      </c>
      <c r="E1783">
        <v>3.3399167406994001E-2</v>
      </c>
      <c r="F1783">
        <v>-4.2842570554233003E-2</v>
      </c>
      <c r="G1783">
        <v>0.26925296685062899</v>
      </c>
      <c r="H1783">
        <v>-0.14639286548182501</v>
      </c>
      <c r="I1783">
        <v>0.16456094190847301</v>
      </c>
    </row>
    <row r="1784" spans="1:9" x14ac:dyDescent="0.25">
      <c r="A1784" s="1" t="s">
        <v>1796</v>
      </c>
      <c r="B1784" t="str">
        <f>HYPERLINK("https://www.suredividend.com/sure-analysis-research-database/","Zynex Inc")</f>
        <v>Zynex Inc</v>
      </c>
      <c r="C1784">
        <v>6.421052631578901E-2</v>
      </c>
      <c r="D1784">
        <v>0.26850690087829299</v>
      </c>
      <c r="E1784">
        <v>9.6529284164858009E-2</v>
      </c>
      <c r="F1784">
        <v>-7.1625344352617012E-2</v>
      </c>
      <c r="G1784">
        <v>-0.39821428571428502</v>
      </c>
      <c r="H1784">
        <v>0.20357142857142799</v>
      </c>
      <c r="I1784">
        <v>52.463775780010579</v>
      </c>
    </row>
  </sheetData>
  <autoFilter ref="A1:I1784" xr:uid="{00000000-0009-0000-0000-000001000000}"/>
  <conditionalFormatting sqref="A1:I1">
    <cfRule type="cellIs" dxfId="9" priority="10" operator="notEqual">
      <formula>-13.345</formula>
    </cfRule>
  </conditionalFormatting>
  <conditionalFormatting sqref="A2:A1784">
    <cfRule type="cellIs" dxfId="8" priority="1" operator="notEqual">
      <formula>"None"</formula>
    </cfRule>
  </conditionalFormatting>
  <conditionalFormatting sqref="B2:B1784">
    <cfRule type="cellIs" dxfId="7" priority="2" operator="notEqual">
      <formula>"None"</formula>
    </cfRule>
  </conditionalFormatting>
  <conditionalFormatting sqref="C2:C1784">
    <cfRule type="cellIs" dxfId="6" priority="3" operator="notEqual">
      <formula>"None"</formula>
    </cfRule>
  </conditionalFormatting>
  <conditionalFormatting sqref="D2:D1784">
    <cfRule type="cellIs" dxfId="5" priority="4" operator="notEqual">
      <formula>"None"</formula>
    </cfRule>
  </conditionalFormatting>
  <conditionalFormatting sqref="E2:E1784">
    <cfRule type="cellIs" dxfId="4" priority="5" operator="notEqual">
      <formula>"None"</formula>
    </cfRule>
  </conditionalFormatting>
  <conditionalFormatting sqref="F2:F1784">
    <cfRule type="cellIs" dxfId="3" priority="6" operator="notEqual">
      <formula>"None"</formula>
    </cfRule>
  </conditionalFormatting>
  <conditionalFormatting sqref="G2:G1784">
    <cfRule type="cellIs" dxfId="2" priority="7" operator="notEqual">
      <formula>"None"</formula>
    </cfRule>
  </conditionalFormatting>
  <conditionalFormatting sqref="H2:H1784">
    <cfRule type="cellIs" dxfId="1" priority="8" operator="notEqual">
      <formula>"None"</formula>
    </cfRule>
  </conditionalFormatting>
  <conditionalFormatting sqref="I2:I1784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baseColWidth="10" defaultColWidth="9.140625" defaultRowHeight="15" x14ac:dyDescent="0.25"/>
  <cols>
    <col min="1" max="1" width="25.7109375" customWidth="1"/>
    <col min="2" max="2" width="0" hidden="1" customWidth="1"/>
  </cols>
  <sheetData>
    <row r="1" spans="1:2" x14ac:dyDescent="0.25">
      <c r="A1" s="1" t="s">
        <v>1816</v>
      </c>
      <c r="B1" s="1"/>
    </row>
    <row r="2" spans="1:2" x14ac:dyDescent="0.25">
      <c r="A2" s="1" t="s">
        <v>1817</v>
      </c>
    </row>
    <row r="3" spans="1:2" x14ac:dyDescent="0.25">
      <c r="A3" s="1" t="s">
        <v>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Alfonso Santos Ramon</cp:lastModifiedBy>
  <dcterms:created xsi:type="dcterms:W3CDTF">2024-01-14T12:55:49Z</dcterms:created>
  <dcterms:modified xsi:type="dcterms:W3CDTF">2024-01-14T17:05:50Z</dcterms:modified>
</cp:coreProperties>
</file>