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9" l="1"/>
  <c r="E10" i="9"/>
  <c r="D10" i="9"/>
  <c r="C10" i="9"/>
  <c r="F30" i="2" l="1"/>
  <c r="F29" i="2"/>
  <c r="F28" i="2"/>
  <c r="F25" i="2"/>
  <c r="F24" i="2"/>
  <c r="F23" i="2"/>
  <c r="G13" i="2"/>
  <c r="F16" i="2"/>
  <c r="F15" i="2"/>
  <c r="F14" i="2"/>
  <c r="F12" i="2"/>
  <c r="F11" i="2"/>
  <c r="F10" i="2"/>
  <c r="E57" i="1" l="1"/>
  <c r="C47" i="1"/>
  <c r="C137" i="6" l="1"/>
  <c r="D137" i="6"/>
  <c r="E137" i="6"/>
  <c r="F137" i="6"/>
  <c r="T129" i="24" s="1"/>
  <c r="B137" i="6"/>
  <c r="C62" i="6"/>
  <c r="D62" i="6"/>
  <c r="R55" i="24" s="1"/>
  <c r="E62" i="6"/>
  <c r="S55" i="24" s="1"/>
  <c r="F62" i="6"/>
  <c r="B62" i="6"/>
  <c r="B8" i="10"/>
  <c r="C6" i="23"/>
  <c r="A2" i="14" s="1"/>
  <c r="B9" i="1"/>
  <c r="H25" i="23"/>
  <c r="G25" i="23"/>
  <c r="F25" i="23"/>
  <c r="E25" i="23"/>
  <c r="D25" i="23"/>
  <c r="G30" i="9"/>
  <c r="G31" i="9"/>
  <c r="U23" i="27" s="1"/>
  <c r="G29" i="9"/>
  <c r="G26" i="9"/>
  <c r="G27" i="9"/>
  <c r="G25" i="9"/>
  <c r="U17" i="27" s="1"/>
  <c r="G23" i="9"/>
  <c r="G22" i="9"/>
  <c r="G19" i="9"/>
  <c r="G18" i="9"/>
  <c r="G16" i="9" s="1"/>
  <c r="G17" i="9"/>
  <c r="G14" i="9"/>
  <c r="G15" i="9"/>
  <c r="U8" i="27" s="1"/>
  <c r="G13" i="9"/>
  <c r="U6" i="27" s="1"/>
  <c r="G11" i="9"/>
  <c r="G10" i="9"/>
  <c r="U3" i="27" s="1"/>
  <c r="G73" i="8"/>
  <c r="U65" i="26" s="1"/>
  <c r="G74" i="8"/>
  <c r="U66" i="26" s="1"/>
  <c r="G75" i="8"/>
  <c r="G72" i="8"/>
  <c r="G63" i="8"/>
  <c r="G64" i="8"/>
  <c r="U56" i="26" s="1"/>
  <c r="G65" i="8"/>
  <c r="G66" i="8"/>
  <c r="G67" i="8"/>
  <c r="G68" i="8"/>
  <c r="U60" i="26" s="1"/>
  <c r="G69" i="8"/>
  <c r="G70" i="8"/>
  <c r="G62" i="8"/>
  <c r="G55" i="8"/>
  <c r="U47" i="26" s="1"/>
  <c r="G56" i="8"/>
  <c r="G57" i="8"/>
  <c r="G58" i="8"/>
  <c r="G59" i="8"/>
  <c r="U51" i="26" s="1"/>
  <c r="G60" i="8"/>
  <c r="G54" i="8"/>
  <c r="G46" i="8"/>
  <c r="G47" i="8"/>
  <c r="U39" i="26" s="1"/>
  <c r="G48" i="8"/>
  <c r="G49" i="8"/>
  <c r="G50" i="8"/>
  <c r="G51" i="8"/>
  <c r="U43" i="26" s="1"/>
  <c r="G52" i="8"/>
  <c r="G45" i="8"/>
  <c r="G39" i="8"/>
  <c r="G37" i="8" s="1"/>
  <c r="U30" i="26" s="1"/>
  <c r="G40" i="8"/>
  <c r="G41" i="8"/>
  <c r="G38" i="8"/>
  <c r="G11" i="8"/>
  <c r="G12" i="8"/>
  <c r="G10" i="8" s="1"/>
  <c r="U3" i="26" s="1"/>
  <c r="G13" i="8"/>
  <c r="G14" i="8"/>
  <c r="G15" i="8"/>
  <c r="U8" i="26" s="1"/>
  <c r="G16" i="8"/>
  <c r="U9" i="26" s="1"/>
  <c r="G17" i="8"/>
  <c r="G18" i="8"/>
  <c r="G20" i="8"/>
  <c r="U13" i="26" s="1"/>
  <c r="G21" i="8"/>
  <c r="G22" i="8"/>
  <c r="G23" i="8"/>
  <c r="G24" i="8"/>
  <c r="G25" i="8"/>
  <c r="G26" i="8"/>
  <c r="G28" i="8"/>
  <c r="G29" i="8"/>
  <c r="U22" i="26" s="1"/>
  <c r="G30" i="8"/>
  <c r="U23" i="26" s="1"/>
  <c r="G31" i="8"/>
  <c r="G32" i="8"/>
  <c r="G33" i="8"/>
  <c r="U26" i="26" s="1"/>
  <c r="G34" i="8"/>
  <c r="U27" i="26" s="1"/>
  <c r="G35" i="8"/>
  <c r="G36" i="8"/>
  <c r="G21" i="7"/>
  <c r="G22" i="7"/>
  <c r="G23" i="7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B10" i="6"/>
  <c r="B18" i="6"/>
  <c r="B28" i="6"/>
  <c r="B38" i="6"/>
  <c r="P31" i="24" s="1"/>
  <c r="B48" i="6"/>
  <c r="B58" i="6"/>
  <c r="B71" i="6"/>
  <c r="B75" i="6"/>
  <c r="G152" i="6"/>
  <c r="G153" i="6"/>
  <c r="G154" i="6"/>
  <c r="G155" i="6"/>
  <c r="U147" i="24" s="1"/>
  <c r="G156" i="6"/>
  <c r="G157" i="6"/>
  <c r="G151" i="6"/>
  <c r="G148" i="6"/>
  <c r="G146" i="6" s="1"/>
  <c r="U138" i="24" s="1"/>
  <c r="G149" i="6"/>
  <c r="G147" i="6"/>
  <c r="G139" i="6"/>
  <c r="G140" i="6"/>
  <c r="U132" i="24" s="1"/>
  <c r="G141" i="6"/>
  <c r="G142" i="6"/>
  <c r="G143" i="6"/>
  <c r="G144" i="6"/>
  <c r="U136" i="24" s="1"/>
  <c r="G145" i="6"/>
  <c r="G138" i="6"/>
  <c r="G135" i="6"/>
  <c r="G136" i="6"/>
  <c r="G133" i="6" s="1"/>
  <c r="U125" i="24" s="1"/>
  <c r="G134" i="6"/>
  <c r="G125" i="6"/>
  <c r="G126" i="6"/>
  <c r="G127" i="6"/>
  <c r="U119" i="24" s="1"/>
  <c r="G128" i="6"/>
  <c r="G129" i="6"/>
  <c r="G130" i="6"/>
  <c r="U122" i="24" s="1"/>
  <c r="G131" i="6"/>
  <c r="U123" i="24" s="1"/>
  <c r="G132" i="6"/>
  <c r="G124" i="6"/>
  <c r="G115" i="6"/>
  <c r="G116" i="6"/>
  <c r="U108" i="24" s="1"/>
  <c r="G117" i="6"/>
  <c r="G118" i="6"/>
  <c r="G119" i="6"/>
  <c r="G120" i="6"/>
  <c r="U112" i="24" s="1"/>
  <c r="G121" i="6"/>
  <c r="G122" i="6"/>
  <c r="G114" i="6"/>
  <c r="G105" i="6"/>
  <c r="U97" i="24" s="1"/>
  <c r="G106" i="6"/>
  <c r="G107" i="6"/>
  <c r="G108" i="6"/>
  <c r="G109" i="6"/>
  <c r="U101" i="24" s="1"/>
  <c r="G110" i="6"/>
  <c r="G111" i="6"/>
  <c r="G112" i="6"/>
  <c r="U104" i="24" s="1"/>
  <c r="G104" i="6"/>
  <c r="U96" i="24" s="1"/>
  <c r="G95" i="6"/>
  <c r="G96" i="6"/>
  <c r="G97" i="6"/>
  <c r="G98" i="6"/>
  <c r="U90" i="24" s="1"/>
  <c r="G99" i="6"/>
  <c r="G100" i="6"/>
  <c r="G101" i="6"/>
  <c r="G102" i="6"/>
  <c r="U94" i="24" s="1"/>
  <c r="G94" i="6"/>
  <c r="G87" i="6"/>
  <c r="G88" i="6"/>
  <c r="G89" i="6"/>
  <c r="U81" i="24" s="1"/>
  <c r="G90" i="6"/>
  <c r="G91" i="6"/>
  <c r="G92" i="6"/>
  <c r="G86" i="6"/>
  <c r="G85" i="6" s="1"/>
  <c r="U77" i="24" s="1"/>
  <c r="G77" i="6"/>
  <c r="G78" i="6"/>
  <c r="G79" i="6"/>
  <c r="G80" i="6"/>
  <c r="U73" i="24" s="1"/>
  <c r="G81" i="6"/>
  <c r="G82" i="6"/>
  <c r="G76" i="6"/>
  <c r="G73" i="6"/>
  <c r="U66" i="24" s="1"/>
  <c r="G74" i="6"/>
  <c r="G72" i="6"/>
  <c r="G64" i="6"/>
  <c r="U57" i="24" s="1"/>
  <c r="G65" i="6"/>
  <c r="U58" i="24" s="1"/>
  <c r="G66" i="6"/>
  <c r="G67" i="6"/>
  <c r="U60" i="24" s="1"/>
  <c r="G68" i="6"/>
  <c r="U61" i="24" s="1"/>
  <c r="G69" i="6"/>
  <c r="U62" i="24" s="1"/>
  <c r="G70" i="6"/>
  <c r="G63" i="6"/>
  <c r="G60" i="6"/>
  <c r="G61" i="6"/>
  <c r="G59" i="6"/>
  <c r="G50" i="6"/>
  <c r="U43" i="24" s="1"/>
  <c r="G51" i="6"/>
  <c r="G52" i="6"/>
  <c r="G53" i="6"/>
  <c r="G54" i="6"/>
  <c r="G55" i="6"/>
  <c r="U48" i="24" s="1"/>
  <c r="G56" i="6"/>
  <c r="U49" i="24" s="1"/>
  <c r="G57" i="6"/>
  <c r="U50" i="24" s="1"/>
  <c r="G49" i="6"/>
  <c r="G40" i="6"/>
  <c r="U33" i="24" s="1"/>
  <c r="G41" i="6"/>
  <c r="G38" i="6" s="1"/>
  <c r="U31" i="24" s="1"/>
  <c r="G42" i="6"/>
  <c r="G43" i="6"/>
  <c r="G44" i="6"/>
  <c r="U37" i="24" s="1"/>
  <c r="G45" i="6"/>
  <c r="U38" i="24" s="1"/>
  <c r="G46" i="6"/>
  <c r="G47" i="6"/>
  <c r="G39" i="6"/>
  <c r="G30" i="6"/>
  <c r="G31" i="6"/>
  <c r="G32" i="6"/>
  <c r="G28" i="6" s="1"/>
  <c r="U21" i="24" s="1"/>
  <c r="G33" i="6"/>
  <c r="U26" i="24" s="1"/>
  <c r="G34" i="6"/>
  <c r="G35" i="6"/>
  <c r="G36" i="6"/>
  <c r="U29" i="24" s="1"/>
  <c r="G37" i="6"/>
  <c r="U30" i="24" s="1"/>
  <c r="G29" i="6"/>
  <c r="G20" i="6"/>
  <c r="G21" i="6"/>
  <c r="U14" i="24" s="1"/>
  <c r="G22" i="6"/>
  <c r="G23" i="6"/>
  <c r="G24" i="6"/>
  <c r="G25" i="6"/>
  <c r="U18" i="24" s="1"/>
  <c r="G26" i="6"/>
  <c r="G27" i="6"/>
  <c r="G19" i="6"/>
  <c r="G11" i="6"/>
  <c r="U4" i="24" s="1"/>
  <c r="B7" i="13"/>
  <c r="G12" i="6"/>
  <c r="U5" i="24" s="1"/>
  <c r="G13" i="6"/>
  <c r="G14" i="6"/>
  <c r="U7" i="24" s="1"/>
  <c r="G15" i="6"/>
  <c r="G16" i="6"/>
  <c r="U9" i="24" s="1"/>
  <c r="G17" i="6"/>
  <c r="G9" i="5"/>
  <c r="G10" i="5"/>
  <c r="U4" i="20" s="1"/>
  <c r="G11" i="5"/>
  <c r="G12" i="5"/>
  <c r="G13" i="5"/>
  <c r="U7" i="20" s="1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9" i="5"/>
  <c r="G30" i="5"/>
  <c r="U24" i="20" s="1"/>
  <c r="G31" i="5"/>
  <c r="U25" i="20" s="1"/>
  <c r="G32" i="5"/>
  <c r="U26" i="20" s="1"/>
  <c r="G33" i="5"/>
  <c r="G34" i="5"/>
  <c r="U28" i="20" s="1"/>
  <c r="G36" i="5"/>
  <c r="G35" i="5" s="1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 s="1"/>
  <c r="C18" i="13"/>
  <c r="Q12" i="31" s="1"/>
  <c r="D18" i="13"/>
  <c r="R12" i="31" s="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 s="1"/>
  <c r="Q22" i="31" s="1"/>
  <c r="D7" i="13"/>
  <c r="D29" i="13"/>
  <c r="R22" i="31" s="1"/>
  <c r="E7" i="13"/>
  <c r="E29" i="13" s="1"/>
  <c r="S22" i="31" s="1"/>
  <c r="F7" i="13"/>
  <c r="T2" i="31" s="1"/>
  <c r="F29" i="13"/>
  <c r="T22" i="31" s="1"/>
  <c r="G7" i="13"/>
  <c r="U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 s="1"/>
  <c r="C21" i="12"/>
  <c r="Q15" i="30" s="1"/>
  <c r="D21" i="12"/>
  <c r="R15" i="30" s="1"/>
  <c r="E21" i="12"/>
  <c r="S15" i="30" s="1"/>
  <c r="F21" i="12"/>
  <c r="T15" i="30" s="1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 s="1"/>
  <c r="D28" i="12"/>
  <c r="R21" i="30" s="1"/>
  <c r="E28" i="12"/>
  <c r="S21" i="30" s="1"/>
  <c r="F28" i="12"/>
  <c r="T21" i="30" s="1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/>
  <c r="Q23" i="30" s="1"/>
  <c r="D7" i="12"/>
  <c r="R2" i="30" s="1"/>
  <c r="E7" i="12"/>
  <c r="E31" i="12"/>
  <c r="S23" i="30" s="1"/>
  <c r="F7" i="12"/>
  <c r="F31" i="12" s="1"/>
  <c r="T23" i="30" s="1"/>
  <c r="G7" i="12"/>
  <c r="G31" i="12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 s="1"/>
  <c r="E36" i="12"/>
  <c r="S27" i="30" s="1"/>
  <c r="F36" i="12"/>
  <c r="T27" i="30" s="1"/>
  <c r="G36" i="12"/>
  <c r="U27" i="30" s="1"/>
  <c r="Q2" i="30"/>
  <c r="S2" i="30"/>
  <c r="U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 s="1"/>
  <c r="C19" i="11"/>
  <c r="Q12" i="29" s="1"/>
  <c r="D19" i="11"/>
  <c r="R12" i="29" s="1"/>
  <c r="E19" i="11"/>
  <c r="S12" i="29" s="1"/>
  <c r="F19" i="11"/>
  <c r="T12" i="29" s="1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 s="1"/>
  <c r="R22" i="29" s="1"/>
  <c r="E8" i="11"/>
  <c r="E30" i="11"/>
  <c r="S22" i="29" s="1"/>
  <c r="F8" i="11"/>
  <c r="F30" i="11" s="1"/>
  <c r="T22" i="29" s="1"/>
  <c r="G8" i="11"/>
  <c r="G30" i="11" s="1"/>
  <c r="U22" i="29" s="1"/>
  <c r="Q2" i="29"/>
  <c r="S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D9" i="9" s="1"/>
  <c r="R2" i="27" s="1"/>
  <c r="E12" i="9"/>
  <c r="S5" i="27" s="1"/>
  <c r="E16" i="9"/>
  <c r="S9" i="27" s="1"/>
  <c r="F12" i="9"/>
  <c r="F16" i="9"/>
  <c r="F9" i="9" s="1"/>
  <c r="T2" i="27" s="1"/>
  <c r="G12" i="9"/>
  <c r="Q3" i="27"/>
  <c r="R3" i="27"/>
  <c r="S3" i="27"/>
  <c r="T3" i="27"/>
  <c r="Q4" i="27"/>
  <c r="R4" i="27"/>
  <c r="S4" i="27"/>
  <c r="T4" i="27"/>
  <c r="U4" i="27"/>
  <c r="Q5" i="27"/>
  <c r="R5" i="27"/>
  <c r="T5" i="27"/>
  <c r="U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R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U12" i="27"/>
  <c r="C24" i="9"/>
  <c r="C21" i="9" s="1"/>
  <c r="C28" i="9"/>
  <c r="Q20" i="27" s="1"/>
  <c r="D24" i="9"/>
  <c r="D21" i="9" s="1"/>
  <c r="D28" i="9"/>
  <c r="R20" i="27" s="1"/>
  <c r="E24" i="9"/>
  <c r="E21" i="9" s="1"/>
  <c r="E28" i="9"/>
  <c r="S20" i="27" s="1"/>
  <c r="F24" i="9"/>
  <c r="F21" i="9" s="1"/>
  <c r="F28" i="9"/>
  <c r="G24" i="9"/>
  <c r="G21" i="9" s="1"/>
  <c r="G28" i="9"/>
  <c r="U20" i="27" s="1"/>
  <c r="Q14" i="27"/>
  <c r="R14" i="27"/>
  <c r="S14" i="27"/>
  <c r="T14" i="27"/>
  <c r="U14" i="27"/>
  <c r="Q15" i="27"/>
  <c r="R15" i="27"/>
  <c r="S15" i="27"/>
  <c r="T15" i="27"/>
  <c r="U15" i="27"/>
  <c r="R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T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 s="1"/>
  <c r="P6" i="27"/>
  <c r="P7" i="27"/>
  <c r="P8" i="27"/>
  <c r="B16" i="9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Q12" i="26" s="1"/>
  <c r="C27" i="8"/>
  <c r="C37" i="8"/>
  <c r="Q30" i="26" s="1"/>
  <c r="D10" i="8"/>
  <c r="R3" i="26" s="1"/>
  <c r="D19" i="8"/>
  <c r="R12" i="26" s="1"/>
  <c r="D27" i="8"/>
  <c r="D37" i="8"/>
  <c r="E10" i="8"/>
  <c r="S3" i="26" s="1"/>
  <c r="E19" i="8"/>
  <c r="S12" i="26" s="1"/>
  <c r="E27" i="8"/>
  <c r="E37" i="8"/>
  <c r="S30" i="26" s="1"/>
  <c r="F10" i="8"/>
  <c r="T3" i="26" s="1"/>
  <c r="F19" i="8"/>
  <c r="F27" i="8"/>
  <c r="F37" i="8"/>
  <c r="T30" i="26" s="1"/>
  <c r="Q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Q21" i="26"/>
  <c r="R21" i="26"/>
  <c r="S21" i="26"/>
  <c r="T21" i="26"/>
  <c r="U21" i="26"/>
  <c r="Q22" i="26"/>
  <c r="R22" i="26"/>
  <c r="S22" i="26"/>
  <c r="T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R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C44" i="8"/>
  <c r="C53" i="8"/>
  <c r="Q45" i="26" s="1"/>
  <c r="C61" i="8"/>
  <c r="C71" i="8"/>
  <c r="D44" i="8"/>
  <c r="D53" i="8"/>
  <c r="D43" i="8" s="1"/>
  <c r="D61" i="8"/>
  <c r="D71" i="8"/>
  <c r="E44" i="8"/>
  <c r="E53" i="8"/>
  <c r="E43" i="8" s="1"/>
  <c r="E61" i="8"/>
  <c r="E71" i="8"/>
  <c r="F44" i="8"/>
  <c r="T36" i="26" s="1"/>
  <c r="F53" i="8"/>
  <c r="F43" i="8" s="1"/>
  <c r="F61" i="8"/>
  <c r="F71" i="8"/>
  <c r="Q36" i="26"/>
  <c r="R36" i="26"/>
  <c r="S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Q66" i="26"/>
  <c r="R66" i="26"/>
  <c r="S66" i="26"/>
  <c r="T66" i="26"/>
  <c r="Q67" i="26"/>
  <c r="R67" i="26"/>
  <c r="S67" i="26"/>
  <c r="T67" i="26"/>
  <c r="U67" i="26"/>
  <c r="B44" i="8"/>
  <c r="P36" i="26" s="1"/>
  <c r="B53" i="8"/>
  <c r="B61" i="8"/>
  <c r="P53" i="26" s="1"/>
  <c r="B71" i="8"/>
  <c r="P63" i="26" s="1"/>
  <c r="B43" i="8"/>
  <c r="P35" i="26" s="1"/>
  <c r="B10" i="8"/>
  <c r="B19" i="8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S2" i="25" s="1"/>
  <c r="E19" i="7"/>
  <c r="S3" i="25" s="1"/>
  <c r="D9" i="7"/>
  <c r="D19" i="7"/>
  <c r="R3" i="25" s="1"/>
  <c r="C9" i="7"/>
  <c r="Q2" i="25" s="1"/>
  <c r="C19" i="7"/>
  <c r="B9" i="7"/>
  <c r="P2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C150" i="6"/>
  <c r="Q142" i="24" s="1"/>
  <c r="D85" i="6"/>
  <c r="D93" i="6"/>
  <c r="D103" i="6"/>
  <c r="R95" i="24" s="1"/>
  <c r="D113" i="6"/>
  <c r="R105" i="24" s="1"/>
  <c r="D123" i="6"/>
  <c r="D133" i="6"/>
  <c r="R125" i="24" s="1"/>
  <c r="D146" i="6"/>
  <c r="R138" i="24" s="1"/>
  <c r="D150" i="6"/>
  <c r="R142" i="24" s="1"/>
  <c r="E85" i="6"/>
  <c r="E93" i="6"/>
  <c r="E103" i="6"/>
  <c r="E113" i="6"/>
  <c r="S105" i="24" s="1"/>
  <c r="E123" i="6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T138" i="24" s="1"/>
  <c r="F150" i="6"/>
  <c r="T142" i="24" s="1"/>
  <c r="Q77" i="24"/>
  <c r="R77" i="24"/>
  <c r="S77" i="24"/>
  <c r="Q78" i="24"/>
  <c r="R78" i="24"/>
  <c r="S78" i="24"/>
  <c r="T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T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Q95" i="24"/>
  <c r="S95" i="24"/>
  <c r="T95" i="24"/>
  <c r="Q96" i="24"/>
  <c r="R96" i="24"/>
  <c r="S96" i="24"/>
  <c r="T96" i="24"/>
  <c r="Q97" i="24"/>
  <c r="R97" i="24"/>
  <c r="S97" i="24"/>
  <c r="T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Q124" i="24"/>
  <c r="R124" i="24"/>
  <c r="S124" i="24"/>
  <c r="T124" i="24"/>
  <c r="U124" i="24"/>
  <c r="T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Q129" i="24"/>
  <c r="R129" i="24"/>
  <c r="S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Q137" i="24"/>
  <c r="R137" i="24"/>
  <c r="S137" i="24"/>
  <c r="T137" i="24"/>
  <c r="U137" i="24"/>
  <c r="Q138" i="24"/>
  <c r="S138" i="24"/>
  <c r="Q139" i="24"/>
  <c r="R139" i="24"/>
  <c r="S139" i="24"/>
  <c r="T139" i="24"/>
  <c r="U139" i="24"/>
  <c r="Q140" i="24"/>
  <c r="R140" i="24"/>
  <c r="S140" i="24"/>
  <c r="T140" i="24"/>
  <c r="Q141" i="24"/>
  <c r="R141" i="24"/>
  <c r="S141" i="24"/>
  <c r="T141" i="24"/>
  <c r="U141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U148" i="24"/>
  <c r="Q149" i="24"/>
  <c r="R149" i="24"/>
  <c r="S149" i="24"/>
  <c r="T149" i="24"/>
  <c r="U149" i="24"/>
  <c r="C10" i="6"/>
  <c r="Q3" i="24" s="1"/>
  <c r="C18" i="6"/>
  <c r="Q11" i="24" s="1"/>
  <c r="C28" i="6"/>
  <c r="C38" i="6"/>
  <c r="C48" i="6"/>
  <c r="Q41" i="24" s="1"/>
  <c r="C58" i="6"/>
  <c r="Q51" i="24" s="1"/>
  <c r="C71" i="6"/>
  <c r="C75" i="6"/>
  <c r="D10" i="6"/>
  <c r="R3" i="24" s="1"/>
  <c r="D18" i="6"/>
  <c r="R11" i="24" s="1"/>
  <c r="D28" i="6"/>
  <c r="R21" i="24" s="1"/>
  <c r="D38" i="6"/>
  <c r="D48" i="6"/>
  <c r="D58" i="6"/>
  <c r="R51" i="24" s="1"/>
  <c r="D71" i="6"/>
  <c r="D75" i="6"/>
  <c r="E10" i="6"/>
  <c r="E18" i="6"/>
  <c r="S11" i="24" s="1"/>
  <c r="E28" i="6"/>
  <c r="E38" i="6"/>
  <c r="E48" i="6"/>
  <c r="S41" i="24" s="1"/>
  <c r="E58" i="6"/>
  <c r="S51" i="24" s="1"/>
  <c r="E71" i="6"/>
  <c r="E75" i="6"/>
  <c r="F10" i="6"/>
  <c r="T3" i="24" s="1"/>
  <c r="F18" i="6"/>
  <c r="T11" i="24" s="1"/>
  <c r="F28" i="6"/>
  <c r="F38" i="6"/>
  <c r="F48" i="6"/>
  <c r="T41" i="24" s="1"/>
  <c r="F58" i="6"/>
  <c r="T51" i="24" s="1"/>
  <c r="F71" i="6"/>
  <c r="F75" i="6"/>
  <c r="B85" i="6"/>
  <c r="P77" i="24" s="1"/>
  <c r="B93" i="6"/>
  <c r="P85" i="24" s="1"/>
  <c r="B103" i="6"/>
  <c r="B113" i="6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S3" i="24"/>
  <c r="Q4" i="24"/>
  <c r="R4" i="24"/>
  <c r="S4" i="24"/>
  <c r="T4" i="24"/>
  <c r="Q5" i="24"/>
  <c r="R5" i="24"/>
  <c r="S5" i="24"/>
  <c r="T5" i="24"/>
  <c r="Q6" i="24"/>
  <c r="R6" i="24"/>
  <c r="S6" i="24"/>
  <c r="T6" i="24"/>
  <c r="U6" i="24"/>
  <c r="Q7" i="24"/>
  <c r="R7" i="24"/>
  <c r="S7" i="24"/>
  <c r="T7" i="24"/>
  <c r="Q8" i="24"/>
  <c r="R8" i="24"/>
  <c r="S8" i="24"/>
  <c r="T8" i="24"/>
  <c r="U8" i="24"/>
  <c r="Q9" i="24"/>
  <c r="R9" i="24"/>
  <c r="S9" i="24"/>
  <c r="T9" i="24"/>
  <c r="Q10" i="24"/>
  <c r="R10" i="24"/>
  <c r="S10" i="24"/>
  <c r="T10" i="24"/>
  <c r="U10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1" i="24"/>
  <c r="S21" i="24"/>
  <c r="T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Q39" i="24"/>
  <c r="R39" i="24"/>
  <c r="S39" i="24"/>
  <c r="T39" i="24"/>
  <c r="U39" i="24"/>
  <c r="Q40" i="24"/>
  <c r="R40" i="24"/>
  <c r="S40" i="24"/>
  <c r="T40" i="24"/>
  <c r="U40" i="24"/>
  <c r="R41" i="24"/>
  <c r="Q42" i="24"/>
  <c r="R42" i="24"/>
  <c r="S42" i="24"/>
  <c r="T42" i="24"/>
  <c r="U42" i="24"/>
  <c r="Q43" i="24"/>
  <c r="R43" i="24"/>
  <c r="S43" i="24"/>
  <c r="T43" i="24"/>
  <c r="Q44" i="24"/>
  <c r="R44" i="24"/>
  <c r="S44" i="24"/>
  <c r="T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Q55" i="24"/>
  <c r="T55" i="24"/>
  <c r="Q56" i="24"/>
  <c r="R56" i="24"/>
  <c r="S56" i="24"/>
  <c r="T56" i="24"/>
  <c r="Q57" i="24"/>
  <c r="R57" i="24"/>
  <c r="S57" i="24"/>
  <c r="T57" i="24"/>
  <c r="Q58" i="24"/>
  <c r="R58" i="24"/>
  <c r="S58" i="24"/>
  <c r="T58" i="24"/>
  <c r="Q59" i="24"/>
  <c r="R59" i="24"/>
  <c r="S59" i="24"/>
  <c r="T59" i="24"/>
  <c r="U59" i="24"/>
  <c r="Q60" i="24"/>
  <c r="R60" i="24"/>
  <c r="S60" i="24"/>
  <c r="T60" i="24"/>
  <c r="Q61" i="24"/>
  <c r="R61" i="24"/>
  <c r="S61" i="24"/>
  <c r="T61" i="24"/>
  <c r="Q62" i="24"/>
  <c r="R62" i="24"/>
  <c r="S62" i="24"/>
  <c r="T62" i="24"/>
  <c r="Q63" i="24"/>
  <c r="R63" i="24"/>
  <c r="S63" i="24"/>
  <c r="T63" i="24"/>
  <c r="U63" i="24"/>
  <c r="Q64" i="24"/>
  <c r="R64" i="24"/>
  <c r="S64" i="24"/>
  <c r="T64" i="24"/>
  <c r="Q65" i="24"/>
  <c r="R65" i="24"/>
  <c r="S65" i="24"/>
  <c r="T65" i="24"/>
  <c r="U65" i="24"/>
  <c r="Q66" i="24"/>
  <c r="R66" i="24"/>
  <c r="S66" i="24"/>
  <c r="T66" i="24"/>
  <c r="Q67" i="24"/>
  <c r="R67" i="24"/>
  <c r="S67" i="24"/>
  <c r="T67" i="24"/>
  <c r="U67" i="24"/>
  <c r="Q68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5" i="20"/>
  <c r="U6" i="20"/>
  <c r="U8" i="20"/>
  <c r="U9" i="20"/>
  <c r="U11" i="20"/>
  <c r="U12" i="20"/>
  <c r="U13" i="20"/>
  <c r="U14" i="20"/>
  <c r="U15" i="20"/>
  <c r="U16" i="20"/>
  <c r="U17" i="20"/>
  <c r="U18" i="20"/>
  <c r="U19" i="20"/>
  <c r="U20" i="20"/>
  <c r="U21" i="20"/>
  <c r="U23" i="20"/>
  <c r="U27" i="20"/>
  <c r="U29" i="20"/>
  <c r="U30" i="20"/>
  <c r="U33" i="20"/>
  <c r="G46" i="5"/>
  <c r="G47" i="5"/>
  <c r="U39" i="20" s="1"/>
  <c r="G48" i="5"/>
  <c r="U40" i="20" s="1"/>
  <c r="G49" i="5"/>
  <c r="U41" i="20" s="1"/>
  <c r="G50" i="5"/>
  <c r="U42" i="20" s="1"/>
  <c r="G51" i="5"/>
  <c r="U43" i="20" s="1"/>
  <c r="G52" i="5"/>
  <c r="U44" i="20" s="1"/>
  <c r="G53" i="5"/>
  <c r="U38" i="20"/>
  <c r="U45" i="20"/>
  <c r="G55" i="5"/>
  <c r="U47" i="20" s="1"/>
  <c r="G56" i="5"/>
  <c r="G54" i="5" s="1"/>
  <c r="U46" i="20" s="1"/>
  <c r="G57" i="5"/>
  <c r="G58" i="5"/>
  <c r="U50" i="20" s="1"/>
  <c r="U48" i="20"/>
  <c r="U49" i="20"/>
  <c r="G60" i="5"/>
  <c r="U52" i="20" s="1"/>
  <c r="G61" i="5"/>
  <c r="U53" i="20" s="1"/>
  <c r="G59" i="5"/>
  <c r="U51" i="20" s="1"/>
  <c r="G62" i="5"/>
  <c r="U54" i="20" s="1"/>
  <c r="G63" i="5"/>
  <c r="U55" i="20" s="1"/>
  <c r="G68" i="5"/>
  <c r="U58" i="20" s="1"/>
  <c r="G67" i="5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/>
  <c r="E28" i="5"/>
  <c r="S22" i="20" s="1"/>
  <c r="F28" i="5"/>
  <c r="T22" i="20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/>
  <c r="Q32" i="20"/>
  <c r="R32" i="20"/>
  <c r="S32" i="20"/>
  <c r="T32" i="20"/>
  <c r="Q33" i="20"/>
  <c r="R33" i="20"/>
  <c r="S33" i="20"/>
  <c r="T33" i="20"/>
  <c r="C41" i="5"/>
  <c r="Q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 s="1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 s="1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P29" i="20" s="1"/>
  <c r="B37" i="5"/>
  <c r="P31" i="20" s="1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E6" i="1" s="1"/>
  <c r="F18" i="23"/>
  <c r="K6" i="3" s="1"/>
  <c r="E18" i="23"/>
  <c r="J6" i="3" s="1"/>
  <c r="D18" i="23"/>
  <c r="I6" i="3" s="1"/>
  <c r="F6" i="1"/>
  <c r="B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 s="1"/>
  <c r="F23" i="23"/>
  <c r="D6" i="11" s="1"/>
  <c r="E23" i="23"/>
  <c r="C6" i="11" s="1"/>
  <c r="G6" i="10"/>
  <c r="E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4" i="3" s="1"/>
  <c r="Y4" i="17" s="1"/>
  <c r="K17" i="3"/>
  <c r="K18" i="3"/>
  <c r="J14" i="3"/>
  <c r="X4" i="17" s="1"/>
  <c r="I14" i="3"/>
  <c r="W4" i="17" s="1"/>
  <c r="I8" i="3"/>
  <c r="W3" i="17" s="1"/>
  <c r="H14" i="3"/>
  <c r="V4" i="17" s="1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V15" i="16" s="1"/>
  <c r="G27" i="2"/>
  <c r="U15" i="16" s="1"/>
  <c r="F27" i="2"/>
  <c r="T15" i="16" s="1"/>
  <c r="E27" i="2"/>
  <c r="S15" i="16" s="1"/>
  <c r="D27" i="2"/>
  <c r="C27" i="2"/>
  <c r="Q15" i="16" s="1"/>
  <c r="B41" i="2"/>
  <c r="P17" i="16" s="1"/>
  <c r="B27" i="2"/>
  <c r="P15" i="16" s="1"/>
  <c r="H22" i="2"/>
  <c r="G22" i="2"/>
  <c r="U14" i="16" s="1"/>
  <c r="F22" i="2"/>
  <c r="E22" i="2"/>
  <c r="T14" i="16" s="1"/>
  <c r="D22" i="2"/>
  <c r="R14" i="16" s="1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B64" i="4"/>
  <c r="P33" i="18" s="1"/>
  <c r="B63" i="4"/>
  <c r="B55" i="4"/>
  <c r="B53" i="4"/>
  <c r="B49" i="4"/>
  <c r="P27" i="18" s="1"/>
  <c r="B48" i="4"/>
  <c r="P26" i="18" s="1"/>
  <c r="B37" i="4"/>
  <c r="B29" i="4"/>
  <c r="P15" i="18" s="1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4" i="18"/>
  <c r="P35" i="18"/>
  <c r="P32" i="18"/>
  <c r="P30" i="18"/>
  <c r="P28" i="18"/>
  <c r="P29" i="18"/>
  <c r="P20" i="18"/>
  <c r="P21" i="18"/>
  <c r="P22" i="18"/>
  <c r="P23" i="18"/>
  <c r="P24" i="18"/>
  <c r="P16" i="18"/>
  <c r="P17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Q71" i="15" s="1"/>
  <c r="F27" i="1"/>
  <c r="Q76" i="15" s="1"/>
  <c r="F31" i="1"/>
  <c r="Q80" i="15" s="1"/>
  <c r="F38" i="1"/>
  <c r="Q87" i="15" s="1"/>
  <c r="F42" i="1"/>
  <c r="Q91" i="15" s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/>
  <c r="Q117" i="15"/>
  <c r="Q118" i="15"/>
  <c r="E9" i="1"/>
  <c r="P57" i="15" s="1"/>
  <c r="E19" i="1"/>
  <c r="P67" i="15" s="1"/>
  <c r="E23" i="1"/>
  <c r="P71" i="15" s="1"/>
  <c r="E27" i="1"/>
  <c r="P76" i="15" s="1"/>
  <c r="E31" i="1"/>
  <c r="P80" i="15" s="1"/>
  <c r="E38" i="1"/>
  <c r="P87" i="15" s="1"/>
  <c r="E42" i="1"/>
  <c r="P103" i="15"/>
  <c r="E63" i="1"/>
  <c r="E68" i="1"/>
  <c r="P110" i="15" s="1"/>
  <c r="E75" i="1"/>
  <c r="P117" i="15"/>
  <c r="P118" i="15"/>
  <c r="P116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Q33" i="15"/>
  <c r="P33" i="15"/>
  <c r="A33" i="15"/>
  <c r="A55" i="15"/>
  <c r="C9" i="1"/>
  <c r="Q4" i="15" s="1"/>
  <c r="C17" i="1"/>
  <c r="C25" i="1"/>
  <c r="Q20" i="15" s="1"/>
  <c r="C31" i="1"/>
  <c r="Q26" i="15" s="1"/>
  <c r="C38" i="1"/>
  <c r="Q34" i="15" s="1"/>
  <c r="C41" i="1"/>
  <c r="Q37" i="15" s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/>
  <c r="P35" i="15"/>
  <c r="P36" i="15"/>
  <c r="B41" i="1"/>
  <c r="P37" i="15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68" i="4"/>
  <c r="Q36" i="18" s="1"/>
  <c r="D68" i="4"/>
  <c r="R36" i="18" s="1"/>
  <c r="C64" i="4"/>
  <c r="Q33" i="18" s="1"/>
  <c r="D64" i="4"/>
  <c r="R33" i="18" s="1"/>
  <c r="C63" i="4"/>
  <c r="D63" i="4"/>
  <c r="R32" i="18" s="1"/>
  <c r="C48" i="4"/>
  <c r="Q26" i="18" s="1"/>
  <c r="C53" i="4"/>
  <c r="D53" i="4"/>
  <c r="R30" i="18" s="1"/>
  <c r="D48" i="4"/>
  <c r="R26" i="18" s="1"/>
  <c r="C49" i="4"/>
  <c r="Q27" i="18" s="1"/>
  <c r="D49" i="4"/>
  <c r="C29" i="4"/>
  <c r="D29" i="4"/>
  <c r="R15" i="18" s="1"/>
  <c r="C40" i="4"/>
  <c r="Q22" i="18" s="1"/>
  <c r="D40" i="4"/>
  <c r="C37" i="4"/>
  <c r="Q19" i="18" s="1"/>
  <c r="D37" i="4"/>
  <c r="C17" i="4"/>
  <c r="C13" i="4"/>
  <c r="Q6" i="18" s="1"/>
  <c r="D13" i="4"/>
  <c r="T17" i="16"/>
  <c r="R15" i="16"/>
  <c r="V14" i="16"/>
  <c r="C13" i="2"/>
  <c r="Q8" i="16" s="1"/>
  <c r="D13" i="2"/>
  <c r="R8" i="16" s="1"/>
  <c r="E13" i="2"/>
  <c r="S8" i="16" s="1"/>
  <c r="F13" i="2"/>
  <c r="T8" i="16"/>
  <c r="H13" i="2"/>
  <c r="V8" i="16" s="1"/>
  <c r="B13" i="2"/>
  <c r="P8" i="16" s="1"/>
  <c r="C9" i="2"/>
  <c r="Q4" i="16" s="1"/>
  <c r="D9" i="2"/>
  <c r="R4" i="16" s="1"/>
  <c r="E9" i="2"/>
  <c r="S4" i="16" s="1"/>
  <c r="F9" i="2"/>
  <c r="T4" i="16" s="1"/>
  <c r="G9" i="2"/>
  <c r="U4" i="16" s="1"/>
  <c r="H9" i="2"/>
  <c r="V4" i="16" s="1"/>
  <c r="B9" i="2"/>
  <c r="P4" i="16" s="1"/>
  <c r="P4" i="15"/>
  <c r="Q30" i="18"/>
  <c r="R31" i="18"/>
  <c r="Q32" i="18"/>
  <c r="R19" i="18"/>
  <c r="Q31" i="18"/>
  <c r="R37" i="18"/>
  <c r="R6" i="18"/>
  <c r="Q15" i="18"/>
  <c r="Q37" i="18"/>
  <c r="G8" i="2"/>
  <c r="G20" i="2" s="1"/>
  <c r="U13" i="16" s="1"/>
  <c r="U8" i="16"/>
  <c r="V3" i="17" l="1"/>
  <c r="G9" i="7"/>
  <c r="U2" i="25" s="1"/>
  <c r="G58" i="6"/>
  <c r="U51" i="24" s="1"/>
  <c r="Q9" i="18"/>
  <c r="B47" i="1"/>
  <c r="B62" i="1" s="1"/>
  <c r="P54" i="15" s="1"/>
  <c r="E20" i="3"/>
  <c r="S5" i="17" s="1"/>
  <c r="J20" i="3"/>
  <c r="X5" i="17" s="1"/>
  <c r="I20" i="3"/>
  <c r="W5" i="17" s="1"/>
  <c r="F32" i="10"/>
  <c r="T23" i="28" s="1"/>
  <c r="S16" i="27"/>
  <c r="T9" i="27"/>
  <c r="B9" i="9"/>
  <c r="P2" i="27" s="1"/>
  <c r="G9" i="9"/>
  <c r="U2" i="27" s="1"/>
  <c r="C9" i="9"/>
  <c r="Q2" i="27" s="1"/>
  <c r="G71" i="8"/>
  <c r="G61" i="8"/>
  <c r="U53" i="26" s="1"/>
  <c r="T45" i="26"/>
  <c r="G53" i="8"/>
  <c r="U45" i="26" s="1"/>
  <c r="R45" i="26"/>
  <c r="G44" i="8"/>
  <c r="U36" i="26" s="1"/>
  <c r="B9" i="8"/>
  <c r="P2" i="26" s="1"/>
  <c r="G27" i="8"/>
  <c r="F9" i="8"/>
  <c r="T2" i="26" s="1"/>
  <c r="E9" i="8"/>
  <c r="S2" i="26" s="1"/>
  <c r="C9" i="8"/>
  <c r="Q2" i="26" s="1"/>
  <c r="U5" i="26"/>
  <c r="G19" i="8"/>
  <c r="U12" i="26" s="1"/>
  <c r="B29" i="7"/>
  <c r="P4" i="25" s="1"/>
  <c r="C29" i="7"/>
  <c r="Q4" i="25" s="1"/>
  <c r="G19" i="7"/>
  <c r="U3" i="25" s="1"/>
  <c r="D29" i="7"/>
  <c r="R4" i="25" s="1"/>
  <c r="F29" i="7"/>
  <c r="T4" i="25" s="1"/>
  <c r="E29" i="7"/>
  <c r="S4" i="25" s="1"/>
  <c r="G150" i="6"/>
  <c r="U142" i="24" s="1"/>
  <c r="U143" i="24"/>
  <c r="U140" i="24"/>
  <c r="G137" i="6"/>
  <c r="U129" i="24" s="1"/>
  <c r="U128" i="24"/>
  <c r="G123" i="6"/>
  <c r="U115" i="24" s="1"/>
  <c r="U118" i="24"/>
  <c r="G113" i="6"/>
  <c r="U105" i="24" s="1"/>
  <c r="U106" i="24"/>
  <c r="G103" i="6"/>
  <c r="U95" i="24" s="1"/>
  <c r="U100" i="24"/>
  <c r="G93" i="6"/>
  <c r="U78" i="24"/>
  <c r="B84" i="6"/>
  <c r="P76" i="24" s="1"/>
  <c r="G75" i="6"/>
  <c r="U68" i="24" s="1"/>
  <c r="G71" i="6"/>
  <c r="U64" i="24" s="1"/>
  <c r="G62" i="6"/>
  <c r="U55" i="24" s="1"/>
  <c r="U56" i="24"/>
  <c r="U54" i="24"/>
  <c r="G48" i="6"/>
  <c r="U41" i="24" s="1"/>
  <c r="U34" i="24"/>
  <c r="B9" i="6"/>
  <c r="P2" i="24" s="1"/>
  <c r="C9" i="6"/>
  <c r="Q2" i="24" s="1"/>
  <c r="U44" i="24"/>
  <c r="P21" i="24"/>
  <c r="E9" i="6"/>
  <c r="U25" i="24"/>
  <c r="F9" i="6"/>
  <c r="G18" i="6"/>
  <c r="U11" i="24" s="1"/>
  <c r="G10" i="6"/>
  <c r="U3" i="24" s="1"/>
  <c r="F65" i="5"/>
  <c r="T56" i="20" s="1"/>
  <c r="E65" i="5"/>
  <c r="S56" i="20" s="1"/>
  <c r="B65" i="5"/>
  <c r="P56" i="20" s="1"/>
  <c r="D65" i="5"/>
  <c r="R56" i="20" s="1"/>
  <c r="P37" i="20"/>
  <c r="D41" i="5"/>
  <c r="R34" i="20" s="1"/>
  <c r="U32" i="20"/>
  <c r="F41" i="5"/>
  <c r="T34" i="20" s="1"/>
  <c r="E41" i="5"/>
  <c r="S34" i="20" s="1"/>
  <c r="G28" i="5"/>
  <c r="U22" i="20" s="1"/>
  <c r="G16" i="5"/>
  <c r="U10" i="20" s="1"/>
  <c r="C70" i="5"/>
  <c r="C72" i="4"/>
  <c r="C74" i="4" s="1"/>
  <c r="Q39" i="18" s="1"/>
  <c r="B72" i="4"/>
  <c r="P38" i="18" s="1"/>
  <c r="D57" i="4"/>
  <c r="D59" i="4" s="1"/>
  <c r="B57" i="4"/>
  <c r="B59" i="4" s="1"/>
  <c r="Q38" i="18"/>
  <c r="B74" i="4"/>
  <c r="P39" i="18" s="1"/>
  <c r="C57" i="4"/>
  <c r="C59" i="4" s="1"/>
  <c r="D44" i="4"/>
  <c r="R25" i="18" s="1"/>
  <c r="C44" i="4"/>
  <c r="B44" i="4"/>
  <c r="S14" i="16"/>
  <c r="U3" i="16"/>
  <c r="E8" i="2"/>
  <c r="C8" i="2"/>
  <c r="C20" i="2" s="1"/>
  <c r="Q13" i="16" s="1"/>
  <c r="B8" i="2"/>
  <c r="E79" i="1"/>
  <c r="P119" i="15" s="1"/>
  <c r="E47" i="1"/>
  <c r="E59" i="1" s="1"/>
  <c r="F47" i="1"/>
  <c r="F59" i="1" s="1"/>
  <c r="Q104" i="15" s="1"/>
  <c r="Q42" i="15"/>
  <c r="S4" i="17"/>
  <c r="U3" i="17"/>
  <c r="X3" i="17"/>
  <c r="A2" i="10"/>
  <c r="C7" i="23"/>
  <c r="A2" i="6" s="1"/>
  <c r="Y3" i="17"/>
  <c r="K20" i="3"/>
  <c r="Y5" i="17" s="1"/>
  <c r="D11" i="4"/>
  <c r="B11" i="4"/>
  <c r="P25" i="18"/>
  <c r="R27" i="18"/>
  <c r="F79" i="1"/>
  <c r="Q119" i="15" s="1"/>
  <c r="A2" i="11"/>
  <c r="D6" i="10"/>
  <c r="B41" i="5"/>
  <c r="D84" i="6"/>
  <c r="R76" i="24" s="1"/>
  <c r="T35" i="26"/>
  <c r="S35" i="26"/>
  <c r="R35" i="26"/>
  <c r="U13" i="27"/>
  <c r="S13" i="27"/>
  <c r="Q13" i="27"/>
  <c r="G41" i="5"/>
  <c r="U20" i="26"/>
  <c r="H8" i="2"/>
  <c r="D8" i="2"/>
  <c r="R22" i="18"/>
  <c r="Q12" i="15"/>
  <c r="P106" i="15"/>
  <c r="A2" i="12"/>
  <c r="G75" i="5"/>
  <c r="U62" i="20" s="1"/>
  <c r="G45" i="5"/>
  <c r="P95" i="24"/>
  <c r="D9" i="6"/>
  <c r="R85" i="24"/>
  <c r="U85" i="24"/>
  <c r="G84" i="6"/>
  <c r="U76" i="24" s="1"/>
  <c r="G43" i="8"/>
  <c r="U63" i="26"/>
  <c r="F8" i="2"/>
  <c r="D72" i="4"/>
  <c r="P19" i="18"/>
  <c r="B6" i="10"/>
  <c r="F6" i="10"/>
  <c r="F84" i="6"/>
  <c r="T76" i="24" s="1"/>
  <c r="B77" i="8"/>
  <c r="P68" i="26" s="1"/>
  <c r="T13" i="27"/>
  <c r="F33" i="9"/>
  <c r="T24" i="27" s="1"/>
  <c r="R13" i="27"/>
  <c r="D33" i="9"/>
  <c r="R24" i="27" s="1"/>
  <c r="E84" i="6"/>
  <c r="S76" i="24" s="1"/>
  <c r="S85" i="24"/>
  <c r="P13" i="27"/>
  <c r="B33" i="9"/>
  <c r="P24" i="27" s="1"/>
  <c r="C84" i="6"/>
  <c r="Q76" i="24" s="1"/>
  <c r="Q3" i="25"/>
  <c r="S45" i="26"/>
  <c r="C43" i="8"/>
  <c r="T12" i="26"/>
  <c r="D9" i="8"/>
  <c r="R2" i="26" s="1"/>
  <c r="P9" i="27"/>
  <c r="U9" i="27"/>
  <c r="Q9" i="27"/>
  <c r="E9" i="9"/>
  <c r="S2" i="27" s="1"/>
  <c r="B32" i="10"/>
  <c r="P23" i="28" s="1"/>
  <c r="G32" i="10"/>
  <c r="U23" i="28" s="1"/>
  <c r="E32" i="10"/>
  <c r="S23" i="28" s="1"/>
  <c r="C32" i="10"/>
  <c r="Q23" i="28" s="1"/>
  <c r="T21" i="28"/>
  <c r="R21" i="28"/>
  <c r="R2" i="29"/>
  <c r="T2" i="30"/>
  <c r="D31" i="12"/>
  <c r="R23" i="30" s="1"/>
  <c r="G29" i="13"/>
  <c r="U22" i="31" s="1"/>
  <c r="R2" i="25"/>
  <c r="P16" i="27"/>
  <c r="U16" i="27"/>
  <c r="Q16" i="27"/>
  <c r="T2" i="29"/>
  <c r="P2" i="30"/>
  <c r="G29" i="7" l="1"/>
  <c r="U4" i="25" s="1"/>
  <c r="G33" i="9"/>
  <c r="U24" i="27" s="1"/>
  <c r="G9" i="8"/>
  <c r="U2" i="26" s="1"/>
  <c r="C33" i="9"/>
  <c r="Q24" i="27" s="1"/>
  <c r="E77" i="8"/>
  <c r="S68" i="26" s="1"/>
  <c r="F77" i="8"/>
  <c r="T68" i="26" s="1"/>
  <c r="F159" i="6"/>
  <c r="T150" i="24" s="1"/>
  <c r="E159" i="6"/>
  <c r="S150" i="24" s="1"/>
  <c r="B159" i="6"/>
  <c r="P150" i="24" s="1"/>
  <c r="S2" i="24"/>
  <c r="G9" i="6"/>
  <c r="U2" i="24" s="1"/>
  <c r="T2" i="24"/>
  <c r="D70" i="5"/>
  <c r="E70" i="5"/>
  <c r="F70" i="5"/>
  <c r="Q25" i="18"/>
  <c r="C11" i="4"/>
  <c r="E20" i="2"/>
  <c r="S13" i="16" s="1"/>
  <c r="S3" i="16"/>
  <c r="Q3" i="16"/>
  <c r="B20" i="2"/>
  <c r="P13" i="16" s="1"/>
  <c r="P3" i="16"/>
  <c r="E81" i="1"/>
  <c r="P120" i="15" s="1"/>
  <c r="P95" i="15"/>
  <c r="P104" i="15"/>
  <c r="P42" i="15"/>
  <c r="Q95" i="15"/>
  <c r="F81" i="1"/>
  <c r="Q120" i="15" s="1"/>
  <c r="C62" i="1"/>
  <c r="Q54" i="15" s="1"/>
  <c r="A2" i="9"/>
  <c r="A2" i="5"/>
  <c r="A2" i="1"/>
  <c r="A2" i="2"/>
  <c r="A2" i="4"/>
  <c r="A2" i="8"/>
  <c r="A2" i="3"/>
  <c r="A2" i="7"/>
  <c r="V3" i="16"/>
  <c r="H20" i="2"/>
  <c r="V13" i="16" s="1"/>
  <c r="E33" i="9"/>
  <c r="S24" i="27" s="1"/>
  <c r="Q35" i="26"/>
  <c r="C77" i="8"/>
  <c r="Q68" i="26" s="1"/>
  <c r="C159" i="6"/>
  <c r="Q150" i="24" s="1"/>
  <c r="F20" i="2"/>
  <c r="T13" i="16" s="1"/>
  <c r="T3" i="16"/>
  <c r="G42" i="5"/>
  <c r="U35" i="20" s="1"/>
  <c r="U34" i="20"/>
  <c r="G65" i="5"/>
  <c r="U56" i="20" s="1"/>
  <c r="U37" i="20"/>
  <c r="D74" i="4"/>
  <c r="R39" i="18" s="1"/>
  <c r="R38" i="18"/>
  <c r="G77" i="8"/>
  <c r="U68" i="26" s="1"/>
  <c r="U35" i="26"/>
  <c r="D159" i="6"/>
  <c r="R150" i="24" s="1"/>
  <c r="R2" i="24"/>
  <c r="R3" i="16"/>
  <c r="D20" i="2"/>
  <c r="R13" i="16" s="1"/>
  <c r="D77" i="8"/>
  <c r="R68" i="26" s="1"/>
  <c r="P34" i="20"/>
  <c r="B70" i="5"/>
  <c r="P5" i="18"/>
  <c r="B8" i="4"/>
  <c r="D8" i="4"/>
  <c r="R5" i="18"/>
  <c r="G159" i="6" l="1"/>
  <c r="U150" i="24" s="1"/>
  <c r="G70" i="5"/>
  <c r="C8" i="4"/>
  <c r="C21" i="4" s="1"/>
  <c r="Q5" i="18"/>
  <c r="D21" i="4"/>
  <c r="R2" i="18"/>
  <c r="B21" i="4"/>
  <c r="P2" i="18"/>
  <c r="Q2" i="18" l="1"/>
  <c r="P12" i="18"/>
  <c r="B23" i="4"/>
  <c r="R12" i="18"/>
  <c r="D23" i="4"/>
  <c r="C23" i="4" l="1"/>
  <c r="C25" i="4" s="1"/>
  <c r="Q12" i="18"/>
  <c r="D25" i="4"/>
  <c r="R13" i="18"/>
  <c r="B25" i="4"/>
  <c r="P13" i="18"/>
  <c r="Q13" i="18" l="1"/>
  <c r="B33" i="4"/>
  <c r="P18" i="18" s="1"/>
  <c r="P14" i="18"/>
  <c r="R14" i="18"/>
  <c r="D33" i="4"/>
  <c r="R18" i="18" s="1"/>
  <c r="Q14" i="18" l="1"/>
  <c r="C33" i="4"/>
  <c r="Q18" i="18" s="1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<sst xmlns="http://schemas.openxmlformats.org/spreadsheetml/2006/main" count="4243" uniqueCount="3312">
  <si>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</si>
  <si>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</si>
  <si>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</si>
  <si>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</si>
  <si>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</si>
  <si>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</si>
  <si>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</si>
  <si>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</si>
  <si>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</si>
  <si>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</si>
  <si>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</si>
  <si>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</si>
  <si>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</si>
  <si>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</si>
  <si>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</si>
  <si>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</si>
  <si>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</si>
  <si>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</si>
  <si>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</si>
  <si>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</si>
  <si>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</si>
  <si>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</si>
  <si>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</si>
  <si>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</si>
  <si>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</si>
  <si>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</si>
  <si>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</si>
  <si>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</si>
  <si>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</si>
  <si>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</si>
  <si>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</si>
  <si>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</si>
  <si>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</si>
  <si>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</si>
  <si>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</si>
  <si>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</si>
  <si>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</si>
  <si>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</si>
  <si>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</si>
  <si>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</si>
  <si>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</si>
  <si>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</si>
  <si>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</si>
  <si>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</si>
  <si>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</si>
  <si>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</si>
  <si>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</si>
  <si>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</si>
  <si>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</si>
  <si>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</si>
  <si>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</si>
  <si>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</si>
  <si>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</si>
  <si>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</si>
  <si>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</si>
  <si>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</si>
  <si>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</si>
  <si>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</si>
  <si>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</si>
  <si>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</si>
  <si>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</si>
  <si>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</si>
  <si>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</si>
  <si>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</si>
  <si>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</si>
  <si>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</si>
  <si>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</si>
  <si>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</si>
  <si>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</si>
  <si>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</si>
  <si>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</si>
  <si>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</si>
  <si>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</si>
  <si>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</si>
  <si>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</si>
  <si>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</si>
  <si>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</si>
  <si>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</si>
  <si>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</si>
  <si>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</si>
  <si>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</si>
  <si>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</si>
  <si>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</si>
  <si>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</si>
  <si>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</si>
  <si>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</si>
  <si>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</si>
  <si>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</si>
  <si>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</si>
  <si>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</si>
  <si>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</si>
  <si>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</si>
  <si>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</si>
  <si>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</si>
  <si>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</si>
  <si>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</si>
  <si>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</si>
  <si>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</si>
  <si>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</si>
  <si>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</si>
  <si>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</si>
  <si>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</si>
  <si>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</si>
  <si>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</si>
  <si>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</si>
  <si>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</si>
  <si>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</si>
  <si>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</si>
  <si>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</si>
  <si>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</si>
  <si>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</si>
  <si>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</si>
  <si>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</si>
  <si>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</si>
  <si>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</si>
  <si>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</si>
  <si>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</si>
  <si>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</si>
  <si>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</si>
  <si>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</si>
  <si>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</si>
  <si>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</si>
  <si>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</si>
  <si>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</si>
  <si>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</si>
  <si>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</si>
  <si>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</si>
  <si>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</si>
  <si>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</si>
  <si>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</si>
  <si>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</si>
  <si>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</si>
  <si>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</si>
  <si>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</si>
  <si>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</si>
  <si>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</si>
  <si>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</si>
  <si>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</si>
  <si>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</si>
  <si>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</si>
  <si>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</si>
  <si>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</si>
  <si>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</si>
  <si>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</si>
  <si>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</si>
  <si>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</si>
  <si>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</si>
  <si>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</si>
  <si>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</si>
  <si>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</si>
  <si>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</si>
  <si>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</si>
  <si>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</si>
  <si>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</si>
  <si>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</si>
  <si>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</si>
  <si>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</si>
  <si>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</si>
  <si>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</si>
  <si>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</si>
  <si>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</si>
  <si>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</si>
  <si>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</si>
  <si>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</si>
  <si>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</si>
  <si>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</si>
  <si>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</si>
  <si>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</si>
  <si>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</si>
  <si>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</si>
  <si>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</si>
  <si>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</si>
  <si>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</si>
  <si>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</si>
  <si>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</si>
  <si>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</si>
  <si>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</si>
  <si>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</si>
  <si>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</si>
  <si>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</si>
  <si>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</si>
  <si>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</si>
  <si>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</si>
  <si>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</si>
  <si>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</si>
  <si>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</si>
  <si>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</si>
  <si>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</si>
  <si>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</si>
  <si>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</si>
  <si>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</si>
  <si>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</si>
  <si>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</si>
  <si>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</si>
  <si>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</si>
  <si>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</si>
  <si>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</si>
  <si>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</si>
  <si>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</si>
  <si>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</si>
  <si>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</si>
  <si>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</si>
  <si>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</si>
  <si>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</si>
  <si>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</si>
  <si>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</si>
  <si>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</si>
  <si>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</si>
  <si>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</si>
  <si>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</si>
  <si>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</si>
  <si>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</si>
  <si>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</si>
  <si>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</si>
  <si>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</si>
  <si>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</si>
  <si>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</si>
  <si>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</si>
  <si>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</si>
  <si>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</si>
  <si>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</si>
  <si>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</si>
  <si>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</si>
  <si>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</si>
  <si>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</si>
  <si>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</si>
  <si>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</si>
  <si>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</si>
  <si>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</si>
  <si>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</si>
  <si>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</si>
  <si>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</si>
  <si>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</si>
  <si>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</si>
  <si>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</si>
  <si>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</si>
  <si>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</si>
  <si>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</si>
  <si>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</si>
  <si>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</si>
  <si>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</si>
  <si>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</si>
  <si>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</si>
  <si>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</si>
  <si>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</si>
  <si>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</si>
  <si>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</si>
  <si>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</si>
  <si>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</si>
  <si>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</si>
  <si>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</si>
  <si>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</si>
  <si>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</si>
  <si>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</si>
  <si>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</si>
  <si>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</si>
  <si>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</si>
  <si>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</si>
  <si>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</si>
  <si>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</si>
  <si>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</si>
  <si>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</si>
  <si>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</si>
  <si>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</si>
  <si>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</si>
  <si>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</si>
  <si>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</si>
  <si>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</si>
  <si>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</si>
  <si>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</si>
  <si>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</si>
  <si>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</si>
  <si>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</si>
  <si>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</si>
  <si>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</si>
  <si>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</si>
  <si>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</si>
  <si>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</si>
  <si>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</si>
  <si>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</si>
  <si>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</si>
  <si>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</si>
  <si>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</si>
  <si>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</si>
  <si>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</si>
  <si>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</si>
  <si>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</si>
  <si>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</si>
  <si>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</si>
  <si>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</si>
  <si>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</si>
  <si>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</si>
  <si>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</si>
  <si>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</si>
  <si>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</si>
  <si>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</si>
  <si>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</si>
  <si>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</si>
  <si>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</si>
  <si>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</si>
  <si>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</si>
  <si>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</si>
  <si>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</si>
  <si>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</si>
  <si>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</si>
  <si>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</si>
  <si>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</si>
  <si>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</si>
  <si>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</si>
  <si>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</si>
  <si>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</si>
  <si>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</si>
  <si>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</si>
  <si>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</si>
  <si>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</si>
  <si>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</si>
  <si>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</si>
  <si>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</si>
  <si>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</si>
  <si>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</si>
  <si>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</si>
  <si>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</si>
  <si>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</si>
  <si>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</si>
  <si>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</si>
  <si>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</si>
  <si>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</si>
  <si>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</si>
  <si>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</si>
  <si>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</si>
  <si>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</si>
  <si>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</si>
  <si>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</si>
  <si>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</si>
  <si>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</si>
  <si>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</si>
  <si>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</si>
  <si>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</si>
  <si>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</si>
  <si>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</si>
  <si>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</si>
  <si>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</si>
  <si>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</si>
  <si>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</si>
  <si>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</si>
  <si>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</si>
  <si>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</si>
  <si>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</si>
  <si>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</si>
  <si>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</si>
  <si>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</si>
  <si>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</si>
  <si>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</si>
  <si>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</si>
  <si>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</si>
  <si>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</si>
  <si>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</si>
  <si>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</si>
  <si>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</si>
  <si>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</si>
  <si>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</si>
  <si>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</si>
  <si>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</si>
  <si>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</si>
  <si>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</si>
  <si>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</si>
  <si>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</si>
  <si>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</si>
  <si>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</si>
  <si>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</si>
  <si>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</si>
  <si>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</si>
  <si>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</si>
  <si>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</si>
  <si>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</si>
  <si>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</si>
  <si>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</si>
  <si>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</si>
  <si>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</si>
  <si>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</si>
  <si>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</si>
  <si>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</si>
  <si>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</si>
  <si>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</si>
  <si>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</si>
  <si>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</si>
  <si>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</si>
  <si>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</si>
  <si>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</si>
  <si>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</si>
  <si>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</si>
  <si>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</si>
  <si>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</si>
  <si>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</si>
  <si>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</si>
  <si>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</si>
  <si>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</si>
  <si>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</si>
  <si>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</si>
  <si>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</si>
  <si>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</si>
  <si>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</si>
  <si>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</si>
  <si>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</si>
  <si>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</si>
  <si>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</si>
  <si>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</si>
  <si>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</si>
  <si>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</si>
  <si>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</si>
  <si>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</si>
  <si>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</si>
  <si>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</si>
  <si>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</si>
  <si>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</si>
  <si>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</si>
  <si>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</si>
  <si>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</si>
  <si>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</si>
  <si>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</si>
  <si>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</si>
  <si>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</si>
  <si>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</si>
  <si>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</si>
  <si>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</si>
  <si>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</si>
  <si>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</si>
  <si>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</si>
  <si>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</si>
  <si>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</si>
  <si>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</si>
  <si>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</si>
  <si>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</si>
  <si>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</si>
  <si>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</si>
  <si>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</si>
  <si>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</si>
  <si>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</si>
  <si>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</si>
  <si>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</si>
  <si>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</si>
  <si>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</si>
  <si>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</si>
  <si>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</si>
  <si>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</si>
  <si>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</si>
  <si>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</si>
  <si>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</si>
  <si>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</si>
  <si>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</si>
  <si>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</si>
  <si>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</si>
  <si>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</si>
  <si>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</si>
  <si>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</si>
  <si>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</si>
  <si>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</si>
  <si>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</si>
  <si>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</si>
  <si>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</si>
  <si>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</si>
  <si>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</si>
  <si>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</si>
  <si>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</si>
  <si>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</si>
  <si>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</si>
  <si>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</si>
  <si>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</si>
  <si>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</si>
  <si>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</si>
  <si>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</si>
  <si>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</si>
  <si>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</si>
  <si>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</si>
  <si>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</si>
  <si>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</si>
  <si>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</si>
  <si>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</si>
  <si>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</si>
  <si>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</si>
  <si>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</si>
  <si>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</si>
  <si>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</si>
  <si>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</si>
  <si>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</si>
  <si>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</si>
  <si>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</si>
  <si>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</si>
  <si>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</si>
  <si>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</si>
  <si>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</si>
  <si>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</si>
  <si>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</si>
  <si>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</si>
  <si>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</si>
  <si>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</si>
  <si>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</si>
  <si>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</si>
  <si>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</si>
  <si>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</si>
  <si>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</si>
  <si>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</si>
  <si>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</si>
  <si>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</si>
  <si>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</si>
  <si>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</si>
  <si>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</si>
  <si>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</si>
  <si>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</si>
  <si>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</si>
  <si>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</si>
  <si>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</si>
  <si>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</si>
  <si>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</si>
  <si>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</si>
  <si>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</si>
  <si>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</si>
  <si>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</si>
  <si>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</si>
  <si>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</si>
  <si>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</si>
  <si>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</si>
  <si>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</si>
  <si>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</si>
  <si>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</si>
  <si>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</si>
  <si>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</si>
  <si>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</si>
  <si>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</si>
  <si>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</si>
  <si>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</si>
  <si>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</si>
  <si>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</si>
  <si>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</si>
  <si>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</si>
  <si>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</si>
  <si>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</si>
  <si>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</si>
  <si>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</si>
  <si>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</si>
  <si>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</si>
  <si>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</si>
  <si>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</si>
  <si>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</si>
  <si>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</si>
  <si>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</si>
  <si>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</si>
  <si>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</si>
  <si>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</si>
  <si>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</si>
  <si>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</si>
  <si>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</si>
  <si>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</si>
  <si>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</si>
  <si>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</si>
  <si>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</si>
  <si>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</si>
  <si>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</si>
  <si>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</si>
  <si>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</si>
  <si>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</si>
  <si>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</si>
  <si>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</si>
  <si>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</si>
  <si>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</si>
  <si>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</si>
  <si>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</si>
  <si>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</si>
  <si>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</si>
  <si>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</si>
  <si>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</si>
  <si>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</si>
  <si>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</si>
  <si>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</si>
  <si>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</si>
  <si>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</si>
  <si>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</si>
  <si>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</si>
  <si>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</si>
  <si>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</si>
  <si>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</si>
  <si>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</si>
  <si>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</si>
  <si>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</si>
  <si>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</si>
  <si>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</si>
  <si>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</si>
  <si>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</si>
  <si>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</si>
  <si>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</si>
  <si>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</si>
  <si>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</si>
  <si>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</si>
  <si>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</si>
  <si>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</si>
  <si>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</si>
  <si>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</si>
  <si>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</si>
  <si>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</si>
  <si>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</si>
  <si>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</si>
  <si>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</si>
  <si>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</si>
  <si>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</si>
  <si>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</si>
  <si>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</si>
  <si>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</si>
  <si>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</si>
  <si>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</si>
  <si>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</si>
  <si>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</si>
  <si>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</si>
  <si>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</si>
  <si>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</si>
  <si>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</si>
  <si>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</si>
  <si>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</si>
  <si>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</si>
  <si>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</si>
  <si>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</si>
  <si>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</si>
  <si>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</si>
  <si>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</si>
  <si>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</si>
  <si>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</si>
  <si>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</si>
  <si>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</si>
  <si>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</si>
  <si>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</si>
  <si>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</si>
  <si>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</si>
  <si>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</si>
  <si>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</si>
  <si>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</si>
  <si>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</si>
  <si>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</si>
  <si>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</si>
  <si>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</si>
  <si>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</si>
  <si>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</si>
  <si>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</si>
  <si>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</si>
  <si>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</si>
  <si>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</si>
  <si>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</si>
  <si>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</si>
  <si>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</si>
  <si>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</si>
  <si>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</si>
  <si>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</si>
  <si>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</si>
  <si>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</si>
  <si>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</si>
  <si>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</si>
  <si>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</si>
  <si>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</si>
  <si>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</si>
  <si>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</si>
  <si>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</si>
  <si>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</si>
  <si>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</si>
  <si>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</si>
  <si>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</si>
  <si>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</si>
  <si>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</si>
  <si>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</si>
  <si>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</si>
  <si>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</si>
  <si>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</si>
  <si>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</si>
  <si>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</si>
  <si>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</si>
  <si>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</si>
  <si>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</si>
  <si>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</si>
  <si>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</si>
  <si>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</si>
  <si>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</si>
  <si>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</si>
  <si>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</si>
  <si>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</si>
  <si>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</si>
  <si>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</si>
  <si>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</si>
  <si>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</si>
  <si>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</si>
  <si>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</si>
  <si>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</si>
  <si>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</si>
  <si>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</si>
  <si>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</si>
  <si>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</si>
  <si>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</si>
  <si>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</si>
  <si>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</si>
  <si>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</si>
  <si>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</si>
  <si>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</si>
  <si>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</si>
  <si>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</si>
  <si>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</si>
  <si>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</si>
  <si>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</si>
  <si>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</si>
  <si>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</si>
  <si>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</si>
  <si>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</si>
  <si>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</si>
  <si>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</si>
  <si>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</si>
  <si>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</si>
  <si>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</si>
  <si>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</si>
  <si>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</si>
  <si>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</si>
  <si>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</si>
  <si>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</si>
  <si>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</si>
  <si>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</si>
  <si>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</si>
  <si>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</si>
  <si>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</si>
  <si>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</si>
  <si>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</si>
  <si>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</si>
  <si>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</si>
  <si>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</si>
  <si>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</si>
  <si>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</si>
  <si>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</si>
  <si>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</si>
  <si>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</si>
  <si>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</si>
  <si>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</si>
  <si>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</si>
  <si>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</si>
  <si>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</si>
  <si>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</si>
  <si>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</si>
  <si>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</si>
  <si>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</si>
  <si>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</si>
  <si>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</si>
  <si>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</si>
  <si>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</si>
  <si>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</si>
  <si>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</si>
  <si>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</si>
  <si>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</si>
  <si>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</si>
  <si>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</si>
  <si>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</si>
  <si>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</si>
  <si>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</si>
  <si>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</si>
  <si>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</si>
  <si>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</si>
  <si>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</si>
  <si>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</si>
  <si>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</si>
  <si>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</si>
  <si>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</si>
  <si>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</si>
  <si>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</si>
  <si>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</si>
  <si>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</si>
  <si>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</si>
  <si>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</si>
  <si>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</si>
  <si>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</si>
  <si>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</si>
  <si>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</si>
  <si>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</si>
  <si>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</si>
  <si>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</si>
  <si>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</si>
  <si>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</si>
  <si>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</si>
  <si>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</si>
  <si>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</si>
  <si>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</si>
  <si>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</si>
  <si>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</si>
  <si>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</si>
  <si>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</si>
  <si>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</si>
  <si>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</si>
  <si>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</si>
  <si>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</si>
  <si>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</si>
  <si>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</si>
  <si>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</si>
  <si>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</si>
  <si>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</si>
  <si>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</si>
  <si>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</si>
  <si>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</si>
  <si>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</si>
  <si>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</si>
  <si>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</si>
  <si>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</si>
  <si>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</si>
  <si>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</si>
  <si>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</si>
  <si>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</si>
  <si>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</si>
  <si>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</si>
  <si>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</si>
  <si>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</si>
  <si>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</si>
  <si>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</si>
  <si>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</si>
  <si>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</si>
  <si>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</si>
  <si>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</si>
  <si>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</si>
  <si>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</si>
  <si>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</si>
  <si>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</si>
  <si>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</si>
  <si>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</si>
  <si>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</si>
  <si>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</si>
  <si>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</si>
  <si>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</si>
  <si>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</si>
  <si>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</si>
  <si>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</si>
  <si>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</si>
  <si>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</si>
  <si>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</si>
  <si>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</si>
  <si>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</si>
  <si>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</si>
  <si>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</si>
  <si>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</si>
  <si>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</si>
  <si>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</si>
  <si>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</si>
  <si>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</si>
  <si>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</si>
  <si>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</si>
  <si>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</si>
  <si>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</si>
  <si>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</si>
  <si>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</si>
  <si>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</si>
  <si>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</si>
  <si>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</si>
  <si>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</si>
  <si>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</si>
  <si>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</si>
  <si>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</si>
  <si>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</si>
  <si>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</si>
  <si>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</si>
  <si>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</si>
  <si>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</si>
  <si>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</si>
  <si>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</si>
  <si>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</si>
  <si>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</si>
  <si>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</si>
  <si>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</si>
  <si>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</si>
  <si>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</si>
  <si>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</si>
  <si>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</si>
  <si>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</si>
  <si>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</si>
  <si>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</si>
  <si>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</si>
  <si>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</si>
  <si>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</si>
  <si>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</si>
  <si>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</si>
  <si>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</si>
  <si>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</si>
  <si>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</si>
  <si>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</si>
  <si>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</si>
  <si>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</si>
  <si>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</si>
  <si>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</si>
  <si>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</si>
  <si>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</si>
  <si>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</si>
  <si>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</si>
  <si>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</si>
  <si>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</si>
  <si>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</si>
  <si>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</si>
  <si>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</si>
  <si>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</si>
  <si>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</si>
  <si>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</si>
  <si>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</si>
  <si>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</si>
  <si>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</si>
  <si>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</si>
  <si>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</si>
  <si>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</si>
  <si>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</si>
  <si>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</si>
  <si>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</si>
  <si>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</si>
  <si>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</si>
  <si>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</si>
  <si>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</si>
  <si>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</si>
  <si>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</si>
  <si>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</si>
  <si>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</si>
  <si>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</si>
  <si>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</si>
  <si>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</si>
  <si>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</si>
  <si>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</si>
  <si>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</si>
  <si>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</si>
  <si>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</si>
  <si>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</si>
  <si>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</si>
  <si>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</si>
  <si>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</si>
  <si>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</si>
  <si>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</si>
  <si>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</si>
  <si>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</si>
  <si>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</si>
  <si>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</si>
  <si>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</si>
  <si>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</si>
  <si>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</si>
  <si>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</si>
  <si>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</si>
  <si>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</si>
  <si>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</si>
  <si>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</si>
  <si>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</si>
  <si>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</si>
  <si>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</si>
  <si>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</si>
  <si>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</si>
  <si>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</si>
  <si>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</si>
  <si>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</si>
  <si>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</si>
  <si>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</si>
  <si>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</si>
  <si>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</si>
  <si>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</si>
  <si>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</si>
  <si>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</si>
  <si>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</si>
  <si>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</si>
  <si>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</si>
  <si>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</si>
  <si>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</si>
  <si>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</si>
  <si>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</si>
  <si>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</si>
  <si>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</si>
  <si>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</si>
  <si>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</si>
  <si>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</si>
  <si>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</si>
  <si>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</si>
  <si>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</si>
  <si>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</si>
  <si>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</si>
  <si>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</si>
  <si>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</si>
  <si>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</si>
  <si>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</si>
  <si>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</si>
  <si>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</si>
  <si>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</si>
  <si>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</si>
  <si>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</si>
  <si>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</si>
  <si>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</si>
  <si>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</si>
  <si>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</si>
  <si>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</si>
  <si>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</si>
  <si>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</si>
  <si>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</si>
  <si>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</si>
  <si>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</si>
  <si>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</si>
  <si>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</si>
  <si>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</si>
  <si>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</si>
  <si>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</si>
  <si>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</si>
  <si>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</si>
  <si>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</si>
  <si>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</si>
  <si>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</si>
  <si>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</si>
  <si>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</si>
  <si>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</si>
  <si>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</si>
  <si>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</si>
  <si>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</si>
  <si>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</si>
  <si>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</si>
  <si>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</si>
  <si>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</si>
  <si>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</si>
  <si>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</si>
  <si>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</si>
  <si>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</si>
  <si>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</si>
  <si>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</si>
  <si>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</si>
  <si>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</si>
  <si>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</si>
  <si>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</si>
  <si>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</si>
  <si>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</si>
  <si>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</si>
  <si>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</si>
  <si>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</si>
  <si>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</si>
  <si>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</si>
  <si>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</si>
  <si>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</si>
  <si>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</si>
  <si>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</si>
  <si>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</si>
  <si>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</si>
  <si>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</si>
  <si>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</si>
  <si>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</si>
  <si>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</si>
  <si>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</si>
  <si>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</si>
  <si>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</si>
  <si>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</si>
  <si>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</si>
  <si>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</si>
  <si>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</si>
  <si>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</si>
  <si>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</si>
  <si>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</si>
  <si>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</si>
  <si>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</si>
  <si>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</si>
  <si>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</si>
  <si>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</si>
  <si>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</si>
  <si>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</si>
  <si>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</si>
  <si>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</si>
  <si>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</si>
  <si>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</si>
  <si>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</si>
  <si>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</si>
  <si>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</si>
  <si>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</si>
  <si>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</si>
  <si>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</si>
  <si>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</si>
  <si>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</si>
  <si>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</si>
  <si>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</si>
  <si>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</si>
  <si>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</si>
  <si>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</si>
  <si>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</si>
  <si>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</si>
  <si>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</si>
  <si>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</si>
  <si>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</si>
  <si>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</si>
  <si>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</si>
  <si>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</si>
  <si>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</si>
  <si>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</si>
  <si>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</si>
  <si>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</si>
  <si>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</si>
  <si>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</si>
  <si>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</si>
  <si>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</si>
  <si>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</si>
  <si>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</si>
  <si>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</si>
  <si>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</si>
  <si>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</si>
  <si>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</si>
  <si>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</si>
  <si>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</si>
  <si>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</si>
  <si>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</si>
  <si>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</si>
  <si>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</si>
  <si>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</si>
  <si>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</si>
  <si>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</si>
  <si>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</si>
  <si>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</si>
  <si>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</si>
  <si>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</si>
  <si>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</si>
  <si>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</si>
  <si>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</si>
  <si>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</si>
  <si>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</si>
  <si>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</si>
  <si>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</si>
  <si>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</si>
  <si>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</si>
  <si>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</si>
  <si>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</si>
  <si>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</si>
  <si>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</si>
  <si>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</si>
  <si>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</si>
  <si>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</si>
  <si>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</si>
  <si>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</si>
  <si>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</si>
  <si>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</si>
  <si>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</si>
  <si>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</si>
  <si>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</si>
  <si>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</si>
  <si>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</si>
  <si>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</si>
  <si>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</si>
  <si>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</si>
  <si>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</si>
  <si>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</si>
  <si>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</si>
  <si>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</si>
  <si>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</si>
  <si>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</si>
  <si>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</si>
  <si>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</si>
  <si>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</si>
  <si>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</si>
  <si>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</si>
  <si>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</si>
  <si>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</si>
  <si>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</si>
  <si>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</si>
  <si>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</si>
  <si>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</si>
  <si>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</si>
  <si>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</si>
  <si>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</si>
  <si>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</si>
  <si>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</si>
  <si>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</si>
  <si>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</si>
  <si>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</si>
  <si>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</si>
  <si>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</si>
  <si>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</si>
  <si>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</si>
  <si>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</si>
  <si>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</si>
  <si>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</si>
  <si>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</si>
  <si>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</si>
  <si>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</si>
  <si>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</si>
  <si>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</si>
  <si>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</si>
  <si>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</si>
  <si>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</si>
  <si>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</si>
  <si>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</si>
  <si>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</si>
  <si>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</si>
  <si>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</si>
  <si>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</si>
  <si>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</si>
  <si>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</si>
  <si>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</si>
  <si>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</si>
  <si>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</si>
  <si>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</si>
  <si>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</si>
  <si>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</si>
  <si>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</si>
  <si>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</si>
  <si>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</si>
  <si>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</si>
  <si>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</si>
  <si>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</si>
  <si>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</si>
  <si>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</si>
  <si>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</si>
  <si>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</si>
  <si>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</si>
  <si>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</si>
  <si>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</si>
  <si>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</si>
  <si>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</si>
  <si>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</si>
  <si>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</si>
  <si>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</si>
  <si>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</si>
  <si>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</si>
  <si>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</si>
  <si>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</si>
  <si>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</si>
  <si>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</si>
  <si>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</si>
  <si>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</si>
  <si>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</si>
  <si>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</si>
  <si>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</si>
  <si>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</si>
  <si>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</si>
  <si>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</si>
  <si>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</si>
  <si>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</si>
  <si>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</si>
  <si>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</si>
  <si>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</si>
  <si>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</si>
  <si>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</si>
  <si>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</si>
  <si>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</si>
  <si>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</si>
  <si>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</si>
  <si>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</si>
  <si>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</si>
  <si>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</si>
  <si>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</si>
  <si>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</si>
  <si>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</si>
  <si>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</si>
  <si>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</si>
  <si>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</si>
  <si>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</si>
  <si>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</si>
  <si>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</si>
  <si>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</si>
  <si>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</si>
  <si>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</si>
  <si>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</si>
  <si>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</si>
  <si>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</si>
  <si>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</si>
  <si>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</si>
  <si>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</si>
  <si>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</si>
  <si>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</si>
  <si>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</si>
  <si>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</si>
  <si>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</si>
  <si>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</si>
  <si>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</si>
  <si>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</si>
  <si>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</si>
  <si>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</si>
  <si>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</si>
  <si>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</si>
  <si>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</si>
  <si>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</si>
  <si>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</si>
  <si>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</si>
  <si>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</si>
  <si>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</si>
  <si>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</si>
  <si>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</si>
  <si>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</si>
  <si>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</si>
  <si>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</si>
  <si>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</si>
  <si>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</si>
  <si>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</si>
  <si>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</si>
  <si>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</si>
  <si>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</si>
  <si>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</si>
  <si>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</si>
  <si>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</si>
  <si>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</si>
  <si>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</si>
  <si>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</si>
  <si>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</si>
  <si>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</si>
  <si>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</si>
  <si>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</si>
  <si>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</si>
  <si>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</si>
  <si>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</si>
  <si>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</si>
  <si>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</si>
  <si>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</si>
  <si>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</si>
  <si>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</si>
  <si>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</si>
  <si>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</si>
  <si>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</si>
  <si>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</si>
  <si>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</si>
  <si>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</si>
  <si>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</si>
  <si>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</si>
  <si>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</si>
  <si>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</si>
  <si>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</si>
  <si>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</si>
  <si>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</si>
  <si>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</si>
  <si>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</si>
  <si>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</si>
  <si>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</si>
  <si>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</si>
  <si>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</si>
  <si>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</si>
  <si>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</si>
  <si>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</si>
  <si>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</si>
  <si>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</si>
  <si>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</si>
  <si>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</si>
  <si>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</si>
  <si>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</si>
  <si>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</si>
  <si>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</si>
  <si>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</si>
  <si>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</si>
  <si>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</si>
  <si>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</si>
  <si>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</si>
  <si>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</si>
  <si>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</si>
  <si>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</si>
  <si>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</si>
  <si>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</si>
  <si>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</si>
  <si>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</si>
  <si>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</si>
  <si>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</si>
  <si>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</si>
  <si>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</si>
  <si>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</si>
  <si>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</si>
  <si>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</si>
  <si>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</si>
  <si>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</si>
  <si>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</si>
  <si>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</si>
  <si>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</si>
  <si>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</si>
  <si>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</si>
  <si>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</si>
  <si>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</si>
  <si>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</si>
  <si>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</si>
  <si>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</si>
  <si>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</si>
  <si>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</si>
  <si>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</si>
  <si>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</si>
  <si>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</si>
  <si>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</si>
  <si>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</si>
  <si>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</si>
  <si>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</si>
  <si>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</si>
  <si>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</si>
  <si>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</si>
  <si>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</si>
  <si>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</si>
  <si>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</si>
  <si>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</si>
  <si>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</si>
  <si>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</si>
  <si>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</si>
  <si>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</si>
  <si>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</si>
  <si>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</si>
  <si>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</si>
  <si>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</si>
  <si>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</si>
  <si>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</si>
  <si>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</si>
  <si>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</si>
  <si>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</si>
  <si>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</si>
  <si>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</si>
  <si>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</si>
  <si>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</si>
  <si>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</si>
  <si>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</si>
  <si>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</si>
  <si>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</si>
  <si>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</si>
  <si>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</si>
  <si>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</si>
  <si>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</si>
  <si>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</si>
  <si>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</si>
  <si>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</si>
  <si>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</si>
  <si>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</si>
  <si>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</si>
  <si>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</si>
  <si>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</si>
  <si>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</si>
  <si>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</si>
  <si>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</si>
  <si>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</si>
  <si>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</si>
  <si>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</si>
  <si>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</si>
  <si>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</si>
  <si>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</si>
  <si>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</si>
  <si>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</si>
  <si>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</si>
  <si>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</si>
  <si>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</si>
  <si>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</si>
  <si>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</si>
  <si>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</si>
  <si>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</si>
  <si>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</si>
  <si>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</si>
  <si>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</si>
  <si>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</si>
  <si>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</si>
  <si>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</si>
  <si>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</si>
  <si>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</si>
  <si>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</si>
  <si>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</si>
  <si>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</si>
  <si>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</si>
  <si>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</si>
  <si>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</si>
  <si>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</si>
  <si>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</si>
  <si>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</si>
  <si>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</si>
  <si>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</si>
  <si>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</si>
  <si>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</si>
  <si>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</si>
  <si>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</si>
  <si>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</si>
  <si>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</si>
  <si>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</si>
  <si>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</si>
  <si>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</si>
  <si>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</si>
  <si>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</si>
  <si>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</si>
  <si>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</si>
  <si>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</si>
  <si>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</si>
  <si>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</si>
  <si>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</si>
  <si>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</si>
  <si>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</si>
  <si>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</si>
  <si>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</si>
  <si>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</si>
  <si>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</si>
  <si>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</si>
  <si>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</si>
  <si>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</si>
  <si>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</si>
  <si>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</si>
  <si>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</si>
  <si>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</si>
  <si>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</si>
  <si>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</si>
  <si>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</si>
  <si>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</si>
  <si>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</si>
  <si>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</si>
  <si>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</si>
  <si>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</si>
  <si>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</si>
  <si>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</si>
  <si>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</si>
  <si>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</si>
  <si>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</si>
  <si>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</si>
  <si>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</si>
  <si>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</si>
  <si>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</si>
  <si>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</si>
  <si>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</si>
  <si>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</si>
  <si>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</si>
  <si>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</si>
  <si>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</si>
  <si>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</si>
  <si>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</si>
  <si>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</si>
  <si>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</si>
  <si>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</si>
  <si>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</si>
  <si>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</si>
  <si>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</si>
  <si>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</si>
  <si>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</si>
  <si>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</si>
  <si>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</si>
  <si>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</si>
  <si>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</si>
  <si>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</si>
  <si>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</si>
  <si>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</si>
  <si>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</si>
  <si>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</si>
  <si>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</si>
  <si>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</si>
  <si>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</si>
  <si>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</si>
  <si>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</si>
  <si>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</si>
  <si>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</si>
  <si>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</si>
  <si>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</si>
  <si>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</si>
  <si>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</si>
  <si>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</si>
  <si>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</si>
  <si>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</si>
  <si>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</si>
  <si>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</si>
  <si>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</si>
  <si>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</si>
  <si>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</si>
  <si>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</si>
  <si>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</si>
  <si>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</si>
  <si>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</si>
  <si>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</si>
  <si>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</si>
  <si>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</si>
  <si>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</si>
  <si>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</si>
  <si>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</si>
  <si>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</si>
  <si>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</si>
  <si>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</si>
  <si>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</si>
  <si>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</si>
  <si>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</si>
  <si>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</si>
  <si>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</si>
  <si>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</si>
  <si>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</si>
  <si>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</si>
  <si>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</si>
  <si>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</si>
  <si>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</si>
  <si>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</si>
  <si>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</si>
  <si>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</si>
  <si>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</si>
  <si>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</si>
  <si>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</si>
  <si>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</si>
  <si>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</si>
  <si>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</si>
  <si>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</si>
  <si>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</si>
  <si>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</si>
  <si>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</si>
  <si>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</si>
  <si>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</si>
  <si>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</si>
  <si>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</si>
  <si>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</si>
  <si>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</si>
  <si>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</si>
  <si>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</si>
  <si>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</si>
  <si>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</si>
  <si>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</si>
  <si>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</si>
  <si>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</si>
  <si>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</si>
  <si>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</si>
  <si>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</si>
  <si>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</si>
  <si>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</si>
  <si>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</si>
  <si>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</si>
  <si>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</si>
  <si>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</si>
  <si>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</si>
  <si>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</si>
  <si>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</si>
  <si>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</si>
  <si>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</si>
  <si>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</si>
  <si>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</si>
  <si>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</si>
  <si>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</si>
  <si>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</si>
  <si>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</si>
  <si>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</si>
  <si>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</si>
  <si>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</si>
  <si>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</si>
  <si>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</si>
  <si>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</si>
  <si>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</si>
  <si>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</si>
  <si>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</si>
  <si>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</si>
  <si>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</si>
  <si>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</si>
  <si>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</si>
  <si>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</si>
  <si>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</si>
  <si>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</si>
  <si>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</si>
  <si>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</si>
  <si>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</si>
  <si>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</si>
  <si>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</si>
  <si>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</si>
  <si>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</si>
  <si>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</si>
  <si>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</si>
  <si>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</si>
  <si>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</si>
  <si>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</si>
  <si>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</si>
  <si>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</si>
  <si>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</si>
  <si>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</si>
  <si>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</si>
  <si>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</si>
  <si>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</si>
  <si>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</si>
  <si>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</si>
  <si>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</si>
  <si>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</si>
  <si>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</si>
  <si>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</si>
  <si>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</si>
  <si>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</si>
  <si>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</si>
  <si>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</si>
  <si>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</si>
  <si>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</si>
  <si>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</si>
  <si>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</si>
  <si>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</si>
  <si>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</si>
  <si>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</si>
  <si>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</si>
  <si>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</si>
  <si>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</si>
  <si>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</si>
  <si>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</si>
  <si>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</si>
  <si>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</si>
  <si>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</si>
  <si>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</si>
  <si>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</si>
  <si>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</si>
  <si>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</si>
  <si>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</si>
  <si>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</si>
  <si>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</si>
  <si>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</si>
  <si>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</si>
  <si>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</si>
  <si>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</si>
  <si>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</si>
  <si>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</si>
  <si>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</si>
  <si>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</si>
  <si>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</si>
  <si>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</si>
  <si>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</si>
  <si>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</si>
  <si>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</si>
  <si>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</si>
  <si>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</si>
  <si>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</si>
  <si>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</si>
  <si>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</si>
  <si>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</si>
  <si>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</si>
  <si>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</si>
  <si>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</si>
  <si>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</si>
  <si>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</si>
  <si>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</si>
  <si>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</si>
  <si>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</si>
  <si>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</si>
  <si>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</si>
  <si>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</si>
  <si>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</si>
  <si>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</si>
  <si>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</si>
  <si>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</si>
  <si>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</si>
  <si>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</si>
  <si>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</si>
  <si>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</si>
  <si>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</si>
  <si>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</si>
  <si>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</si>
  <si>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</si>
  <si>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</si>
  <si>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</si>
  <si>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</si>
  <si>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</si>
  <si>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</si>
  <si>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</si>
  <si>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</si>
  <si>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</si>
  <si>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</si>
  <si>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</si>
  <si>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</si>
  <si>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</si>
  <si>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</si>
  <si>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</si>
  <si>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</si>
  <si>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</si>
  <si>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</si>
  <si>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</si>
  <si>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</si>
  <si>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</si>
  <si>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</si>
  <si>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</si>
  <si>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</si>
  <si>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</si>
  <si>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</si>
  <si>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</si>
  <si>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</si>
  <si>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</si>
  <si>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</si>
  <si>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</si>
  <si>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</si>
  <si>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</si>
  <si>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</si>
  <si>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</si>
  <si>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</si>
  <si>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</si>
  <si>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</si>
  <si>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</si>
  <si>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</si>
  <si>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</si>
  <si>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</si>
  <si>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</si>
  <si>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</si>
  <si>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</si>
  <si>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</si>
  <si>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</si>
  <si>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</si>
  <si>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</si>
  <si>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</si>
  <si>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</si>
  <si>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</si>
  <si>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</si>
  <si>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</si>
  <si>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</si>
  <si>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</si>
  <si>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</si>
  <si>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</si>
  <si>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</si>
  <si>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</si>
  <si>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</si>
  <si>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</si>
  <si>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</si>
  <si>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</si>
  <si>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</si>
  <si>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</si>
  <si>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</si>
  <si>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</si>
  <si>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</si>
  <si>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</si>
  <si>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</si>
  <si>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</si>
  <si>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</si>
  <si>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</si>
  <si>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</si>
  <si>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</si>
  <si>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</si>
  <si>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</si>
  <si>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</si>
  <si>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</si>
  <si>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</si>
  <si>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</si>
  <si>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</si>
  <si>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</si>
  <si>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</si>
  <si>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</si>
  <si>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</si>
  <si>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</si>
  <si>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</si>
  <si>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</si>
  <si>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</si>
  <si>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</si>
  <si>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</si>
  <si>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</si>
  <si>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</si>
  <si>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</si>
  <si>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</si>
  <si>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</si>
  <si>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</si>
  <si>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</si>
  <si>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</si>
  <si>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</si>
  <si>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</si>
  <si>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</si>
  <si>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</si>
  <si>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</si>
  <si>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</si>
  <si>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</si>
  <si>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</si>
  <si>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</si>
  <si>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</si>
  <si>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</si>
  <si>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</si>
  <si>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</si>
  <si>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</si>
  <si>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</si>
  <si>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</si>
  <si>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</si>
  <si>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</si>
  <si>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</si>
  <si>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</si>
  <si>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</si>
  <si>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</si>
  <si>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</si>
  <si>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</si>
  <si>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</si>
  <si>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</si>
  <si>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</si>
  <si>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</si>
  <si>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</si>
  <si>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</si>
  <si>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</si>
  <si>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</si>
  <si>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</si>
  <si>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</si>
  <si>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</si>
  <si>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</si>
  <si>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</si>
  <si>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</si>
  <si>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</si>
  <si>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</si>
  <si>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</si>
  <si>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</si>
  <si>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</si>
  <si>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</si>
  <si>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</si>
  <si>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</si>
  <si>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</si>
  <si>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</si>
  <si>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</si>
  <si>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</si>
  <si>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</si>
  <si>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</si>
  <si>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</si>
  <si>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</si>
  <si>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</si>
  <si>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</si>
  <si>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</si>
  <si>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</si>
  <si>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</si>
  <si>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</si>
  <si>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</si>
  <si>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</si>
  <si>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</si>
  <si>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</si>
  <si>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</si>
  <si>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</si>
  <si>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</si>
  <si>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</si>
  <si>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</si>
  <si>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</si>
  <si>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</si>
  <si>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</si>
  <si>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</si>
  <si>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</si>
  <si>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</si>
  <si>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</si>
  <si>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</si>
  <si>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</si>
  <si>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</si>
  <si>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</si>
  <si>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</si>
  <si>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</si>
  <si>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</si>
  <si>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</si>
  <si>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</si>
  <si>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</si>
  <si>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</si>
  <si>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</si>
  <si>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</si>
  <si>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</si>
  <si>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</si>
  <si>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</si>
  <si>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</si>
  <si>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</si>
  <si>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</si>
  <si>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</si>
  <si>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</si>
  <si>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</si>
  <si>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</si>
  <si>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</si>
  <si>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</si>
  <si>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</si>
  <si>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</si>
  <si>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</si>
  <si>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</si>
  <si>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</si>
  <si>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</si>
  <si>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</si>
  <si>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</si>
  <si>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</si>
  <si>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</si>
  <si>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</si>
  <si>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</si>
  <si>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</si>
  <si>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</si>
  <si>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</si>
  <si>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</si>
  <si>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</si>
  <si>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</si>
  <si>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</si>
  <si>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</si>
  <si>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</si>
  <si>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</si>
  <si>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</si>
  <si>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</si>
  <si>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</si>
  <si>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</si>
  <si>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</si>
  <si>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</si>
  <si>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</si>
  <si>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</si>
  <si>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</si>
  <si>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</si>
  <si>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</si>
  <si>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</si>
  <si>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</si>
  <si>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</si>
  <si>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</si>
  <si>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</si>
  <si>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</si>
  <si>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</si>
  <si>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</si>
  <si>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</si>
  <si>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</si>
  <si>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</si>
  <si>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</si>
  <si>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</si>
  <si>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</si>
  <si>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</si>
  <si>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</si>
  <si>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</si>
  <si>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</si>
  <si>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</si>
  <si>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</si>
  <si>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</si>
  <si>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</si>
  <si>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</si>
  <si>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</si>
  <si>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</si>
  <si>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</si>
  <si>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</si>
  <si>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</si>
  <si>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</si>
  <si>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</si>
  <si>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</si>
  <si>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</si>
  <si>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</si>
  <si>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</si>
  <si>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</si>
  <si>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</si>
  <si>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</si>
  <si>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</si>
  <si>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</si>
  <si>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</si>
  <si>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</si>
  <si>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</si>
  <si>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</si>
  <si>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</si>
  <si>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</si>
  <si>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</si>
  <si>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</si>
  <si>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</si>
  <si>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</si>
  <si>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</si>
  <si>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</si>
  <si>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</si>
  <si>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</si>
  <si>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</si>
  <si>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</si>
  <si>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</si>
  <si>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</si>
  <si>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</si>
  <si>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</si>
  <si>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</si>
  <si>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</si>
  <si>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</si>
  <si>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</si>
  <si>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</si>
  <si>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</si>
  <si>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</si>
  <si>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</si>
  <si>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</si>
  <si>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</si>
  <si>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</si>
  <si>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</si>
  <si>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</si>
  <si>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</si>
  <si>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</si>
  <si>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</si>
  <si>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</si>
  <si>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</si>
  <si>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</si>
  <si>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</si>
  <si>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</si>
  <si>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</si>
  <si>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</si>
  <si>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</si>
  <si>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</si>
  <si>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</si>
  <si>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</si>
  <si>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</si>
  <si>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</si>
  <si>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</si>
  <si>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</si>
  <si>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</si>
  <si>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</si>
  <si>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</si>
  <si>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</si>
  <si>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</si>
  <si>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</si>
  <si>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</si>
  <si>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</si>
  <si>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</si>
  <si>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</si>
  <si>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</si>
  <si>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</si>
  <si>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</si>
  <si>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</si>
  <si>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</si>
  <si>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</si>
  <si>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</si>
  <si>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</si>
  <si>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</si>
  <si>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</si>
  <si>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</si>
  <si>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</si>
  <si>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</si>
  <si>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</si>
  <si>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</si>
  <si>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</si>
  <si>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</si>
  <si>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</si>
  <si>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</si>
  <si>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</si>
  <si>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</si>
  <si>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</si>
  <si>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</si>
  <si>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</si>
  <si>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</si>
  <si>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</si>
  <si>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</si>
  <si>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</si>
  <si>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</si>
  <si>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</si>
  <si>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</si>
  <si>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</si>
  <si>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</si>
  <si>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</si>
  <si>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</si>
  <si>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</si>
  <si>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</si>
  <si>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</si>
  <si>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</si>
  <si>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</si>
  <si>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</si>
  <si>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</si>
  <si>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</si>
  <si>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</si>
  <si>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</si>
  <si>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</si>
  <si>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</si>
  <si>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</si>
  <si>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</si>
  <si>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</si>
  <si>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</si>
  <si>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</si>
  <si>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</si>
  <si>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</si>
  <si>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</si>
  <si>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</si>
  <si>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</si>
  <si>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</si>
  <si>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</si>
  <si>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</si>
  <si>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</si>
  <si>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</si>
  <si>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</si>
  <si>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</si>
  <si>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</si>
  <si>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</si>
  <si>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</si>
  <si>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</si>
  <si>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</si>
  <si>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</si>
  <si>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</si>
  <si>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</si>
  <si>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</si>
  <si>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</si>
  <si>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</si>
  <si>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</si>
  <si>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</si>
  <si>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</si>
  <si>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</si>
  <si>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</si>
  <si>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</si>
  <si>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</si>
  <si>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</si>
  <si>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</si>
  <si>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</si>
  <si>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</si>
  <si>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</si>
  <si>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</si>
  <si>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</si>
  <si>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</si>
  <si>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</si>
  <si>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</si>
  <si>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</si>
  <si>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</si>
  <si>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</si>
  <si>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</si>
  <si>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</si>
  <si>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</si>
  <si>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</si>
  <si>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</si>
  <si>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</si>
  <si>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</si>
  <si>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</si>
  <si>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</si>
  <si>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</si>
  <si>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</si>
  <si>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</si>
  <si>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</si>
  <si>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</si>
  <si>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</si>
  <si>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</si>
  <si>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</si>
  <si>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</si>
  <si>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</si>
  <si>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</si>
  <si>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</si>
  <si>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</si>
  <si>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</si>
  <si>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</si>
  <si>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</si>
  <si>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</si>
  <si>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</si>
  <si>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</si>
  <si>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</si>
  <si>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</si>
  <si>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</si>
  <si>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</si>
  <si>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</si>
  <si>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</si>
  <si>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</si>
  <si>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</si>
  <si>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</si>
  <si>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</si>
  <si>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</si>
  <si>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</si>
  <si>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</si>
  <si>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</si>
  <si>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</si>
  <si>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</si>
  <si>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</si>
  <si>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</si>
  <si>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</si>
  <si>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</si>
  <si>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</si>
  <si>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</si>
  <si>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</si>
  <si>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</si>
  <si>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</si>
  <si>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</si>
  <si>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</si>
  <si>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</si>
  <si>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</si>
  <si>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</si>
  <si>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</si>
  <si>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</si>
  <si>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</si>
  <si>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</si>
  <si>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</si>
  <si>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</si>
  <si>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</si>
  <si>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</si>
  <si>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</si>
  <si>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</si>
  <si>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</si>
  <si>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</si>
  <si>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</si>
  <si>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</si>
  <si>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</si>
  <si>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</si>
  <si>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</si>
  <si>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</si>
  <si>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</si>
  <si>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</si>
  <si>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</si>
  <si>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</si>
  <si>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</si>
  <si>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</si>
  <si>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</si>
  <si>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</si>
  <si>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</si>
  <si>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</si>
  <si>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</si>
  <si>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</si>
  <si>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</si>
  <si>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</si>
  <si>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</si>
  <si>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</si>
  <si>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</si>
  <si>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</si>
  <si>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</si>
  <si>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</si>
  <si>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</si>
  <si>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</si>
  <si>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</si>
  <si>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</si>
  <si>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</si>
  <si>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</si>
  <si>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</si>
  <si>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</si>
  <si>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</si>
  <si>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</si>
  <si>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</si>
  <si>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</si>
  <si>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</si>
  <si>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</si>
  <si>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</si>
  <si>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</si>
  <si>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</si>
  <si>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</si>
  <si>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</si>
  <si>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</si>
  <si>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</si>
  <si>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</si>
  <si>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</si>
  <si>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</si>
  <si>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</si>
  <si>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</si>
  <si>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</si>
  <si>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</si>
  <si>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</si>
  <si>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</si>
  <si>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</si>
  <si>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</si>
  <si>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</si>
  <si>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</si>
  <si>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</si>
  <si>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</si>
  <si>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</si>
  <si>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</si>
  <si>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</si>
  <si>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</si>
  <si>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</si>
  <si>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</si>
  <si>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</si>
  <si>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</si>
  <si>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</si>
  <si>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</si>
  <si>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</si>
  <si>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</si>
  <si>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</si>
  <si>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</si>
  <si>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</si>
  <si>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</si>
  <si>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</si>
  <si>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</si>
  <si>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</si>
  <si>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</si>
  <si>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</si>
  <si>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</si>
  <si>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</si>
  <si>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</si>
  <si>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</si>
  <si>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</si>
  <si>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</si>
  <si>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</si>
  <si>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</si>
  <si>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</si>
  <si>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</si>
  <si>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</si>
  <si>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</si>
  <si>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</si>
  <si>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</si>
  <si>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</si>
  <si>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</si>
  <si>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</si>
  <si>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</si>
  <si>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</si>
  <si>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</si>
  <si>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</si>
  <si>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</si>
  <si>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</si>
  <si>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</si>
  <si>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</si>
  <si>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</si>
  <si>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</si>
  <si>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</si>
  <si>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</si>
  <si>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</si>
  <si>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</si>
  <si>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</si>
  <si>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</si>
  <si>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</si>
  <si>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</si>
  <si>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</si>
  <si>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</si>
  <si>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</si>
  <si>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</si>
  <si>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</si>
  <si>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</si>
  <si>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</si>
  <si>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</si>
  <si>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</si>
  <si>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</si>
  <si>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</si>
  <si>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</si>
  <si>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</si>
  <si>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</si>
  <si>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</si>
  <si>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</si>
  <si>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</si>
  <si>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</si>
  <si>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</si>
  <si>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</si>
  <si>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</si>
  <si>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</si>
  <si>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</si>
  <si>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</si>
  <si>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</si>
  <si>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</si>
  <si>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</si>
  <si>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</si>
  <si>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</si>
  <si>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</si>
  <si>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</si>
  <si>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</si>
  <si>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</si>
  <si>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</si>
  <si>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</si>
  <si>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</si>
  <si>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</si>
  <si>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</si>
  <si>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</si>
  <si>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</si>
  <si>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</si>
  <si>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</si>
  <si>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</si>
  <si>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</si>
  <si>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</si>
  <si>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</si>
  <si>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</si>
  <si>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</si>
  <si>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</si>
  <si>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</si>
  <si>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</si>
  <si>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</si>
  <si>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</si>
  <si>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</si>
  <si>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</si>
  <si>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</si>
  <si>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</si>
  <si>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</si>
  <si>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</si>
  <si>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</si>
  <si>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</si>
  <si>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</si>
  <si>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</si>
  <si>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</si>
  <si>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</si>
  <si>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</si>
  <si>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</si>
  <si>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</si>
  <si>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</si>
  <si>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</si>
  <si>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</si>
  <si>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</si>
  <si>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</si>
  <si>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</si>
  <si>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</si>
  <si>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</si>
  <si>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</si>
  <si>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</si>
  <si>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</si>
  <si>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</si>
  <si>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</si>
  <si>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</si>
  <si>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</si>
  <si>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</si>
  <si>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</si>
  <si>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</si>
  <si>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</si>
  <si>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</si>
  <si>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</si>
  <si>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</si>
  <si>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</si>
  <si>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</si>
  <si>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</si>
  <si>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</si>
  <si>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</si>
  <si>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</si>
  <si>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</si>
  <si>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</si>
  <si>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</si>
  <si>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</si>
  <si>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</si>
  <si>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</si>
  <si>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</si>
  <si>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</si>
  <si>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</si>
  <si>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</si>
  <si>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</si>
  <si>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</si>
  <si>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</si>
  <si>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</si>
  <si>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</si>
  <si>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</si>
  <si>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</si>
  <si>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</si>
  <si>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</si>
  <si>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</si>
  <si>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</si>
  <si>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</si>
  <si>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</si>
  <si>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</si>
  <si>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</si>
  <si>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</si>
  <si>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</si>
  <si>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</si>
  <si>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</si>
  <si>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</si>
  <si>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</si>
  <si>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</si>
  <si>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</si>
  <si>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</si>
  <si>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</si>
  <si>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</si>
  <si>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</si>
  <si>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</si>
  <si>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</si>
  <si>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</si>
  <si>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</si>
  <si>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</si>
  <si>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</si>
  <si>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</si>
  <si>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</si>
  <si>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</si>
  <si>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</si>
  <si>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</si>
  <si>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</si>
  <si>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</si>
  <si>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</si>
  <si>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</si>
  <si>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</si>
  <si>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</si>
  <si>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</si>
  <si>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</si>
  <si>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</si>
  <si>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</si>
  <si>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</si>
  <si>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</si>
  <si>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</si>
  <si>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</si>
  <si>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</si>
  <si>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</si>
  <si>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</si>
  <si>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</si>
  <si>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</si>
  <si>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</si>
  <si>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</si>
  <si>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</si>
  <si>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</si>
  <si>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</si>
  <si>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</si>
  <si>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</si>
  <si>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</si>
  <si>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</si>
  <si>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</si>
  <si>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</si>
  <si>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</si>
  <si>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</si>
  <si>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</si>
  <si>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</si>
  <si>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</si>
  <si>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</si>
  <si>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</si>
  <si>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</si>
  <si>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</si>
  <si>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</si>
  <si>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</si>
  <si>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</si>
  <si>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</si>
  <si>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</si>
  <si>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</si>
  <si>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</si>
  <si>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</si>
  <si>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</si>
  <si>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</si>
  <si>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</si>
  <si>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</si>
  <si>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</si>
  <si>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</si>
  <si>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</si>
  <si>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</si>
  <si>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</si>
  <si>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</si>
  <si>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</si>
  <si>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</si>
  <si>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</si>
  <si>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</si>
  <si>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</si>
  <si>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</si>
  <si>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</si>
  <si>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</si>
  <si>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</si>
  <si>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</si>
  <si>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</si>
  <si>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</si>
  <si>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</si>
  <si>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</si>
  <si>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</si>
  <si>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</si>
  <si>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</si>
  <si>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</si>
  <si>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</si>
  <si>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</si>
  <si>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</si>
  <si>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</si>
  <si>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</si>
  <si>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</si>
  <si>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</si>
  <si>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</si>
  <si>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</si>
  <si>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</si>
  <si>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</si>
  <si>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</si>
  <si>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</si>
  <si>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</si>
  <si>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</si>
  <si>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</si>
  <si>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</si>
  <si>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</si>
  <si>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</si>
  <si>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</si>
  <si>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</si>
  <si>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</si>
  <si>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</si>
  <si>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</si>
  <si>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</si>
  <si>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</si>
  <si>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</si>
  <si>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</si>
  <si>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</si>
  <si>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</si>
  <si>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</si>
  <si>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</si>
  <si>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</si>
  <si>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</si>
  <si>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</si>
  <si>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</si>
  <si>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</si>
  <si>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</si>
  <si>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</si>
  <si>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</si>
  <si>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</si>
  <si>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</si>
  <si>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</si>
  <si>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</si>
  <si>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</si>
  <si>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</si>
  <si>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</si>
  <si>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</si>
  <si>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</si>
  <si>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</si>
  <si>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</si>
  <si>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</si>
  <si>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</si>
  <si>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</si>
  <si>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</si>
  <si>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</si>
  <si>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</si>
  <si>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</si>
  <si>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</si>
  <si>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</si>
  <si>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</si>
  <si>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</si>
  <si>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</si>
  <si>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</si>
  <si>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</si>
  <si>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</si>
  <si>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</si>
  <si>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</si>
  <si>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</si>
  <si>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</si>
  <si>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</si>
  <si>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</si>
  <si>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</si>
  <si>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</si>
  <si>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</si>
  <si>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</si>
  <si>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</si>
  <si>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</si>
  <si>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</si>
  <si>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</si>
  <si>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</si>
  <si>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</si>
  <si>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</si>
  <si>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</si>
  <si>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</si>
  <si>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</si>
  <si>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</si>
  <si>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</si>
  <si>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</si>
  <si>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</si>
  <si>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</si>
  <si>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</si>
  <si>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</si>
  <si>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</si>
  <si>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</si>
  <si>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</si>
  <si>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</si>
  <si>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</si>
  <si>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</si>
  <si>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</si>
  <si>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</si>
  <si>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</si>
  <si>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</si>
  <si>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</si>
  <si>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</si>
  <si>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</si>
  <si>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</si>
  <si>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</si>
  <si>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</si>
  <si>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</si>
  <si>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</si>
  <si>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</si>
  <si>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</si>
  <si>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</si>
  <si>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</si>
  <si>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</si>
  <si>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</si>
  <si>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</si>
  <si>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</si>
  <si>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</si>
  <si>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</si>
  <si>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</si>
  <si>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</si>
  <si>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</si>
  <si>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</si>
  <si>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</si>
  <si>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</si>
  <si>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</si>
  <si>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</si>
  <si>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</si>
  <si>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</si>
  <si>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</si>
  <si>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</si>
  <si>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</si>
  <si>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</si>
  <si>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</si>
  <si>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</si>
  <si>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</si>
  <si>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</si>
  <si>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</si>
  <si>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</si>
  <si>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</si>
  <si>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</si>
  <si>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</si>
  <si>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</si>
  <si>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</si>
  <si>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</si>
  <si>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</si>
  <si>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</si>
  <si>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</si>
  <si>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</si>
  <si>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</si>
  <si>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</si>
  <si>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</si>
  <si>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</si>
  <si>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</si>
  <si>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</si>
  <si>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</si>
  <si>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</si>
  <si>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</si>
  <si>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</si>
  <si>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</si>
  <si>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</si>
  <si>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</si>
  <si>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</si>
  <si>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</si>
  <si>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</si>
  <si>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</si>
  <si>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</si>
  <si>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</si>
  <si>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</si>
  <si>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</si>
  <si>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</si>
  <si>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</si>
  <si>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</si>
  <si>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</si>
  <si>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</si>
  <si>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</si>
  <si>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</si>
  <si>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</si>
  <si>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</si>
  <si>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</si>
  <si>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</si>
  <si>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</si>
  <si>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</si>
  <si>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</si>
  <si>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</si>
  <si>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</si>
  <si>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</si>
  <si>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</si>
  <si>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</si>
  <si>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</si>
  <si>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</si>
  <si>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</si>
  <si>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</si>
  <si>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</si>
  <si>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</si>
  <si>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</si>
  <si>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</si>
  <si>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</si>
  <si>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</si>
  <si>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</si>
  <si>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</si>
  <si>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</si>
  <si>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</si>
  <si>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</si>
  <si>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</si>
  <si>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</si>
  <si>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</si>
  <si>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</si>
  <si>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</si>
  <si>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</si>
  <si>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</si>
  <si>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</si>
  <si>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</si>
  <si>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</si>
  <si>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</si>
  <si>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</si>
  <si>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</si>
  <si>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</si>
  <si>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</si>
  <si>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</si>
  <si>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</si>
  <si>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</si>
  <si>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</si>
  <si>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</si>
  <si>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</si>
  <si>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</si>
  <si>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</si>
  <si>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</si>
  <si>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</si>
  <si>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</si>
  <si>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</si>
  <si>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</si>
  <si>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</si>
  <si>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</si>
  <si>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</si>
  <si>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</si>
  <si>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</si>
  <si>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</si>
  <si>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</si>
  <si>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</si>
  <si>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</si>
  <si>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</si>
  <si>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</si>
  <si>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</si>
  <si>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</si>
  <si>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</si>
  <si>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</si>
  <si>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</si>
  <si>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</si>
  <si>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</si>
  <si>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</si>
  <si>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</si>
  <si>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</si>
  <si>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</si>
  <si>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</si>
  <si>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</si>
  <si>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</si>
  <si>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</si>
  <si>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</si>
  <si>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</si>
  <si>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</si>
  <si>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</si>
  <si>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</si>
  <si>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</si>
  <si>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</si>
  <si>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</si>
  <si>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</si>
  <si>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</si>
  <si>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</si>
  <si>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</si>
  <si>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</si>
  <si>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</si>
  <si>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</si>
  <si>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</si>
  <si>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</si>
  <si>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</si>
  <si>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</si>
  <si>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</si>
  <si>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</si>
  <si>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</si>
  <si>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</si>
  <si>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</si>
  <si>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</si>
  <si>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</si>
  <si>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</si>
  <si>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</si>
  <si>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</si>
  <si>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</si>
  <si>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</si>
  <si>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</si>
  <si>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</si>
  <si>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</si>
  <si>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</si>
  <si>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</si>
  <si>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</si>
  <si>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</si>
  <si>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</si>
  <si>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</si>
  <si>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</si>
  <si>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</si>
  <si>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</si>
  <si>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</si>
  <si>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</si>
  <si>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</si>
  <si>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</si>
  <si>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</si>
  <si>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</si>
  <si>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</si>
  <si>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</si>
  <si>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</si>
  <si>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</si>
  <si>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</si>
  <si>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</si>
  <si>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</si>
  <si>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</si>
  <si>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</si>
  <si>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</si>
  <si>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</si>
  <si>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</si>
  <si>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</si>
  <si>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</si>
  <si>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</si>
  <si>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</si>
  <si>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</si>
  <si>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</si>
  <si>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</si>
  <si>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</si>
  <si>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</si>
  <si>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</si>
  <si>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</si>
  <si>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</si>
  <si>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</si>
  <si>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</si>
  <si>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</si>
  <si>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</si>
  <si>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</si>
  <si>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</si>
  <si>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</si>
  <si>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</si>
  <si>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</si>
  <si>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</si>
  <si>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</si>
  <si>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</si>
  <si>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</si>
  <si>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</si>
  <si>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</si>
  <si>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</si>
  <si>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</si>
  <si>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</si>
  <si>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</si>
  <si>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</si>
  <si>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</si>
  <si>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</si>
  <si>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</si>
  <si>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</si>
  <si>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</si>
  <si>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</si>
  <si>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</si>
  <si>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</si>
  <si>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</si>
  <si>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</si>
  <si>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</si>
  <si>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</si>
  <si>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</si>
  <si>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</si>
  <si>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</si>
  <si>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</si>
  <si>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</si>
  <si>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</si>
  <si>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</si>
  <si>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</si>
  <si>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</si>
  <si>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</si>
  <si>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</si>
  <si>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</si>
  <si>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</si>
  <si>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</si>
  <si>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</si>
  <si>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</si>
  <si>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</si>
  <si>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</si>
  <si>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</si>
  <si>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</si>
  <si>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</si>
  <si>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</si>
  <si>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</si>
  <si>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</si>
  <si>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</si>
  <si>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</si>
  <si>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</si>
  <si>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</si>
  <si>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</si>
  <si>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</si>
  <si>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</si>
  <si>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</si>
  <si>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</si>
  <si>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</si>
  <si>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</si>
  <si>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</si>
  <si>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</si>
  <si>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</si>
  <si>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</si>
  <si>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</si>
  <si>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</si>
  <si>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</si>
  <si>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</si>
  <si>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</si>
  <si>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</si>
  <si>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</si>
  <si>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</si>
  <si>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</si>
  <si>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</si>
  <si>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</si>
  <si>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</si>
  <si>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</si>
  <si>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</si>
  <si>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</si>
  <si>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</si>
  <si>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</si>
  <si>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</si>
  <si>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</si>
  <si>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</si>
  <si>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</si>
  <si>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</si>
  <si>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</si>
  <si>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</si>
  <si>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</si>
  <si>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</si>
  <si>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</si>
  <si>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</si>
  <si>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</si>
  <si>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</si>
  <si>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</si>
  <si>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</si>
  <si>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</si>
  <si>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</si>
  <si>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</si>
  <si>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</si>
  <si>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</si>
  <si>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</si>
  <si>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</si>
  <si>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</si>
  <si>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</si>
  <si>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</si>
  <si>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</si>
  <si>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</si>
  <si>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</si>
  <si>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</si>
  <si>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</si>
  <si>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</si>
  <si>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</si>
  <si>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</si>
  <si>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</si>
  <si>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</si>
  <si>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</si>
  <si>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</si>
  <si>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</si>
  <si>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</si>
  <si>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</si>
  <si>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</si>
  <si>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</si>
  <si>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</si>
  <si>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</si>
  <si>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</si>
  <si>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</si>
  <si>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</si>
  <si>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</si>
  <si>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</si>
  <si>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</si>
  <si>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</si>
  <si>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</si>
  <si>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</si>
  <si>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</si>
  <si>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</si>
  <si>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</si>
  <si>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</si>
  <si>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</si>
  <si>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</si>
  <si>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</si>
  <si>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</si>
  <si>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</si>
  <si>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</si>
  <si>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</si>
  <si>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</si>
  <si>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</si>
  <si>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</si>
  <si>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</si>
  <si>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</si>
  <si>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</si>
  <si>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</si>
  <si>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</si>
  <si>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</si>
  <si>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</si>
  <si>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</si>
  <si>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</si>
  <si>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</si>
  <si>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</si>
  <si>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</si>
  <si>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</si>
  <si>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</si>
  <si>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</si>
  <si>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</si>
  <si>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</si>
  <si>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</si>
  <si>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</si>
  <si>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</si>
  <si>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</si>
  <si>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</si>
  <si>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</si>
  <si>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</si>
  <si>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</si>
  <si>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</si>
  <si>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</si>
  <si>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</si>
  <si>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</si>
  <si>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</si>
  <si>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</si>
  <si>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</si>
  <si>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</si>
  <si>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</si>
  <si>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</si>
  <si>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</si>
  <si>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</si>
  <si>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</si>
  <si>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</si>
  <si>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</si>
  <si>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</si>
  <si>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</si>
  <si>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</si>
  <si>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</si>
  <si>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</si>
  <si>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</si>
  <si>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</si>
  <si>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</si>
  <si>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</si>
  <si>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</si>
  <si>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</si>
  <si>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</si>
  <si>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</si>
  <si>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</si>
  <si>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</si>
  <si>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</si>
  <si>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</si>
  <si>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</si>
  <si>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</si>
  <si>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</si>
  <si>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</si>
  <si>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</si>
  <si>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</si>
  <si>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</si>
  <si>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</si>
  <si>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</si>
  <si>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</si>
  <si>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</si>
  <si>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</si>
  <si>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</si>
  <si>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</si>
  <si>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</si>
  <si>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</si>
  <si>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</si>
  <si>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</si>
  <si>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</si>
  <si>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</si>
  <si>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</si>
  <si>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</si>
  <si>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</si>
  <si>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</si>
  <si>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</si>
  <si>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</si>
  <si>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</si>
  <si>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</si>
  <si>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</si>
  <si>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</si>
  <si>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</si>
  <si>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</si>
  <si>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</si>
  <si>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</si>
  <si>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</si>
  <si>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</si>
  <si>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</si>
  <si>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</si>
  <si>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</si>
  <si>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</si>
  <si>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</si>
  <si>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</si>
  <si>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</si>
  <si>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</si>
  <si>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</si>
  <si>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</si>
  <si>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</si>
  <si>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</si>
  <si>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</si>
  <si>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</si>
  <si>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</si>
  <si>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</si>
  <si>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</si>
  <si>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</si>
  <si>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</si>
  <si>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</si>
  <si>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</si>
  <si>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</si>
  <si>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</si>
  <si>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</si>
  <si>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</si>
  <si>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</si>
  <si>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</si>
  <si>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</si>
  <si>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</si>
  <si>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</si>
  <si>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</si>
  <si>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</si>
  <si>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</si>
  <si>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</si>
  <si>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</si>
  <si>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</si>
  <si>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</si>
  <si>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</si>
  <si>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</si>
  <si>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</si>
  <si>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</si>
  <si>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</si>
  <si>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</si>
  <si>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</si>
  <si>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</si>
  <si>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</si>
  <si>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</si>
  <si>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</si>
  <si>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</si>
  <si>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</si>
  <si>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</si>
  <si>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</si>
  <si>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</si>
  <si>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</si>
  <si>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</si>
  <si>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</si>
  <si>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</si>
  <si>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</si>
  <si>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</si>
  <si>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</si>
  <si>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</si>
  <si>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</si>
  <si>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</si>
  <si>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</si>
  <si>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</si>
  <si>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</si>
  <si>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</si>
  <si>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</si>
  <si>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</si>
  <si>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</si>
  <si>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</si>
  <si>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</si>
  <si>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</si>
  <si>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</si>
  <si>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</si>
  <si>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</si>
  <si>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</si>
  <si>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</si>
  <si>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</si>
  <si>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</si>
  <si>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</si>
  <si>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</si>
  <si>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</si>
  <si>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</si>
  <si>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</si>
  <si>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</si>
  <si>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</si>
  <si>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</si>
  <si>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</si>
  <si>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</si>
  <si>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</si>
  <si>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</si>
  <si>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</si>
  <si>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</si>
  <si>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</si>
  <si>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</si>
  <si>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</si>
  <si>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</si>
  <si>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</si>
  <si>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</si>
  <si>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</si>
  <si>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</si>
  <si>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</si>
  <si>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</si>
  <si>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</si>
  <si>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</si>
  <si>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</si>
  <si>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</si>
  <si>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</si>
  <si>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</si>
  <si>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</si>
  <si>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</si>
  <si>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</si>
  <si>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</si>
  <si>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</si>
  <si>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</si>
  <si>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</si>
  <si>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</si>
  <si>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</si>
  <si>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</si>
  <si>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</si>
  <si>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</si>
  <si>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</si>
  <si>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</si>
  <si>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</si>
  <si>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</si>
  <si>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</si>
  <si>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</si>
  <si>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</si>
  <si>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</si>
  <si>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</si>
  <si>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</si>
  <si>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</si>
  <si>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</si>
  <si>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</si>
  <si>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</si>
  <si>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</si>
  <si>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</si>
  <si>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</si>
  <si>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</si>
  <si>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</si>
  <si>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</si>
  <si>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</si>
  <si>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</si>
  <si>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</si>
  <si>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</si>
  <si>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</si>
  <si>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</si>
  <si>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</si>
  <si>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</si>
  <si>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</si>
  <si>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</si>
  <si>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</si>
  <si>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</si>
  <si>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</si>
  <si>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</si>
  <si>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</si>
  <si>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</si>
  <si>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</si>
  <si>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</si>
  <si>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</si>
  <si>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</si>
  <si>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</si>
  <si>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</si>
  <si>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</si>
  <si>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</si>
  <si>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</si>
  <si>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</si>
  <si>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</si>
  <si>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PATRONATO DEL PARQUE ZOOLÓGICO DE LEÓN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</si>
  <si>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</si>
  <si>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</si>
  <si>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</si>
  <si>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</si>
  <si>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</si>
  <si>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</si>
  <si>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</si>
  <si>
    <t>Al 31 de diciembre de 2017 y al 30 de septiembre de 2018 (b)</t>
  </si>
  <si>
    <t>Del 1 de enero al 30 de septiembre de 2018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</si>
</sst>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49" t="s">
        <v>829</v>
      </c>
      <c r="B1" s="150"/>
      <c r="C1" s="150"/>
      <c r="D1" s="150"/>
      <c r="E1" s="151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2" t="s">
        <v>3302</v>
      </c>
      <c r="D3" s="152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B53" sqref="B53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5" t="s">
        <v>542</v>
      </c>
      <c r="B1" s="165"/>
      <c r="C1" s="165"/>
      <c r="D1" s="165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3" t="str">
        <f>ENTE_PUBLICO_A</f>
        <v>PATRONATO DEL PARQUE ZOOLÓGICO DE LEÓN, Gobierno del Estado de Guanajuato (a)</v>
      </c>
      <c r="B2" s="154"/>
      <c r="C2" s="154"/>
      <c r="D2" s="155"/>
    </row>
    <row r="3" spans="1:11" ht="14.25" x14ac:dyDescent="0.45">
      <c r="A3" s="156" t="s">
        <v>166</v>
      </c>
      <c r="B3" s="157"/>
      <c r="C3" s="157"/>
      <c r="D3" s="158"/>
    </row>
    <row r="4" spans="1:11" ht="14.25" x14ac:dyDescent="0.45">
      <c r="A4" s="159" t="str">
        <f>TRIMESTRE</f>
        <v>Del 1 de enero al 30 de septiembre de 2018 (b)</v>
      </c>
      <c r="B4" s="160"/>
      <c r="C4" s="160"/>
      <c r="D4" s="161"/>
    </row>
    <row r="5" spans="1:11" ht="14.25" x14ac:dyDescent="0.45">
      <c r="A5" s="162" t="s">
        <v>118</v>
      </c>
      <c r="B5" s="163"/>
      <c r="C5" s="163"/>
      <c r="D5" s="164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75564988.760000005</v>
      </c>
      <c r="C8" s="40">
        <f t="shared" ref="C8:D8" si="0">SUM(C9:C11)</f>
        <v>54714187.5</v>
      </c>
      <c r="D8" s="40">
        <f t="shared" si="0"/>
        <v>54714187.5</v>
      </c>
    </row>
    <row r="9" spans="1:11" x14ac:dyDescent="0.25">
      <c r="A9" s="53" t="s">
        <v>169</v>
      </c>
      <c r="B9" s="23">
        <v>75564988.760000005</v>
      </c>
      <c r="C9" s="23">
        <v>54714187.5</v>
      </c>
      <c r="D9" s="23">
        <v>54714187.5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75564988.760000005</v>
      </c>
      <c r="C13" s="40">
        <f t="shared" ref="C13:D13" si="2">C14+C15</f>
        <v>60468435.519999981</v>
      </c>
      <c r="D13" s="40">
        <f t="shared" si="2"/>
        <v>60468435.519999981</v>
      </c>
    </row>
    <row r="14" spans="1:11" x14ac:dyDescent="0.25">
      <c r="A14" s="53" t="s">
        <v>172</v>
      </c>
      <c r="B14" s="23">
        <v>75564988.760000005</v>
      </c>
      <c r="C14" s="23">
        <v>60468435.519999981</v>
      </c>
      <c r="D14" s="23">
        <v>60468435.519999981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4623096.34</v>
      </c>
      <c r="D17" s="40">
        <f>D18+D19</f>
        <v>4623096.34</v>
      </c>
    </row>
    <row r="18" spans="1:4" x14ac:dyDescent="0.25">
      <c r="A18" s="53" t="s">
        <v>175</v>
      </c>
      <c r="B18" s="119">
        <v>0</v>
      </c>
      <c r="C18" s="23">
        <v>4623096.34</v>
      </c>
      <c r="D18" s="23">
        <v>4623096.34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>C8-C13+C17</f>
        <v>-1131151.6799999811</v>
      </c>
      <c r="D21" s="40">
        <f t="shared" ref="D21" si="4">D8-D13+D17</f>
        <v>-1131151.6799999811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-1131151.6799999811</v>
      </c>
      <c r="D23" s="40">
        <f t="shared" si="5"/>
        <v>-1131151.6799999811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>C23-C17</f>
        <v>-5754248.0199999809</v>
      </c>
      <c r="D25" s="40">
        <f>D23-D17</f>
        <v>-5754248.0199999809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6">C30+C31</f>
        <v>0</v>
      </c>
      <c r="D29" s="61">
        <f t="shared" si="6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7">C25+C29</f>
        <v>-5754248.0199999809</v>
      </c>
      <c r="D33" s="61">
        <f t="shared" si="7"/>
        <v>-5754248.0199999809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8">C38+C39</f>
        <v>0</v>
      </c>
      <c r="D37" s="61">
        <f t="shared" si="8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9">C41+C42</f>
        <v>0</v>
      </c>
      <c r="D40" s="61">
        <f t="shared" si="9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0">C37-C40</f>
        <v>0</v>
      </c>
      <c r="D44" s="61">
        <f t="shared" si="10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75564988.760000005</v>
      </c>
      <c r="C48" s="124">
        <f>C9</f>
        <v>54714187.5</v>
      </c>
      <c r="D48" s="124">
        <f t="shared" ref="D48" si="11">D9</f>
        <v>54714187.5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2">C50-C51</f>
        <v>0</v>
      </c>
      <c r="D49" s="61">
        <f t="shared" si="12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75564988.760000005</v>
      </c>
      <c r="C53" s="60">
        <f t="shared" ref="C53:D53" si="13">C14</f>
        <v>60468435.519999981</v>
      </c>
      <c r="D53" s="60">
        <f t="shared" si="13"/>
        <v>60468435.519999981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v>4623096.34</v>
      </c>
      <c r="D55" s="60">
        <v>4623096.34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-1131151.6799999811</v>
      </c>
      <c r="D57" s="61">
        <f t="shared" ref="D57" si="14">D48+D49-D53+D55</f>
        <v>-1131151.6799999811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5">C57-C49</f>
        <v>-1131151.6799999811</v>
      </c>
      <c r="D59" s="61">
        <f t="shared" si="15"/>
        <v>-1131151.6799999811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6">C10</f>
        <v>0</v>
      </c>
      <c r="D63" s="122">
        <f t="shared" si="16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7">C65-C66</f>
        <v>0</v>
      </c>
      <c r="D64" s="40">
        <f t="shared" si="17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18">C15</f>
        <v>0</v>
      </c>
      <c r="D68" s="23">
        <f t="shared" si="18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v>0</v>
      </c>
      <c r="D70" s="23"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19">C63+C64-C68+C70</f>
        <v>0</v>
      </c>
      <c r="D72" s="40">
        <f t="shared" si="19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0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75564988.760000005</v>
      </c>
      <c r="Q2" s="18">
        <f>'Formato 4'!C8</f>
        <v>54714187.5</v>
      </c>
      <c r="R2" s="18">
        <f>'Formato 4'!D8</f>
        <v>54714187.5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75564988.760000005</v>
      </c>
      <c r="Q3" s="18">
        <f>'Formato 4'!C9</f>
        <v>54714187.5</v>
      </c>
      <c r="R3" s="18">
        <f>'Formato 4'!D9</f>
        <v>54714187.5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75564988.760000005</v>
      </c>
      <c r="Q6" s="18">
        <f>'Formato 4'!C13</f>
        <v>60468435.519999981</v>
      </c>
      <c r="R6" s="18">
        <f>'Formato 4'!D13</f>
        <v>60468435.519999981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75564988.760000005</v>
      </c>
      <c r="Q7" s="18">
        <f>'Formato 4'!C14</f>
        <v>60468435.519999981</v>
      </c>
      <c r="R7" s="18">
        <f>'Formato 4'!D14</f>
        <v>60468435.519999981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4623096.34</v>
      </c>
      <c r="R9" s="18">
        <f>'Formato 4'!D17</f>
        <v>4623096.34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4623096.34</v>
      </c>
      <c r="R10" s="18">
        <f>'Formato 4'!D18</f>
        <v>4623096.34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-1131151.6799999811</v>
      </c>
      <c r="R12" s="18">
        <f>'Formato 4'!D21</f>
        <v>-1131151.6799999811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-1131151.6799999811</v>
      </c>
      <c r="R13" s="18">
        <f>'Formato 4'!D23</f>
        <v>-1131151.6799999811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-5754248.0199999809</v>
      </c>
      <c r="R14" s="18">
        <f>'Formato 4'!D25</f>
        <v>-5754248.0199999809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-5754248.0199999809</v>
      </c>
      <c r="R18">
        <f>'Formato 4'!D33</f>
        <v>-5754248.0199999809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75564988.760000005</v>
      </c>
      <c r="Q26">
        <f>'Formato 4'!C48</f>
        <v>54714187.5</v>
      </c>
      <c r="R26">
        <f>'Formato 4'!D48</f>
        <v>54714187.5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75564988.760000005</v>
      </c>
      <c r="Q30">
        <f>'Formato 4'!C53</f>
        <v>60468435.519999981</v>
      </c>
      <c r="R30">
        <f>'Formato 4'!D53</f>
        <v>60468435.519999981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4623096.34</v>
      </c>
      <c r="R31">
        <f>'Formato 4'!D55</f>
        <v>4623096.34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76"/>
  <sheetViews>
    <sheetView showGridLines="0" zoomScale="85" zoomScaleNormal="85" workbookViewId="0">
      <selection activeCell="A20" sqref="A20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1" t="s">
        <v>206</v>
      </c>
      <c r="B1" s="171"/>
      <c r="C1" s="171"/>
      <c r="D1" s="171"/>
      <c r="E1" s="171"/>
      <c r="F1" s="171"/>
      <c r="G1" s="171"/>
    </row>
    <row r="2" spans="1:8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8" x14ac:dyDescent="0.25">
      <c r="A3" s="156" t="s">
        <v>207</v>
      </c>
      <c r="B3" s="157"/>
      <c r="C3" s="157"/>
      <c r="D3" s="157"/>
      <c r="E3" s="157"/>
      <c r="F3" s="157"/>
      <c r="G3" s="158"/>
    </row>
    <row r="4" spans="1:8" ht="14.25" x14ac:dyDescent="0.45">
      <c r="A4" s="159" t="str">
        <f>TRIMESTRE</f>
        <v>Del 1 de enero al 30 de septiembre de 2018 (b)</v>
      </c>
      <c r="B4" s="160"/>
      <c r="C4" s="160"/>
      <c r="D4" s="160"/>
      <c r="E4" s="160"/>
      <c r="F4" s="160"/>
      <c r="G4" s="161"/>
    </row>
    <row r="5" spans="1:8" ht="14.25" x14ac:dyDescent="0.45">
      <c r="A5" s="162" t="s">
        <v>118</v>
      </c>
      <c r="B5" s="163"/>
      <c r="C5" s="163"/>
      <c r="D5" s="163"/>
      <c r="E5" s="163"/>
      <c r="F5" s="163"/>
      <c r="G5" s="164"/>
    </row>
    <row r="6" spans="1:8" x14ac:dyDescent="0.25">
      <c r="A6" s="168" t="s">
        <v>214</v>
      </c>
      <c r="B6" s="170" t="s">
        <v>208</v>
      </c>
      <c r="C6" s="170"/>
      <c r="D6" s="170"/>
      <c r="E6" s="170"/>
      <c r="F6" s="170"/>
      <c r="G6" s="170" t="s">
        <v>209</v>
      </c>
    </row>
    <row r="7" spans="1:8" ht="30" x14ac:dyDescent="0.25">
      <c r="A7" s="169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0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48000</v>
      </c>
      <c r="C13" s="60">
        <v>10023.19999999999</v>
      </c>
      <c r="D13" s="60">
        <v>58023.19999999999</v>
      </c>
      <c r="E13" s="60">
        <v>54020.71</v>
      </c>
      <c r="F13" s="60">
        <v>54020.71</v>
      </c>
      <c r="G13" s="60">
        <f t="shared" si="0"/>
        <v>6020.7099999999991</v>
      </c>
    </row>
    <row r="14" spans="1:8" x14ac:dyDescent="0.2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42378161.316155002</v>
      </c>
      <c r="C15" s="60">
        <v>12251203.906347007</v>
      </c>
      <c r="D15" s="60">
        <v>54629365.222502008</v>
      </c>
      <c r="E15" s="60">
        <v>41629288.789999999</v>
      </c>
      <c r="F15" s="60">
        <v>41629288.789999999</v>
      </c>
      <c r="G15" s="60">
        <f t="shared" si="0"/>
        <v>-748872.52615500242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12894504</v>
      </c>
      <c r="C34" s="60">
        <v>3360000</v>
      </c>
      <c r="D34" s="60">
        <v>16254504</v>
      </c>
      <c r="E34" s="60">
        <v>13030878</v>
      </c>
      <c r="F34" s="60">
        <v>13030878</v>
      </c>
      <c r="G34" s="60">
        <f t="shared" si="4"/>
        <v>136374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4623096.34</v>
      </c>
      <c r="D37" s="60">
        <f t="shared" si="6"/>
        <v>4623096.34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4623096.34</v>
      </c>
      <c r="D39" s="60">
        <v>4623096.34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55320665.316155002</v>
      </c>
      <c r="C41" s="61">
        <f t="shared" ref="C41:E41" si="7">SUM(C9,C10,C11,C12,C13,C14,C15,C16,C28,C34,C35,C37)</f>
        <v>20244323.446347006</v>
      </c>
      <c r="D41" s="61">
        <f t="shared" si="7"/>
        <v>75564988.762502015</v>
      </c>
      <c r="E41" s="61">
        <f t="shared" si="7"/>
        <v>54714187.5</v>
      </c>
      <c r="F41" s="61">
        <f>SUM(F9,F10,F11,F12,F13,F14,F15,F16,F28,F34,F35,F37)</f>
        <v>54714187.5</v>
      </c>
      <c r="G41" s="61">
        <f>SUM(G9,G10,G11,G12,G13,G14,G15,G16,G28,G34,G35,G37)</f>
        <v>-606477.81615500245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55320665.316155002</v>
      </c>
      <c r="C70" s="61">
        <f t="shared" ref="C70:G70" si="15">C41+C65+C67</f>
        <v>20244323.446347006</v>
      </c>
      <c r="D70" s="61">
        <f t="shared" si="15"/>
        <v>75564988.762502015</v>
      </c>
      <c r="E70" s="61">
        <f t="shared" si="15"/>
        <v>54714187.5</v>
      </c>
      <c r="F70" s="61">
        <f t="shared" si="15"/>
        <v>54714187.5</v>
      </c>
      <c r="G70" s="61">
        <f t="shared" si="15"/>
        <v>-606477.81615500245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6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48000</v>
      </c>
      <c r="Q7" s="18">
        <f>'Formato 5'!C13</f>
        <v>10023.19999999999</v>
      </c>
      <c r="R7" s="18">
        <f>'Formato 5'!D13</f>
        <v>58023.19999999999</v>
      </c>
      <c r="S7" s="18">
        <f>'Formato 5'!E13</f>
        <v>54020.71</v>
      </c>
      <c r="T7" s="18">
        <f>'Formato 5'!F13</f>
        <v>54020.71</v>
      </c>
      <c r="U7" s="18">
        <f>'Formato 5'!G13</f>
        <v>6020.7099999999991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42378161.316155002</v>
      </c>
      <c r="Q9" s="18">
        <f>'Formato 5'!C15</f>
        <v>12251203.906347007</v>
      </c>
      <c r="R9" s="18">
        <f>'Formato 5'!D15</f>
        <v>54629365.222502008</v>
      </c>
      <c r="S9" s="18">
        <f>'Formato 5'!E15</f>
        <v>41629288.789999999</v>
      </c>
      <c r="T9" s="18">
        <f>'Formato 5'!F15</f>
        <v>41629288.789999999</v>
      </c>
      <c r="U9" s="18">
        <f>'Formato 5'!G15</f>
        <v>-748872.52615500242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12894504</v>
      </c>
      <c r="Q28" s="18">
        <f>'Formato 5'!C34</f>
        <v>3360000</v>
      </c>
      <c r="R28" s="18">
        <f>'Formato 5'!D34</f>
        <v>16254504</v>
      </c>
      <c r="S28" s="18">
        <f>'Formato 5'!E34</f>
        <v>13030878</v>
      </c>
      <c r="T28" s="18">
        <f>'Formato 5'!F34</f>
        <v>13030878</v>
      </c>
      <c r="U28" s="18">
        <f>'Formato 5'!G34</f>
        <v>136374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4623096.34</v>
      </c>
      <c r="R31" s="18">
        <f>'Formato 5'!D37</f>
        <v>4623096.34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4623096.34</v>
      </c>
      <c r="R33" s="18">
        <f>'Formato 5'!D39</f>
        <v>4623096.34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55320665.316155002</v>
      </c>
      <c r="Q34">
        <f>'Formato 5'!C41</f>
        <v>20244323.446347006</v>
      </c>
      <c r="R34">
        <f>'Formato 5'!D41</f>
        <v>75564988.762502015</v>
      </c>
      <c r="S34">
        <f>'Formato 5'!E41</f>
        <v>54714187.5</v>
      </c>
      <c r="T34">
        <f>'Formato 5'!F41</f>
        <v>54714187.5</v>
      </c>
      <c r="U34">
        <f>'Formato 5'!G41</f>
        <v>-606477.81615500245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topLeftCell="A4" zoomScale="90" zoomScaleNormal="90" zoomScalePageLayoutView="90" workbookViewId="0">
      <selection activeCell="C59" sqref="C59:F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2" t="s">
        <v>3285</v>
      </c>
      <c r="B1" s="171"/>
      <c r="C1" s="171"/>
      <c r="D1" s="171"/>
      <c r="E1" s="171"/>
      <c r="F1" s="171"/>
      <c r="G1" s="171"/>
    </row>
    <row r="2" spans="1:7" ht="14.25" x14ac:dyDescent="0.45">
      <c r="A2" s="175" t="str">
        <f>ENTE_PUBLICO_A</f>
        <v>PATRONATO DEL PARQUE ZOOLÓGICO DE LEÓN, Gobierno del Estado de Guanajuato (a)</v>
      </c>
      <c r="B2" s="175"/>
      <c r="C2" s="175"/>
      <c r="D2" s="175"/>
      <c r="E2" s="175"/>
      <c r="F2" s="175"/>
      <c r="G2" s="175"/>
    </row>
    <row r="3" spans="1:7" x14ac:dyDescent="0.25">
      <c r="A3" s="176" t="s">
        <v>277</v>
      </c>
      <c r="B3" s="176"/>
      <c r="C3" s="176"/>
      <c r="D3" s="176"/>
      <c r="E3" s="176"/>
      <c r="F3" s="176"/>
      <c r="G3" s="176"/>
    </row>
    <row r="4" spans="1:7" x14ac:dyDescent="0.25">
      <c r="A4" s="176" t="s">
        <v>278</v>
      </c>
      <c r="B4" s="176"/>
      <c r="C4" s="176"/>
      <c r="D4" s="176"/>
      <c r="E4" s="176"/>
      <c r="F4" s="176"/>
      <c r="G4" s="176"/>
    </row>
    <row r="5" spans="1:7" ht="14.25" x14ac:dyDescent="0.45">
      <c r="A5" s="177" t="str">
        <f>TRIMESTRE</f>
        <v>Del 1 de enero al 30 de septiembre de 2018 (b)</v>
      </c>
      <c r="B5" s="177"/>
      <c r="C5" s="177"/>
      <c r="D5" s="177"/>
      <c r="E5" s="177"/>
      <c r="F5" s="177"/>
      <c r="G5" s="177"/>
    </row>
    <row r="6" spans="1:7" ht="14.25" x14ac:dyDescent="0.45">
      <c r="A6" s="169" t="s">
        <v>118</v>
      </c>
      <c r="B6" s="169"/>
      <c r="C6" s="169"/>
      <c r="D6" s="169"/>
      <c r="E6" s="169"/>
      <c r="F6" s="169"/>
      <c r="G6" s="169"/>
    </row>
    <row r="7" spans="1:7" ht="15" customHeight="1" x14ac:dyDescent="0.25">
      <c r="A7" s="173" t="s">
        <v>0</v>
      </c>
      <c r="B7" s="173" t="s">
        <v>279</v>
      </c>
      <c r="C7" s="173"/>
      <c r="D7" s="173"/>
      <c r="E7" s="173"/>
      <c r="F7" s="173"/>
      <c r="G7" s="174" t="s">
        <v>280</v>
      </c>
    </row>
    <row r="8" spans="1:7" ht="30" x14ac:dyDescent="0.25">
      <c r="A8" s="173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3"/>
    </row>
    <row r="9" spans="1:7" ht="14.25" x14ac:dyDescent="0.45">
      <c r="A9" s="82" t="s">
        <v>285</v>
      </c>
      <c r="B9" s="79">
        <f>SUM(B10,B18,B28,B38,B48,B58,B62,B71,B75)</f>
        <v>55320665.313184001</v>
      </c>
      <c r="C9" s="79">
        <f t="shared" ref="C9:G9" si="0">SUM(C10,C18,C28,C38,C48,C58,C62,C71,C75)</f>
        <v>20244323.451345526</v>
      </c>
      <c r="D9" s="79">
        <f t="shared" si="0"/>
        <v>75564988.764529526</v>
      </c>
      <c r="E9" s="79">
        <f t="shared" si="0"/>
        <v>60468435.520000003</v>
      </c>
      <c r="F9" s="79">
        <f t="shared" si="0"/>
        <v>60468435.520000003</v>
      </c>
      <c r="G9" s="79">
        <f t="shared" si="0"/>
        <v>15096553.244529525</v>
      </c>
    </row>
    <row r="10" spans="1:7" ht="14.25" x14ac:dyDescent="0.45">
      <c r="A10" s="83" t="s">
        <v>286</v>
      </c>
      <c r="B10" s="80">
        <f>SUM(B11:B17)</f>
        <v>29226287.537939217</v>
      </c>
      <c r="C10" s="80">
        <f t="shared" ref="C10:F10" si="1">SUM(C11:C17)</f>
        <v>-858565.88711456256</v>
      </c>
      <c r="D10" s="80">
        <f t="shared" si="1"/>
        <v>28367721.650824655</v>
      </c>
      <c r="E10" s="80">
        <f t="shared" si="1"/>
        <v>20318106.900000006</v>
      </c>
      <c r="F10" s="80">
        <f t="shared" si="1"/>
        <v>20318106.900000006</v>
      </c>
      <c r="G10" s="80">
        <f>SUM(G11:G17)</f>
        <v>8049614.7508246498</v>
      </c>
    </row>
    <row r="11" spans="1:7" x14ac:dyDescent="0.25">
      <c r="A11" s="84" t="s">
        <v>287</v>
      </c>
      <c r="B11" s="80">
        <v>14303457.425000003</v>
      </c>
      <c r="C11" s="80">
        <v>-497950.45375000499</v>
      </c>
      <c r="D11" s="80">
        <v>13805506.971249998</v>
      </c>
      <c r="E11" s="80">
        <v>9947648.9900000021</v>
      </c>
      <c r="F11" s="80">
        <v>9947648.9900000021</v>
      </c>
      <c r="G11" s="80">
        <f>D11-E11</f>
        <v>3857857.9812499955</v>
      </c>
    </row>
    <row r="12" spans="1:7" x14ac:dyDescent="0.25">
      <c r="A12" s="84" t="s">
        <v>288</v>
      </c>
      <c r="B12" s="80">
        <v>791124.40573125018</v>
      </c>
      <c r="C12" s="80">
        <v>-19996.963067950099</v>
      </c>
      <c r="D12" s="80">
        <v>771127.44266330008</v>
      </c>
      <c r="E12" s="80">
        <v>571980.09</v>
      </c>
      <c r="F12" s="80">
        <v>571980.09</v>
      </c>
      <c r="G12" s="80">
        <f>D12-E12</f>
        <v>199147.35266330012</v>
      </c>
    </row>
    <row r="13" spans="1:7" x14ac:dyDescent="0.25">
      <c r="A13" s="84" t="s">
        <v>289</v>
      </c>
      <c r="B13" s="80">
        <v>4046715.9767449759</v>
      </c>
      <c r="C13" s="80">
        <v>-45374.336710892152</v>
      </c>
      <c r="D13" s="80">
        <v>4001341.6400340837</v>
      </c>
      <c r="E13" s="80">
        <v>3026898.8800000004</v>
      </c>
      <c r="F13" s="80">
        <v>3026898.8800000004</v>
      </c>
      <c r="G13" s="80">
        <f t="shared" ref="G13:G17" si="2">D13-E13</f>
        <v>974442.76003408339</v>
      </c>
    </row>
    <row r="14" spans="1:7" x14ac:dyDescent="0.25">
      <c r="A14" s="84" t="s">
        <v>290</v>
      </c>
      <c r="B14" s="80">
        <v>4533666.7332500005</v>
      </c>
      <c r="C14" s="80">
        <v>-103989.06850000005</v>
      </c>
      <c r="D14" s="80">
        <v>4429677.6647500005</v>
      </c>
      <c r="E14" s="80">
        <v>2815194.5</v>
      </c>
      <c r="F14" s="80">
        <v>2815194.5</v>
      </c>
      <c r="G14" s="80">
        <f t="shared" si="2"/>
        <v>1614483.1647500005</v>
      </c>
    </row>
    <row r="15" spans="1:7" x14ac:dyDescent="0.25">
      <c r="A15" s="84" t="s">
        <v>291</v>
      </c>
      <c r="B15" s="80">
        <v>5208040.0190129867</v>
      </c>
      <c r="C15" s="80">
        <v>-186351.74403571524</v>
      </c>
      <c r="D15" s="80">
        <v>5021688.2749772714</v>
      </c>
      <c r="E15" s="80">
        <v>3705358.0000000005</v>
      </c>
      <c r="F15" s="80">
        <v>3705358.0000000005</v>
      </c>
      <c r="G15" s="80">
        <f t="shared" si="2"/>
        <v>1316330.274977271</v>
      </c>
    </row>
    <row r="16" spans="1:7" x14ac:dyDescent="0.25">
      <c r="A16" s="84" t="s">
        <v>292</v>
      </c>
      <c r="B16" s="80">
        <v>343282.97820000007</v>
      </c>
      <c r="C16" s="80">
        <v>-4903.321050000086</v>
      </c>
      <c r="D16" s="80">
        <v>338379.65714999998</v>
      </c>
      <c r="E16" s="80">
        <v>251026.44000000003</v>
      </c>
      <c r="F16" s="80">
        <v>251026.44000000003</v>
      </c>
      <c r="G16" s="80">
        <f t="shared" si="2"/>
        <v>87353.217149999953</v>
      </c>
    </row>
    <row r="17" spans="1:7" x14ac:dyDescent="0.25">
      <c r="A17" s="84" t="s">
        <v>293</v>
      </c>
      <c r="B17" s="80">
        <v>0</v>
      </c>
      <c r="C17" s="80"/>
      <c r="D17" s="80"/>
      <c r="E17" s="80"/>
      <c r="F17" s="80"/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14914901.41388282</v>
      </c>
      <c r="C18" s="80">
        <f t="shared" ref="C18:F18" si="3">SUM(C19:C27)</f>
        <v>189084.35334750506</v>
      </c>
      <c r="D18" s="80">
        <f t="shared" si="3"/>
        <v>15103985.767230326</v>
      </c>
      <c r="E18" s="80">
        <f t="shared" si="3"/>
        <v>12112814.089999998</v>
      </c>
      <c r="F18" s="80">
        <f t="shared" si="3"/>
        <v>12112814.089999998</v>
      </c>
      <c r="G18" s="80">
        <f>SUM(G19:G27)</f>
        <v>2991171.6772303288</v>
      </c>
    </row>
    <row r="19" spans="1:7" x14ac:dyDescent="0.25">
      <c r="A19" s="84" t="s">
        <v>295</v>
      </c>
      <c r="B19" s="80">
        <v>528582.04984081408</v>
      </c>
      <c r="C19" s="80">
        <v>-33407.514000000083</v>
      </c>
      <c r="D19" s="80">
        <v>495174.535840814</v>
      </c>
      <c r="E19" s="80">
        <v>352490.74</v>
      </c>
      <c r="F19" s="80">
        <v>352490.74</v>
      </c>
      <c r="G19" s="80">
        <f>D19-E19</f>
        <v>142683.79584081401</v>
      </c>
    </row>
    <row r="20" spans="1:7" x14ac:dyDescent="0.25">
      <c r="A20" s="84" t="s">
        <v>296</v>
      </c>
      <c r="B20" s="80">
        <v>8250857.4998895135</v>
      </c>
      <c r="C20" s="80">
        <v>935655.69199999981</v>
      </c>
      <c r="D20" s="80">
        <v>9186513.1918895133</v>
      </c>
      <c r="E20" s="80">
        <v>7356839.4699999988</v>
      </c>
      <c r="F20" s="80">
        <v>7356839.4699999988</v>
      </c>
      <c r="G20" s="80">
        <f t="shared" ref="G20:G27" si="4">D20-E20</f>
        <v>1829673.7218895145</v>
      </c>
    </row>
    <row r="21" spans="1:7" x14ac:dyDescent="0.25">
      <c r="A21" s="84" t="s">
        <v>297</v>
      </c>
      <c r="B21" s="80">
        <v>4687679.2515000002</v>
      </c>
      <c r="C21" s="80">
        <v>-387958.78200000059</v>
      </c>
      <c r="D21" s="80">
        <v>4299720.4694999997</v>
      </c>
      <c r="E21" s="80">
        <v>3506051.57</v>
      </c>
      <c r="F21" s="80">
        <v>3506051.57</v>
      </c>
      <c r="G21" s="80">
        <f t="shared" si="4"/>
        <v>793668.89949999982</v>
      </c>
    </row>
    <row r="22" spans="1:7" x14ac:dyDescent="0.25">
      <c r="A22" s="84" t="s">
        <v>298</v>
      </c>
      <c r="B22" s="80">
        <v>0</v>
      </c>
      <c r="C22" s="80"/>
      <c r="D22" s="80"/>
      <c r="E22" s="80"/>
      <c r="F22" s="80"/>
      <c r="G22" s="80">
        <f t="shared" si="4"/>
        <v>0</v>
      </c>
    </row>
    <row r="23" spans="1:7" x14ac:dyDescent="0.25">
      <c r="A23" s="84" t="s">
        <v>299</v>
      </c>
      <c r="B23" s="80">
        <v>223282.73300000001</v>
      </c>
      <c r="C23" s="80">
        <v>-17305.892999999982</v>
      </c>
      <c r="D23" s="80">
        <v>205976.84000000003</v>
      </c>
      <c r="E23" s="80">
        <v>156906.87</v>
      </c>
      <c r="F23" s="80">
        <v>156906.87</v>
      </c>
      <c r="G23" s="80">
        <f t="shared" si="4"/>
        <v>49069.97000000003</v>
      </c>
    </row>
    <row r="24" spans="1:7" x14ac:dyDescent="0.25">
      <c r="A24" s="84" t="s">
        <v>300</v>
      </c>
      <c r="B24" s="80">
        <v>533103.8796524941</v>
      </c>
      <c r="C24" s="80">
        <v>53449.160347505938</v>
      </c>
      <c r="D24" s="80">
        <v>586553.04</v>
      </c>
      <c r="E24" s="80">
        <v>481980.93</v>
      </c>
      <c r="F24" s="80">
        <v>481980.93</v>
      </c>
      <c r="G24" s="80">
        <f t="shared" si="4"/>
        <v>104572.11000000004</v>
      </c>
    </row>
    <row r="25" spans="1:7" x14ac:dyDescent="0.25">
      <c r="A25" s="84" t="s">
        <v>301</v>
      </c>
      <c r="B25" s="80">
        <v>458996</v>
      </c>
      <c r="C25" s="80">
        <v>-290251.59999999998</v>
      </c>
      <c r="D25" s="80">
        <v>168744.4</v>
      </c>
      <c r="E25" s="80">
        <v>164244.4</v>
      </c>
      <c r="F25" s="80">
        <v>164244.4</v>
      </c>
      <c r="G25" s="80">
        <f t="shared" si="4"/>
        <v>4500</v>
      </c>
    </row>
    <row r="26" spans="1:7" x14ac:dyDescent="0.25">
      <c r="A26" s="84" t="s">
        <v>302</v>
      </c>
      <c r="B26" s="80">
        <v>0</v>
      </c>
      <c r="C26" s="80"/>
      <c r="D26" s="80"/>
      <c r="E26" s="80"/>
      <c r="F26" s="80"/>
      <c r="G26" s="80">
        <f t="shared" si="4"/>
        <v>0</v>
      </c>
    </row>
    <row r="27" spans="1:7" x14ac:dyDescent="0.25">
      <c r="A27" s="84" t="s">
        <v>303</v>
      </c>
      <c r="B27" s="80">
        <v>232400</v>
      </c>
      <c r="C27" s="80">
        <v>-71096.709999999992</v>
      </c>
      <c r="D27" s="80">
        <v>161303.29</v>
      </c>
      <c r="E27" s="80">
        <v>94300.11</v>
      </c>
      <c r="F27" s="80">
        <v>94300.11</v>
      </c>
      <c r="G27" s="80">
        <f t="shared" si="4"/>
        <v>67003.180000000008</v>
      </c>
    </row>
    <row r="28" spans="1:7" x14ac:dyDescent="0.25">
      <c r="A28" s="83" t="s">
        <v>304</v>
      </c>
      <c r="B28" s="80">
        <f>SUM(B29:B37)</f>
        <v>9512066.0513619632</v>
      </c>
      <c r="C28" s="80">
        <f t="shared" ref="C28:G28" si="5">SUM(C29:C37)</f>
        <v>5884224.9851125814</v>
      </c>
      <c r="D28" s="80">
        <f t="shared" si="5"/>
        <v>15396291.036474545</v>
      </c>
      <c r="E28" s="80">
        <f t="shared" si="5"/>
        <v>12415321.359999999</v>
      </c>
      <c r="F28" s="80">
        <f t="shared" si="5"/>
        <v>12415321.359999999</v>
      </c>
      <c r="G28" s="80">
        <f t="shared" si="5"/>
        <v>2980969.6764745452</v>
      </c>
    </row>
    <row r="29" spans="1:7" x14ac:dyDescent="0.25">
      <c r="A29" s="84" t="s">
        <v>305</v>
      </c>
      <c r="B29" s="80">
        <v>1657800</v>
      </c>
      <c r="C29" s="80">
        <v>-256046.86999999988</v>
      </c>
      <c r="D29" s="80">
        <v>1401753.1300000001</v>
      </c>
      <c r="E29" s="80">
        <v>1013214.8300000001</v>
      </c>
      <c r="F29" s="80">
        <v>1013214.8300000001</v>
      </c>
      <c r="G29" s="80">
        <f>D29-E29</f>
        <v>388538.30000000005</v>
      </c>
    </row>
    <row r="30" spans="1:7" x14ac:dyDescent="0.25">
      <c r="A30" s="84" t="s">
        <v>306</v>
      </c>
      <c r="B30" s="80">
        <v>691118.71200000006</v>
      </c>
      <c r="C30" s="80">
        <v>6034.9479999999749</v>
      </c>
      <c r="D30" s="80">
        <v>697153.66</v>
      </c>
      <c r="E30" s="80">
        <v>681948.68</v>
      </c>
      <c r="F30" s="80">
        <v>681948.68</v>
      </c>
      <c r="G30" s="80">
        <f t="shared" ref="G30:G37" si="6">D30-E30</f>
        <v>15204.979999999981</v>
      </c>
    </row>
    <row r="31" spans="1:7" x14ac:dyDescent="0.25">
      <c r="A31" s="84" t="s">
        <v>307</v>
      </c>
      <c r="B31" s="80">
        <v>345400</v>
      </c>
      <c r="C31" s="80">
        <v>-128363.93</v>
      </c>
      <c r="D31" s="80">
        <v>217036.07</v>
      </c>
      <c r="E31" s="80">
        <v>168208.57</v>
      </c>
      <c r="F31" s="80">
        <v>168208.57</v>
      </c>
      <c r="G31" s="80">
        <f t="shared" si="6"/>
        <v>48827.5</v>
      </c>
    </row>
    <row r="32" spans="1:7" x14ac:dyDescent="0.25">
      <c r="A32" s="84" t="s">
        <v>308</v>
      </c>
      <c r="B32" s="80">
        <v>822305.74308323767</v>
      </c>
      <c r="C32" s="80">
        <v>-157755.054</v>
      </c>
      <c r="D32" s="80">
        <v>664550.68908323767</v>
      </c>
      <c r="E32" s="80">
        <v>658097.79</v>
      </c>
      <c r="F32" s="80">
        <v>658097.79</v>
      </c>
      <c r="G32" s="80">
        <f t="shared" si="6"/>
        <v>6452.8990832376294</v>
      </c>
    </row>
    <row r="33" spans="1:7" x14ac:dyDescent="0.25">
      <c r="A33" s="84" t="s">
        <v>309</v>
      </c>
      <c r="B33" s="80">
        <v>2056560</v>
      </c>
      <c r="C33" s="80">
        <v>700973.70000000065</v>
      </c>
      <c r="D33" s="80">
        <v>2757533.7000000007</v>
      </c>
      <c r="E33" s="80">
        <v>2542235.7699999996</v>
      </c>
      <c r="F33" s="80">
        <v>2542235.7699999996</v>
      </c>
      <c r="G33" s="80">
        <f t="shared" si="6"/>
        <v>215297.9300000011</v>
      </c>
    </row>
    <row r="34" spans="1:7" x14ac:dyDescent="0.25">
      <c r="A34" s="84" t="s">
        <v>310</v>
      </c>
      <c r="B34" s="80">
        <v>2449947.8249565223</v>
      </c>
      <c r="C34" s="80">
        <v>132693.90243478399</v>
      </c>
      <c r="D34" s="80">
        <v>2582641.7273913063</v>
      </c>
      <c r="E34" s="80">
        <v>2087923.87</v>
      </c>
      <c r="F34" s="80">
        <v>2087923.87</v>
      </c>
      <c r="G34" s="80">
        <f t="shared" si="6"/>
        <v>494717.8573913062</v>
      </c>
    </row>
    <row r="35" spans="1:7" x14ac:dyDescent="0.25">
      <c r="A35" s="84" t="s">
        <v>311</v>
      </c>
      <c r="B35" s="80">
        <v>141017.63</v>
      </c>
      <c r="C35" s="80">
        <v>97112.860000000015</v>
      </c>
      <c r="D35" s="80">
        <v>238130.49000000002</v>
      </c>
      <c r="E35" s="80">
        <v>347113.3</v>
      </c>
      <c r="F35" s="80">
        <v>347113.3</v>
      </c>
      <c r="G35" s="80">
        <f t="shared" si="6"/>
        <v>-108982.80999999997</v>
      </c>
    </row>
    <row r="36" spans="1:7" x14ac:dyDescent="0.25">
      <c r="A36" s="84" t="s">
        <v>312</v>
      </c>
      <c r="B36" s="80">
        <v>871075.36</v>
      </c>
      <c r="C36" s="80">
        <v>5473605.6299999999</v>
      </c>
      <c r="D36" s="80">
        <v>6344680.9900000002</v>
      </c>
      <c r="E36" s="80">
        <v>4543509.8899999997</v>
      </c>
      <c r="F36" s="80">
        <v>4543509.8899999997</v>
      </c>
      <c r="G36" s="80">
        <f t="shared" si="6"/>
        <v>1801171.1000000006</v>
      </c>
    </row>
    <row r="37" spans="1:7" x14ac:dyDescent="0.25">
      <c r="A37" s="84" t="s">
        <v>313</v>
      </c>
      <c r="B37" s="80">
        <v>476840.78132220317</v>
      </c>
      <c r="C37" s="80">
        <v>15969.798677796847</v>
      </c>
      <c r="D37" s="80">
        <v>492810.58</v>
      </c>
      <c r="E37" s="80">
        <v>373068.66</v>
      </c>
      <c r="F37" s="80">
        <v>373068.66</v>
      </c>
      <c r="G37" s="80">
        <f t="shared" si="6"/>
        <v>119741.92000000004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442504</v>
      </c>
      <c r="C48" s="80">
        <f t="shared" ref="C48:G48" si="9">SUM(C49:C57)</f>
        <v>-81965.459999999992</v>
      </c>
      <c r="D48" s="80">
        <f t="shared" si="9"/>
        <v>360538.54000000004</v>
      </c>
      <c r="E48" s="80">
        <f t="shared" si="9"/>
        <v>1123466.42</v>
      </c>
      <c r="F48" s="80">
        <f t="shared" si="9"/>
        <v>1123466.42</v>
      </c>
      <c r="G48" s="80">
        <f t="shared" si="9"/>
        <v>-762927.88</v>
      </c>
    </row>
    <row r="49" spans="1:7" x14ac:dyDescent="0.25">
      <c r="A49" s="84" t="s">
        <v>325</v>
      </c>
      <c r="B49" s="80">
        <v>92004</v>
      </c>
      <c r="C49" s="80">
        <v>-23027.559999999998</v>
      </c>
      <c r="D49" s="80">
        <v>68976.44</v>
      </c>
      <c r="E49" s="80">
        <v>68976.44</v>
      </c>
      <c r="F49" s="80">
        <v>68976.44</v>
      </c>
      <c r="G49" s="80">
        <f>D49-E49</f>
        <v>0</v>
      </c>
    </row>
    <row r="50" spans="1:7" x14ac:dyDescent="0.25">
      <c r="A50" s="84" t="s">
        <v>326</v>
      </c>
      <c r="B50" s="80">
        <v>0</v>
      </c>
      <c r="C50" s="80"/>
      <c r="D50" s="80"/>
      <c r="E50" s="80"/>
      <c r="F50" s="80"/>
      <c r="G50" s="80">
        <f t="shared" ref="G50:G57" si="10">D50-E50</f>
        <v>0</v>
      </c>
    </row>
    <row r="51" spans="1:7" x14ac:dyDescent="0.25">
      <c r="A51" s="84" t="s">
        <v>327</v>
      </c>
      <c r="B51" s="80">
        <v>30000</v>
      </c>
      <c r="C51" s="80">
        <v>-30000</v>
      </c>
      <c r="D51" s="80">
        <v>0</v>
      </c>
      <c r="E51" s="80">
        <v>0</v>
      </c>
      <c r="F51" s="80">
        <v>0</v>
      </c>
      <c r="G51" s="80">
        <f t="shared" si="10"/>
        <v>0</v>
      </c>
    </row>
    <row r="52" spans="1:7" x14ac:dyDescent="0.25">
      <c r="A52" s="84" t="s">
        <v>328</v>
      </c>
      <c r="B52" s="80">
        <v>0</v>
      </c>
      <c r="C52" s="80"/>
      <c r="D52" s="80"/>
      <c r="E52" s="80"/>
      <c r="F52" s="80"/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/>
      <c r="D53" s="80"/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140500</v>
      </c>
      <c r="C54" s="80">
        <v>-28937.899999999994</v>
      </c>
      <c r="D54" s="80">
        <v>111562.1</v>
      </c>
      <c r="E54" s="80">
        <v>124089.98000000001</v>
      </c>
      <c r="F54" s="80">
        <v>124089.98000000001</v>
      </c>
      <c r="G54" s="80">
        <f t="shared" si="10"/>
        <v>-12527.880000000005</v>
      </c>
    </row>
    <row r="55" spans="1:7" x14ac:dyDescent="0.25">
      <c r="A55" s="84" t="s">
        <v>331</v>
      </c>
      <c r="B55" s="80">
        <v>180000</v>
      </c>
      <c r="C55" s="80">
        <v>0</v>
      </c>
      <c r="D55" s="80">
        <v>180000</v>
      </c>
      <c r="E55" s="80">
        <v>930400</v>
      </c>
      <c r="F55" s="80">
        <v>930400</v>
      </c>
      <c r="G55" s="80">
        <f t="shared" si="10"/>
        <v>-750400</v>
      </c>
    </row>
    <row r="56" spans="1:7" x14ac:dyDescent="0.25">
      <c r="A56" s="84" t="s">
        <v>332</v>
      </c>
      <c r="B56" s="80">
        <v>0</v>
      </c>
      <c r="C56" s="80"/>
      <c r="D56" s="80"/>
      <c r="E56" s="80"/>
      <c r="F56" s="80"/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/>
      <c r="D57" s="80"/>
      <c r="E57" s="80"/>
      <c r="F57" s="80"/>
      <c r="G57" s="80">
        <f t="shared" si="10"/>
        <v>0</v>
      </c>
    </row>
    <row r="58" spans="1:7" x14ac:dyDescent="0.25">
      <c r="A58" s="83" t="s">
        <v>334</v>
      </c>
      <c r="B58" s="80">
        <f>SUM(B59:B61)</f>
        <v>1224906.31</v>
      </c>
      <c r="C58" s="80">
        <f t="shared" ref="C58:G58" si="11">SUM(C59:C61)</f>
        <v>15111545.460000001</v>
      </c>
      <c r="D58" s="80">
        <f t="shared" si="11"/>
        <v>16336451.770000001</v>
      </c>
      <c r="E58" s="80">
        <f t="shared" si="11"/>
        <v>14498726.75</v>
      </c>
      <c r="F58" s="80">
        <f t="shared" si="11"/>
        <v>14498726.75</v>
      </c>
      <c r="G58" s="80">
        <f t="shared" si="11"/>
        <v>1837725.0200000014</v>
      </c>
    </row>
    <row r="59" spans="1:7" x14ac:dyDescent="0.25">
      <c r="A59" s="84" t="s">
        <v>335</v>
      </c>
      <c r="B59" s="80">
        <v>1224906.31</v>
      </c>
      <c r="C59" s="80">
        <v>15111545.460000001</v>
      </c>
      <c r="D59" s="80">
        <v>16336451.770000001</v>
      </c>
      <c r="E59" s="80">
        <v>14498726.75</v>
      </c>
      <c r="F59" s="80">
        <v>14498726.75</v>
      </c>
      <c r="G59" s="80">
        <f>D59-E59</f>
        <v>1837725.0200000014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55320665.313184001</v>
      </c>
      <c r="C159" s="79">
        <f t="shared" ref="C159:G159" si="38">C9+C84</f>
        <v>20244323.451345526</v>
      </c>
      <c r="D159" s="79">
        <f t="shared" si="38"/>
        <v>75564988.764529526</v>
      </c>
      <c r="E159" s="79">
        <f t="shared" si="38"/>
        <v>60468435.520000003</v>
      </c>
      <c r="F159" s="79">
        <f t="shared" si="38"/>
        <v>60468435.520000003</v>
      </c>
      <c r="G159" s="79">
        <f t="shared" si="38"/>
        <v>15096553.244529525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55320665.313184001</v>
      </c>
      <c r="Q2" s="18">
        <f>'Formato 6 a)'!C9</f>
        <v>20244323.451345526</v>
      </c>
      <c r="R2" s="18">
        <f>'Formato 6 a)'!D9</f>
        <v>75564988.764529526</v>
      </c>
      <c r="S2" s="18">
        <f>'Formato 6 a)'!E9</f>
        <v>60468435.520000003</v>
      </c>
      <c r="T2" s="18">
        <f>'Formato 6 a)'!F9</f>
        <v>60468435.520000003</v>
      </c>
      <c r="U2" s="18">
        <f>'Formato 6 a)'!G9</f>
        <v>15096553.244529525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29226287.537939217</v>
      </c>
      <c r="Q3" s="18">
        <f>'Formato 6 a)'!C10</f>
        <v>-858565.88711456256</v>
      </c>
      <c r="R3" s="18">
        <f>'Formato 6 a)'!D10</f>
        <v>28367721.650824655</v>
      </c>
      <c r="S3" s="18">
        <f>'Formato 6 a)'!E10</f>
        <v>20318106.900000006</v>
      </c>
      <c r="T3" s="18">
        <f>'Formato 6 a)'!F10</f>
        <v>20318106.900000006</v>
      </c>
      <c r="U3" s="18">
        <f>'Formato 6 a)'!G10</f>
        <v>8049614.7508246498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14303457.425000003</v>
      </c>
      <c r="Q4" s="18">
        <f>'Formato 6 a)'!C11</f>
        <v>-497950.45375000499</v>
      </c>
      <c r="R4" s="18">
        <f>'Formato 6 a)'!D11</f>
        <v>13805506.971249998</v>
      </c>
      <c r="S4" s="18">
        <f>'Formato 6 a)'!E11</f>
        <v>9947648.9900000021</v>
      </c>
      <c r="T4" s="18">
        <f>'Formato 6 a)'!F11</f>
        <v>9947648.9900000021</v>
      </c>
      <c r="U4" s="18">
        <f>'Formato 6 a)'!G11</f>
        <v>3857857.9812499955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791124.40573125018</v>
      </c>
      <c r="Q5" s="18">
        <f>'Formato 6 a)'!C12</f>
        <v>-19996.963067950099</v>
      </c>
      <c r="R5" s="18">
        <f>'Formato 6 a)'!D12</f>
        <v>771127.44266330008</v>
      </c>
      <c r="S5" s="18">
        <f>'Formato 6 a)'!E12</f>
        <v>571980.09</v>
      </c>
      <c r="T5" s="18">
        <f>'Formato 6 a)'!F12</f>
        <v>571980.09</v>
      </c>
      <c r="U5" s="18">
        <f>'Formato 6 a)'!G12</f>
        <v>199147.35266330012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4046715.9767449759</v>
      </c>
      <c r="Q6" s="18">
        <f>'Formato 6 a)'!C13</f>
        <v>-45374.336710892152</v>
      </c>
      <c r="R6" s="18">
        <f>'Formato 6 a)'!D13</f>
        <v>4001341.6400340837</v>
      </c>
      <c r="S6" s="18">
        <f>'Formato 6 a)'!E13</f>
        <v>3026898.8800000004</v>
      </c>
      <c r="T6" s="18">
        <f>'Formato 6 a)'!F13</f>
        <v>3026898.8800000004</v>
      </c>
      <c r="U6" s="18">
        <f>'Formato 6 a)'!G13</f>
        <v>974442.76003408339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4533666.7332500005</v>
      </c>
      <c r="Q7" s="18">
        <f>'Formato 6 a)'!C14</f>
        <v>-103989.06850000005</v>
      </c>
      <c r="R7" s="18">
        <f>'Formato 6 a)'!D14</f>
        <v>4429677.6647500005</v>
      </c>
      <c r="S7" s="18">
        <f>'Formato 6 a)'!E14</f>
        <v>2815194.5</v>
      </c>
      <c r="T7" s="18">
        <f>'Formato 6 a)'!F14</f>
        <v>2815194.5</v>
      </c>
      <c r="U7" s="18">
        <f>'Formato 6 a)'!G14</f>
        <v>1614483.1647500005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5208040.0190129867</v>
      </c>
      <c r="Q8" s="18">
        <f>'Formato 6 a)'!C15</f>
        <v>-186351.74403571524</v>
      </c>
      <c r="R8" s="18">
        <f>'Formato 6 a)'!D15</f>
        <v>5021688.2749772714</v>
      </c>
      <c r="S8" s="18">
        <f>'Formato 6 a)'!E15</f>
        <v>3705358.0000000005</v>
      </c>
      <c r="T8" s="18">
        <f>'Formato 6 a)'!F15</f>
        <v>3705358.0000000005</v>
      </c>
      <c r="U8" s="18">
        <f>'Formato 6 a)'!G15</f>
        <v>1316330.274977271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343282.97820000007</v>
      </c>
      <c r="Q9" s="18">
        <f>'Formato 6 a)'!C16</f>
        <v>-4903.321050000086</v>
      </c>
      <c r="R9" s="18">
        <f>'Formato 6 a)'!D16</f>
        <v>338379.65714999998</v>
      </c>
      <c r="S9" s="18">
        <f>'Formato 6 a)'!E16</f>
        <v>251026.44000000003</v>
      </c>
      <c r="T9" s="18">
        <f>'Formato 6 a)'!F16</f>
        <v>251026.44000000003</v>
      </c>
      <c r="U9" s="18">
        <f>'Formato 6 a)'!G16</f>
        <v>87353.217149999953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14914901.41388282</v>
      </c>
      <c r="Q11" s="18">
        <f>'Formato 6 a)'!C18</f>
        <v>189084.35334750506</v>
      </c>
      <c r="R11" s="18">
        <f>'Formato 6 a)'!D18</f>
        <v>15103985.767230326</v>
      </c>
      <c r="S11" s="18">
        <f>'Formato 6 a)'!E18</f>
        <v>12112814.089999998</v>
      </c>
      <c r="T11" s="18">
        <f>'Formato 6 a)'!F18</f>
        <v>12112814.089999998</v>
      </c>
      <c r="U11" s="18">
        <f>'Formato 6 a)'!G18</f>
        <v>2991171.6772303288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528582.04984081408</v>
      </c>
      <c r="Q12" s="18">
        <f>'Formato 6 a)'!C19</f>
        <v>-33407.514000000083</v>
      </c>
      <c r="R12" s="18">
        <f>'Formato 6 a)'!D19</f>
        <v>495174.535840814</v>
      </c>
      <c r="S12" s="18">
        <f>'Formato 6 a)'!E19</f>
        <v>352490.74</v>
      </c>
      <c r="T12" s="18">
        <f>'Formato 6 a)'!F19</f>
        <v>352490.74</v>
      </c>
      <c r="U12" s="18">
        <f>'Formato 6 a)'!G19</f>
        <v>142683.79584081401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8250857.4998895135</v>
      </c>
      <c r="Q13" s="18">
        <f>'Formato 6 a)'!C20</f>
        <v>935655.69199999981</v>
      </c>
      <c r="R13" s="18">
        <f>'Formato 6 a)'!D20</f>
        <v>9186513.1918895133</v>
      </c>
      <c r="S13" s="18">
        <f>'Formato 6 a)'!E20</f>
        <v>7356839.4699999988</v>
      </c>
      <c r="T13" s="18">
        <f>'Formato 6 a)'!F20</f>
        <v>7356839.4699999988</v>
      </c>
      <c r="U13" s="18">
        <f>'Formato 6 a)'!G20</f>
        <v>1829673.7218895145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4687679.2515000002</v>
      </c>
      <c r="Q14" s="18">
        <f>'Formato 6 a)'!C21</f>
        <v>-387958.78200000059</v>
      </c>
      <c r="R14" s="18">
        <f>'Formato 6 a)'!D21</f>
        <v>4299720.4694999997</v>
      </c>
      <c r="S14" s="18">
        <f>'Formato 6 a)'!E21</f>
        <v>3506051.57</v>
      </c>
      <c r="T14" s="18">
        <f>'Formato 6 a)'!F21</f>
        <v>3506051.57</v>
      </c>
      <c r="U14" s="18">
        <f>'Formato 6 a)'!G21</f>
        <v>793668.89949999982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223282.73300000001</v>
      </c>
      <c r="Q16" s="18">
        <f>'Formato 6 a)'!C23</f>
        <v>-17305.892999999982</v>
      </c>
      <c r="R16" s="18">
        <f>'Formato 6 a)'!D23</f>
        <v>205976.84000000003</v>
      </c>
      <c r="S16" s="18">
        <f>'Formato 6 a)'!E23</f>
        <v>156906.87</v>
      </c>
      <c r="T16" s="18">
        <f>'Formato 6 a)'!F23</f>
        <v>156906.87</v>
      </c>
      <c r="U16" s="18">
        <f>'Formato 6 a)'!G23</f>
        <v>49069.97000000003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533103.8796524941</v>
      </c>
      <c r="Q17" s="18">
        <f>'Formato 6 a)'!C24</f>
        <v>53449.160347505938</v>
      </c>
      <c r="R17" s="18">
        <f>'Formato 6 a)'!D24</f>
        <v>586553.04</v>
      </c>
      <c r="S17" s="18">
        <f>'Formato 6 a)'!E24</f>
        <v>481980.93</v>
      </c>
      <c r="T17" s="18">
        <f>'Formato 6 a)'!F24</f>
        <v>481980.93</v>
      </c>
      <c r="U17" s="18">
        <f>'Formato 6 a)'!G24</f>
        <v>104572.11000000004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458996</v>
      </c>
      <c r="Q18" s="18">
        <f>'Formato 6 a)'!C25</f>
        <v>-290251.59999999998</v>
      </c>
      <c r="R18" s="18">
        <f>'Formato 6 a)'!D25</f>
        <v>168744.4</v>
      </c>
      <c r="S18" s="18">
        <f>'Formato 6 a)'!E25</f>
        <v>164244.4</v>
      </c>
      <c r="T18" s="18">
        <f>'Formato 6 a)'!F25</f>
        <v>164244.4</v>
      </c>
      <c r="U18" s="18">
        <f>'Formato 6 a)'!G25</f>
        <v>4500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232400</v>
      </c>
      <c r="Q20" s="18">
        <f>'Formato 6 a)'!C27</f>
        <v>-71096.709999999992</v>
      </c>
      <c r="R20" s="18">
        <f>'Formato 6 a)'!D27</f>
        <v>161303.29</v>
      </c>
      <c r="S20" s="18">
        <f>'Formato 6 a)'!E27</f>
        <v>94300.11</v>
      </c>
      <c r="T20" s="18">
        <f>'Formato 6 a)'!F27</f>
        <v>94300.11</v>
      </c>
      <c r="U20" s="18">
        <f>'Formato 6 a)'!G27</f>
        <v>67003.180000000008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9512066.0513619632</v>
      </c>
      <c r="Q21" s="18">
        <f>'Formato 6 a)'!C28</f>
        <v>5884224.9851125814</v>
      </c>
      <c r="R21" s="18">
        <f>'Formato 6 a)'!D28</f>
        <v>15396291.036474545</v>
      </c>
      <c r="S21" s="18">
        <f>'Formato 6 a)'!E28</f>
        <v>12415321.359999999</v>
      </c>
      <c r="T21" s="18">
        <f>'Formato 6 a)'!F28</f>
        <v>12415321.359999999</v>
      </c>
      <c r="U21" s="18">
        <f>'Formato 6 a)'!G28</f>
        <v>2980969.6764745452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1657800</v>
      </c>
      <c r="Q22" s="18">
        <f>'Formato 6 a)'!C29</f>
        <v>-256046.86999999988</v>
      </c>
      <c r="R22" s="18">
        <f>'Formato 6 a)'!D29</f>
        <v>1401753.1300000001</v>
      </c>
      <c r="S22" s="18">
        <f>'Formato 6 a)'!E29</f>
        <v>1013214.8300000001</v>
      </c>
      <c r="T22" s="18">
        <f>'Formato 6 a)'!F29</f>
        <v>1013214.8300000001</v>
      </c>
      <c r="U22" s="18">
        <f>'Formato 6 a)'!G29</f>
        <v>388538.30000000005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691118.71200000006</v>
      </c>
      <c r="Q23" s="18">
        <f>'Formato 6 a)'!C30</f>
        <v>6034.9479999999749</v>
      </c>
      <c r="R23" s="18">
        <f>'Formato 6 a)'!D30</f>
        <v>697153.66</v>
      </c>
      <c r="S23" s="18">
        <f>'Formato 6 a)'!E30</f>
        <v>681948.68</v>
      </c>
      <c r="T23" s="18">
        <f>'Formato 6 a)'!F30</f>
        <v>681948.68</v>
      </c>
      <c r="U23" s="18">
        <f>'Formato 6 a)'!G30</f>
        <v>15204.979999999981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345400</v>
      </c>
      <c r="Q24" s="18">
        <f>'Formato 6 a)'!C31</f>
        <v>-128363.93</v>
      </c>
      <c r="R24" s="18">
        <f>'Formato 6 a)'!D31</f>
        <v>217036.07</v>
      </c>
      <c r="S24" s="18">
        <f>'Formato 6 a)'!E31</f>
        <v>168208.57</v>
      </c>
      <c r="T24" s="18">
        <f>'Formato 6 a)'!F31</f>
        <v>168208.57</v>
      </c>
      <c r="U24" s="18">
        <f>'Formato 6 a)'!G31</f>
        <v>48827.5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822305.74308323767</v>
      </c>
      <c r="Q25" s="18">
        <f>'Formato 6 a)'!C32</f>
        <v>-157755.054</v>
      </c>
      <c r="R25" s="18">
        <f>'Formato 6 a)'!D32</f>
        <v>664550.68908323767</v>
      </c>
      <c r="S25" s="18">
        <f>'Formato 6 a)'!E32</f>
        <v>658097.79</v>
      </c>
      <c r="T25" s="18">
        <f>'Formato 6 a)'!F32</f>
        <v>658097.79</v>
      </c>
      <c r="U25" s="18">
        <f>'Formato 6 a)'!G32</f>
        <v>6452.8990832376294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2056560</v>
      </c>
      <c r="Q26" s="18">
        <f>'Formato 6 a)'!C33</f>
        <v>700973.70000000065</v>
      </c>
      <c r="R26" s="18">
        <f>'Formato 6 a)'!D33</f>
        <v>2757533.7000000007</v>
      </c>
      <c r="S26" s="18">
        <f>'Formato 6 a)'!E33</f>
        <v>2542235.7699999996</v>
      </c>
      <c r="T26" s="18">
        <f>'Formato 6 a)'!F33</f>
        <v>2542235.7699999996</v>
      </c>
      <c r="U26" s="18">
        <f>'Formato 6 a)'!G33</f>
        <v>215297.9300000011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2449947.8249565223</v>
      </c>
      <c r="Q27" s="18">
        <f>'Formato 6 a)'!C34</f>
        <v>132693.90243478399</v>
      </c>
      <c r="R27" s="18">
        <f>'Formato 6 a)'!D34</f>
        <v>2582641.7273913063</v>
      </c>
      <c r="S27" s="18">
        <f>'Formato 6 a)'!E34</f>
        <v>2087923.87</v>
      </c>
      <c r="T27" s="18">
        <f>'Formato 6 a)'!F34</f>
        <v>2087923.87</v>
      </c>
      <c r="U27" s="18">
        <f>'Formato 6 a)'!G34</f>
        <v>494717.8573913062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141017.63</v>
      </c>
      <c r="Q28" s="18">
        <f>'Formato 6 a)'!C35</f>
        <v>97112.860000000015</v>
      </c>
      <c r="R28" s="18">
        <f>'Formato 6 a)'!D35</f>
        <v>238130.49000000002</v>
      </c>
      <c r="S28" s="18">
        <f>'Formato 6 a)'!E35</f>
        <v>347113.3</v>
      </c>
      <c r="T28" s="18">
        <f>'Formato 6 a)'!F35</f>
        <v>347113.3</v>
      </c>
      <c r="U28" s="18">
        <f>'Formato 6 a)'!G35</f>
        <v>-108982.80999999997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871075.36</v>
      </c>
      <c r="Q29" s="18">
        <f>'Formato 6 a)'!C36</f>
        <v>5473605.6299999999</v>
      </c>
      <c r="R29" s="18">
        <f>'Formato 6 a)'!D36</f>
        <v>6344680.9900000002</v>
      </c>
      <c r="S29" s="18">
        <f>'Formato 6 a)'!E36</f>
        <v>4543509.8899999997</v>
      </c>
      <c r="T29" s="18">
        <f>'Formato 6 a)'!F36</f>
        <v>4543509.8899999997</v>
      </c>
      <c r="U29" s="18">
        <f>'Formato 6 a)'!G36</f>
        <v>1801171.1000000006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476840.78132220317</v>
      </c>
      <c r="Q30" s="18">
        <f>'Formato 6 a)'!C37</f>
        <v>15969.798677796847</v>
      </c>
      <c r="R30" s="18">
        <f>'Formato 6 a)'!D37</f>
        <v>492810.58</v>
      </c>
      <c r="S30" s="18">
        <f>'Formato 6 a)'!E37</f>
        <v>373068.66</v>
      </c>
      <c r="T30" s="18">
        <f>'Formato 6 a)'!F37</f>
        <v>373068.66</v>
      </c>
      <c r="U30" s="18">
        <f>'Formato 6 a)'!G37</f>
        <v>119741.92000000004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442504</v>
      </c>
      <c r="Q41" s="18">
        <f>'Formato 6 a)'!C48</f>
        <v>-81965.459999999992</v>
      </c>
      <c r="R41" s="18">
        <f>'Formato 6 a)'!D48</f>
        <v>360538.54000000004</v>
      </c>
      <c r="S41" s="18">
        <f>'Formato 6 a)'!E48</f>
        <v>1123466.42</v>
      </c>
      <c r="T41" s="18">
        <f>'Formato 6 a)'!F48</f>
        <v>1123466.42</v>
      </c>
      <c r="U41" s="18">
        <f>'Formato 6 a)'!G48</f>
        <v>-762927.88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92004</v>
      </c>
      <c r="Q42" s="18">
        <f>'Formato 6 a)'!C49</f>
        <v>-23027.559999999998</v>
      </c>
      <c r="R42" s="18">
        <f>'Formato 6 a)'!D49</f>
        <v>68976.44</v>
      </c>
      <c r="S42" s="18">
        <f>'Formato 6 a)'!E49</f>
        <v>68976.44</v>
      </c>
      <c r="T42" s="18">
        <f>'Formato 6 a)'!F49</f>
        <v>68976.44</v>
      </c>
      <c r="U42" s="18">
        <f>'Formato 6 a)'!G49</f>
        <v>0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30000</v>
      </c>
      <c r="Q44" s="18">
        <f>'Formato 6 a)'!C51</f>
        <v>-30000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140500</v>
      </c>
      <c r="Q47" s="18">
        <f>'Formato 6 a)'!C54</f>
        <v>-28937.899999999994</v>
      </c>
      <c r="R47" s="18">
        <f>'Formato 6 a)'!D54</f>
        <v>111562.1</v>
      </c>
      <c r="S47" s="18">
        <f>'Formato 6 a)'!E54</f>
        <v>124089.98000000001</v>
      </c>
      <c r="T47" s="18">
        <f>'Formato 6 a)'!F54</f>
        <v>124089.98000000001</v>
      </c>
      <c r="U47" s="18">
        <f>'Formato 6 a)'!G54</f>
        <v>-12527.880000000005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180000</v>
      </c>
      <c r="Q48" s="18">
        <f>'Formato 6 a)'!C55</f>
        <v>0</v>
      </c>
      <c r="R48" s="18">
        <f>'Formato 6 a)'!D55</f>
        <v>180000</v>
      </c>
      <c r="S48" s="18">
        <f>'Formato 6 a)'!E55</f>
        <v>930400</v>
      </c>
      <c r="T48" s="18">
        <f>'Formato 6 a)'!F55</f>
        <v>930400</v>
      </c>
      <c r="U48" s="18">
        <f>'Formato 6 a)'!G55</f>
        <v>-750400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1224906.31</v>
      </c>
      <c r="Q51" s="18">
        <f>'Formato 6 a)'!C58</f>
        <v>15111545.460000001</v>
      </c>
      <c r="R51" s="18">
        <f>'Formato 6 a)'!D58</f>
        <v>16336451.770000001</v>
      </c>
      <c r="S51" s="18">
        <f>'Formato 6 a)'!E58</f>
        <v>14498726.75</v>
      </c>
      <c r="T51" s="18">
        <f>'Formato 6 a)'!F58</f>
        <v>14498726.75</v>
      </c>
      <c r="U51" s="18">
        <f>'Formato 6 a)'!G58</f>
        <v>1837725.0200000014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1224906.31</v>
      </c>
      <c r="Q52" s="18">
        <f>'Formato 6 a)'!C59</f>
        <v>15111545.460000001</v>
      </c>
      <c r="R52" s="18">
        <f>'Formato 6 a)'!D59</f>
        <v>16336451.770000001</v>
      </c>
      <c r="S52" s="18">
        <f>'Formato 6 a)'!E59</f>
        <v>14498726.75</v>
      </c>
      <c r="T52" s="18">
        <f>'Formato 6 a)'!F59</f>
        <v>14498726.75</v>
      </c>
      <c r="U52" s="18">
        <f>'Formato 6 a)'!G59</f>
        <v>1837725.0200000014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55320665.313184001</v>
      </c>
      <c r="Q150">
        <f>'Formato 6 a)'!C159</f>
        <v>20244323.451345526</v>
      </c>
      <c r="R150">
        <f>'Formato 6 a)'!D159</f>
        <v>75564988.764529526</v>
      </c>
      <c r="S150">
        <f>'Formato 6 a)'!E159</f>
        <v>60468435.520000003</v>
      </c>
      <c r="T150">
        <f>'Formato 6 a)'!F159</f>
        <v>60468435.520000003</v>
      </c>
      <c r="U150">
        <f>'Formato 6 a)'!G159</f>
        <v>15096553.244529525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G31"/>
  <sheetViews>
    <sheetView showGridLines="0" zoomScale="90" zoomScaleNormal="90" workbookViewId="0">
      <selection activeCell="C10" sqref="C10:F16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2" t="s">
        <v>3290</v>
      </c>
      <c r="B1" s="172"/>
      <c r="C1" s="172"/>
      <c r="D1" s="172"/>
      <c r="E1" s="172"/>
      <c r="F1" s="172"/>
      <c r="G1" s="172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277</v>
      </c>
      <c r="B3" s="157"/>
      <c r="C3" s="157"/>
      <c r="D3" s="157"/>
      <c r="E3" s="157"/>
      <c r="F3" s="157"/>
      <c r="G3" s="158"/>
    </row>
    <row r="4" spans="1:7" x14ac:dyDescent="0.25">
      <c r="A4" s="156" t="s">
        <v>431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septiembre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0</v>
      </c>
      <c r="B7" s="170" t="s">
        <v>279</v>
      </c>
      <c r="C7" s="170"/>
      <c r="D7" s="170"/>
      <c r="E7" s="170"/>
      <c r="F7" s="170"/>
      <c r="G7" s="174" t="s">
        <v>280</v>
      </c>
    </row>
    <row r="8" spans="1:7" ht="30" x14ac:dyDescent="0.25">
      <c r="A8" s="169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3"/>
    </row>
    <row r="9" spans="1:7" ht="14.25" x14ac:dyDescent="0.45">
      <c r="A9" s="52" t="s">
        <v>440</v>
      </c>
      <c r="B9" s="59">
        <f>SUM(B10:GASTO_NE_FIN_01)</f>
        <v>55320665.313184001</v>
      </c>
      <c r="C9" s="59">
        <f>SUM(C10:GASTO_NE_FIN_02)</f>
        <v>20244323.451345537</v>
      </c>
      <c r="D9" s="59">
        <f>SUM(D10:GASTO_NE_FIN_03)</f>
        <v>75564988.764529526</v>
      </c>
      <c r="E9" s="59">
        <f>SUM(E10:GASTO_NE_FIN_04)</f>
        <v>60468435.519999996</v>
      </c>
      <c r="F9" s="59">
        <f>SUM(F10:GASTO_NE_FIN_05)</f>
        <v>60468435.519999996</v>
      </c>
      <c r="G9" s="59">
        <f>SUM(G10:GASTO_NE_FIN_06)</f>
        <v>15096553.244529536</v>
      </c>
    </row>
    <row r="10" spans="1:7" s="24" customFormat="1" x14ac:dyDescent="0.25">
      <c r="A10" s="144" t="s">
        <v>3303</v>
      </c>
      <c r="B10" s="60">
        <v>16379275.19783143</v>
      </c>
      <c r="C10" s="60">
        <v>-126849.55561045557</v>
      </c>
      <c r="D10" s="60">
        <v>16252425.642220974</v>
      </c>
      <c r="E10" s="60">
        <v>12342403.880000001</v>
      </c>
      <c r="F10" s="60">
        <v>12342403.880000001</v>
      </c>
      <c r="G10" s="77">
        <f>D10-E10</f>
        <v>3910021.7622209731</v>
      </c>
    </row>
    <row r="11" spans="1:7" s="24" customFormat="1" x14ac:dyDescent="0.25">
      <c r="A11" s="144" t="s">
        <v>3304</v>
      </c>
      <c r="B11" s="60">
        <v>9903606.5876404792</v>
      </c>
      <c r="C11" s="60">
        <v>-432752.28343249671</v>
      </c>
      <c r="D11" s="60">
        <v>9470854.3042079825</v>
      </c>
      <c r="E11" s="60">
        <v>7788487.8399999999</v>
      </c>
      <c r="F11" s="60">
        <v>7788487.8399999999</v>
      </c>
      <c r="G11" s="77">
        <f t="shared" ref="G11:G17" si="0">D11-E11</f>
        <v>1682366.4642079826</v>
      </c>
    </row>
    <row r="12" spans="1:7" s="24" customFormat="1" x14ac:dyDescent="0.25">
      <c r="A12" s="144" t="s">
        <v>3305</v>
      </c>
      <c r="B12" s="60">
        <v>1715792.3130070253</v>
      </c>
      <c r="C12" s="60">
        <v>5545714.3754187487</v>
      </c>
      <c r="D12" s="60">
        <v>7261506.6884257738</v>
      </c>
      <c r="E12" s="60">
        <v>5301708.42</v>
      </c>
      <c r="F12" s="60">
        <v>5301708.42</v>
      </c>
      <c r="G12" s="77">
        <f t="shared" si="0"/>
        <v>1959798.2684257738</v>
      </c>
    </row>
    <row r="13" spans="1:7" s="24" customFormat="1" x14ac:dyDescent="0.25">
      <c r="A13" s="144" t="s">
        <v>3306</v>
      </c>
      <c r="B13" s="60">
        <v>20050342.09035527</v>
      </c>
      <c r="C13" s="60">
        <v>15993914.887960099</v>
      </c>
      <c r="D13" s="60">
        <v>36044256.978315368</v>
      </c>
      <c r="E13" s="60">
        <v>30516330.289999999</v>
      </c>
      <c r="F13" s="60">
        <v>30516330.289999999</v>
      </c>
      <c r="G13" s="77">
        <f t="shared" si="0"/>
        <v>5527926.6883153692</v>
      </c>
    </row>
    <row r="14" spans="1:7" s="24" customFormat="1" x14ac:dyDescent="0.25">
      <c r="A14" s="144" t="s">
        <v>3307</v>
      </c>
      <c r="B14" s="60">
        <v>5094110.8537624869</v>
      </c>
      <c r="C14" s="60">
        <v>-114450.50380749907</v>
      </c>
      <c r="D14" s="60">
        <v>4979660.3499549879</v>
      </c>
      <c r="E14" s="60">
        <v>3614125.71</v>
      </c>
      <c r="F14" s="60">
        <v>3614125.71</v>
      </c>
      <c r="G14" s="77">
        <f t="shared" si="0"/>
        <v>1365534.6399549879</v>
      </c>
    </row>
    <row r="15" spans="1:7" s="24" customFormat="1" x14ac:dyDescent="0.25">
      <c r="A15" s="144" t="s">
        <v>3308</v>
      </c>
      <c r="B15" s="60">
        <v>1394124.0895128741</v>
      </c>
      <c r="C15" s="60">
        <v>-155686.13204000029</v>
      </c>
      <c r="D15" s="60">
        <v>1238437.9574728739</v>
      </c>
      <c r="E15" s="60">
        <v>866968.01</v>
      </c>
      <c r="F15" s="60">
        <v>866968.01</v>
      </c>
      <c r="G15" s="77">
        <f t="shared" si="0"/>
        <v>371469.94747287384</v>
      </c>
    </row>
    <row r="16" spans="1:7" s="24" customFormat="1" x14ac:dyDescent="0.25">
      <c r="A16" s="144" t="s">
        <v>3309</v>
      </c>
      <c r="B16" s="60">
        <v>783414.18107443256</v>
      </c>
      <c r="C16" s="60">
        <v>-465567.33714285732</v>
      </c>
      <c r="D16" s="60">
        <v>317846.84393157525</v>
      </c>
      <c r="E16" s="60">
        <v>38411.370000000003</v>
      </c>
      <c r="F16" s="60">
        <v>38411.370000000003</v>
      </c>
      <c r="G16" s="77">
        <f t="shared" si="0"/>
        <v>279435.47393157525</v>
      </c>
    </row>
    <row r="17" spans="1:7" s="24" customFormat="1" ht="14.25" x14ac:dyDescent="0.4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55320665.313184001</v>
      </c>
      <c r="C29" s="61">
        <f>GASTO_NE_T2+GASTO_E_T2</f>
        <v>20244323.451345537</v>
      </c>
      <c r="D29" s="61">
        <f>GASTO_NE_T3+GASTO_E_T3</f>
        <v>75564988.764529526</v>
      </c>
      <c r="E29" s="61">
        <f>GASTO_NE_T4+GASTO_E_T4</f>
        <v>60468435.519999996</v>
      </c>
      <c r="F29" s="61">
        <f>GASTO_NE_T5+GASTO_E_T5</f>
        <v>60468435.519999996</v>
      </c>
      <c r="G29" s="61">
        <f>GASTO_NE_T6+GASTO_E_T6</f>
        <v>15096553.244529536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55320665.313184001</v>
      </c>
      <c r="Q2" s="18">
        <f>GASTO_NE_T2</f>
        <v>20244323.451345537</v>
      </c>
      <c r="R2" s="18">
        <f>GASTO_NE_T3</f>
        <v>75564988.764529526</v>
      </c>
      <c r="S2" s="18">
        <f>GASTO_NE_T4</f>
        <v>60468435.519999996</v>
      </c>
      <c r="T2" s="18">
        <f>GASTO_NE_T5</f>
        <v>60468435.519999996</v>
      </c>
      <c r="U2" s="18">
        <f>GASTO_NE_T6</f>
        <v>15096553.244529536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55320665.313184001</v>
      </c>
      <c r="Q4" s="18">
        <f>TOTAL_E_T2</f>
        <v>20244323.451345537</v>
      </c>
      <c r="R4" s="18">
        <f>TOTAL_E_T3</f>
        <v>75564988.764529526</v>
      </c>
      <c r="S4" s="18">
        <f>TOTAL_E_T4</f>
        <v>60468435.519999996</v>
      </c>
      <c r="T4" s="18">
        <f>TOTAL_E_T5</f>
        <v>60468435.519999996</v>
      </c>
      <c r="U4" s="18">
        <f>TOTAL_E_T6</f>
        <v>15096553.244529536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XFC78"/>
  <sheetViews>
    <sheetView showGridLines="0" zoomScale="90" zoomScaleNormal="90" workbookViewId="0">
      <selection activeCell="C20" sqref="C20:F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8" t="s">
        <v>3289</v>
      </c>
      <c r="B1" s="179"/>
      <c r="C1" s="179"/>
      <c r="D1" s="179"/>
      <c r="E1" s="179"/>
      <c r="F1" s="179"/>
      <c r="G1" s="179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396</v>
      </c>
      <c r="B3" s="157"/>
      <c r="C3" s="157"/>
      <c r="D3" s="157"/>
      <c r="E3" s="157"/>
      <c r="F3" s="157"/>
      <c r="G3" s="158"/>
    </row>
    <row r="4" spans="1:7" x14ac:dyDescent="0.25">
      <c r="A4" s="156" t="s">
        <v>397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septiembre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57" t="s">
        <v>0</v>
      </c>
      <c r="B7" s="162" t="s">
        <v>279</v>
      </c>
      <c r="C7" s="163"/>
      <c r="D7" s="163"/>
      <c r="E7" s="163"/>
      <c r="F7" s="164"/>
      <c r="G7" s="174" t="s">
        <v>3286</v>
      </c>
    </row>
    <row r="8" spans="1:7" ht="30.75" customHeight="1" x14ac:dyDescent="0.25">
      <c r="A8" s="157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3"/>
    </row>
    <row r="9" spans="1:7" ht="14.25" x14ac:dyDescent="0.45">
      <c r="A9" s="52" t="s">
        <v>363</v>
      </c>
      <c r="B9" s="70">
        <f>SUM(B10,B19,B27,B37)</f>
        <v>55320665.313184008</v>
      </c>
      <c r="C9" s="70">
        <f t="shared" ref="C9:G9" si="0">SUM(C10,C19,C27,C37)</f>
        <v>20244323.451345526</v>
      </c>
      <c r="D9" s="70">
        <f t="shared" si="0"/>
        <v>75564988.764529541</v>
      </c>
      <c r="E9" s="70">
        <f t="shared" si="0"/>
        <v>60468435.519999981</v>
      </c>
      <c r="F9" s="70">
        <f t="shared" si="0"/>
        <v>60468435.519999981</v>
      </c>
      <c r="G9" s="70">
        <f t="shared" si="0"/>
        <v>15096553.24452956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55320665.313184008</v>
      </c>
      <c r="C19" s="71">
        <f t="shared" ref="C19:F19" si="3">SUM(C20:C26)</f>
        <v>20244323.451345526</v>
      </c>
      <c r="D19" s="71">
        <f t="shared" si="3"/>
        <v>75564988.764529541</v>
      </c>
      <c r="E19" s="71">
        <f t="shared" si="3"/>
        <v>60468435.519999981</v>
      </c>
      <c r="F19" s="71">
        <f t="shared" si="3"/>
        <v>60468435.519999981</v>
      </c>
      <c r="G19" s="71">
        <f>SUM(G20:G26)</f>
        <v>15096553.24452956</v>
      </c>
    </row>
    <row r="20" spans="1:7" x14ac:dyDescent="0.25">
      <c r="A20" s="63" t="s">
        <v>374</v>
      </c>
      <c r="B20" s="71">
        <v>55320665.313184008</v>
      </c>
      <c r="C20" s="71">
        <v>20244323.451345526</v>
      </c>
      <c r="D20" s="71">
        <v>75564988.764529541</v>
      </c>
      <c r="E20" s="71">
        <v>60468435.519999981</v>
      </c>
      <c r="F20" s="71">
        <v>60468435.519999981</v>
      </c>
      <c r="G20" s="72">
        <f>D20-E20</f>
        <v>15096553.24452956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55320665.313184008</v>
      </c>
      <c r="C77" s="73">
        <f t="shared" ref="C77:F77" si="18">C43+C9</f>
        <v>20244323.451345526</v>
      </c>
      <c r="D77" s="73">
        <f t="shared" si="18"/>
        <v>75564988.764529541</v>
      </c>
      <c r="E77" s="73">
        <f t="shared" si="18"/>
        <v>60468435.519999981</v>
      </c>
      <c r="F77" s="73">
        <f t="shared" si="18"/>
        <v>60468435.519999981</v>
      </c>
      <c r="G77" s="73">
        <f>G43+G9</f>
        <v>15096553.24452956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2" fitToHeight="2" orientation="landscape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55320665.313184008</v>
      </c>
      <c r="Q2" s="18">
        <f>'Formato 6 c)'!C9</f>
        <v>20244323.451345526</v>
      </c>
      <c r="R2" s="18">
        <f>'Formato 6 c)'!D9</f>
        <v>75564988.764529541</v>
      </c>
      <c r="S2" s="18">
        <f>'Formato 6 c)'!E9</f>
        <v>60468435.519999981</v>
      </c>
      <c r="T2" s="18">
        <f>'Formato 6 c)'!F9</f>
        <v>60468435.519999981</v>
      </c>
      <c r="U2" s="18">
        <f>'Formato 6 c)'!G9</f>
        <v>15096553.24452956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55320665.313184008</v>
      </c>
      <c r="Q12" s="18">
        <f>'Formato 6 c)'!C19</f>
        <v>20244323.451345526</v>
      </c>
      <c r="R12" s="18">
        <f>'Formato 6 c)'!D19</f>
        <v>75564988.764529541</v>
      </c>
      <c r="S12" s="18">
        <f>'Formato 6 c)'!E19</f>
        <v>60468435.519999981</v>
      </c>
      <c r="T12" s="18">
        <f>'Formato 6 c)'!F19</f>
        <v>60468435.519999981</v>
      </c>
      <c r="U12" s="18">
        <f>'Formato 6 c)'!G19</f>
        <v>15096553.24452956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55320665.313184008</v>
      </c>
      <c r="Q13" s="18">
        <f>'Formato 6 c)'!C20</f>
        <v>20244323.451345526</v>
      </c>
      <c r="R13" s="18">
        <f>'Formato 6 c)'!D20</f>
        <v>75564988.764529541</v>
      </c>
      <c r="S13" s="18">
        <f>'Formato 6 c)'!E20</f>
        <v>60468435.519999981</v>
      </c>
      <c r="T13" s="18">
        <f>'Formato 6 c)'!F20</f>
        <v>60468435.519999981</v>
      </c>
      <c r="U13" s="18">
        <f>'Formato 6 c)'!G20</f>
        <v>15096553.24452956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55320665.313184008</v>
      </c>
      <c r="Q68" s="18">
        <f>'Formato 6 c)'!C77</f>
        <v>20244323.451345526</v>
      </c>
      <c r="R68" s="18">
        <f>'Formato 6 c)'!D77</f>
        <v>75564988.764529541</v>
      </c>
      <c r="S68" s="18">
        <f>'Formato 6 c)'!E77</f>
        <v>60468435.519999981</v>
      </c>
      <c r="T68" s="18">
        <f>'Formato 6 c)'!F77</f>
        <v>60468435.519999981</v>
      </c>
      <c r="U68" s="18">
        <f>'Formato 6 c)'!G77</f>
        <v>15096553.24452956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2018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3</v>
      </c>
    </row>
    <row r="16" spans="2:3" ht="14.25" x14ac:dyDescent="0.4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septiembre de 2018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septiembre de 2018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septiembre de 2018 (m = g – l)</v>
      </c>
    </row>
    <row r="20" spans="4:9" ht="57" x14ac:dyDescent="0.45">
      <c r="D20" s="21" t="str">
        <f>CONCATENATE(ANIO_INFORME, " (d)")</f>
        <v>2018 (d)</v>
      </c>
      <c r="E20" s="22" t="str">
        <f>CONCATENATE("31 de diciembre de ",ANIO_INFORME-1, " (e)")</f>
        <v>31 de diciembre de 2017 (e)</v>
      </c>
      <c r="F20" s="31" t="str">
        <f>CONCATENATE("Saldo al 31 de diciembre de ",ANIO_INFORME-1, " (d)")</f>
        <v>Saldo al 31 de diciembre de 2017 (d)</v>
      </c>
    </row>
    <row r="23" spans="4:9" ht="14.25" x14ac:dyDescent="0.45">
      <c r="D23" s="33">
        <f>ANIO_INFORME + 1</f>
        <v>2019</v>
      </c>
      <c r="E23" s="34" t="str">
        <f>CONCATENATE(ANIO_INFORME + 2, " (d)")</f>
        <v>2020 (d)</v>
      </c>
      <c r="F23" s="34" t="str">
        <f>CONCATENATE(ANIO_INFORME + 3, " (d)")</f>
        <v>2021 (d)</v>
      </c>
      <c r="G23" s="34" t="str">
        <f>CONCATENATE(ANIO_INFORME + 4, " (d)")</f>
        <v>2022 (d)</v>
      </c>
      <c r="H23" s="34" t="str">
        <f>CONCATENATE(ANIO_INFORME + 5, " (d)")</f>
        <v>2023 (d)</v>
      </c>
      <c r="I23" s="34" t="str">
        <f>CONCATENATE(ANIO_INFORME + 6, " (d)")</f>
        <v>2024 (d)</v>
      </c>
    </row>
    <row r="25" spans="4:9" x14ac:dyDescent="0.25">
      <c r="D25" s="35" t="str">
        <f>CONCATENATE(ANIO_INFORME - 5, " ",CHAR(185)," (c)")</f>
        <v>2013 ¹ (c)</v>
      </c>
      <c r="E25" s="35" t="str">
        <f>CONCATENATE(ANIO_INFORME - 4, " ",CHAR(185)," (c)")</f>
        <v>2014 ¹ (c)</v>
      </c>
      <c r="F25" s="35" t="str">
        <f>CONCATENATE(ANIO_INFORME - 3, " ",CHAR(185)," (c)")</f>
        <v>2015 ¹ (c)</v>
      </c>
      <c r="G25" s="35" t="str">
        <f>CONCATENATE(ANIO_INFORME - 2, " ",CHAR(185)," (c)")</f>
        <v>2016 ¹ (c)</v>
      </c>
      <c r="H25" s="35" t="str">
        <f>CONCATENATE(ANIO_INFORME - 1, " ",CHAR(185)," (c)")</f>
        <v>2017 ¹ (c)</v>
      </c>
      <c r="I25" s="33">
        <f>ANIO_INFORME</f>
        <v>2018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4"/>
  <sheetViews>
    <sheetView showGridLines="0" zoomScale="90" zoomScaleNormal="90" workbookViewId="0">
      <selection activeCell="F11" sqref="F11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2" t="s">
        <v>3287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399</v>
      </c>
      <c r="B4" s="160"/>
      <c r="C4" s="160"/>
      <c r="D4" s="160"/>
      <c r="E4" s="160"/>
      <c r="F4" s="160"/>
      <c r="G4" s="161"/>
    </row>
    <row r="5" spans="1:7" ht="14.25" x14ac:dyDescent="0.45">
      <c r="A5" s="159" t="str">
        <f>TRIMESTRE</f>
        <v>Del 1 de enero al 30 de septiembre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361</v>
      </c>
      <c r="B7" s="173" t="s">
        <v>279</v>
      </c>
      <c r="C7" s="173"/>
      <c r="D7" s="173"/>
      <c r="E7" s="173"/>
      <c r="F7" s="173"/>
      <c r="G7" s="173" t="s">
        <v>280</v>
      </c>
    </row>
    <row r="8" spans="1:7" ht="29.25" customHeight="1" x14ac:dyDescent="0.25">
      <c r="A8" s="169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0"/>
    </row>
    <row r="9" spans="1:7" ht="14.25" x14ac:dyDescent="0.45">
      <c r="A9" s="52" t="s">
        <v>400</v>
      </c>
      <c r="B9" s="66">
        <f>SUM(B10,B11,B12,B15,B16,B19)</f>
        <v>29226287.537939217</v>
      </c>
      <c r="C9" s="66">
        <f t="shared" ref="C9:F9" si="0">SUM(C10,C11,C12,C15,C16,C19)</f>
        <v>-858565.88711456256</v>
      </c>
      <c r="D9" s="66">
        <f t="shared" si="0"/>
        <v>28367721.650824655</v>
      </c>
      <c r="E9" s="66">
        <f t="shared" si="0"/>
        <v>20318106.900000006</v>
      </c>
      <c r="F9" s="66">
        <f t="shared" si="0"/>
        <v>20318106.900000006</v>
      </c>
      <c r="G9" s="66">
        <f>SUM(G10,G11,G12,G15,G16,G19)</f>
        <v>8049614.7508246489</v>
      </c>
    </row>
    <row r="10" spans="1:7" x14ac:dyDescent="0.25">
      <c r="A10" s="53" t="s">
        <v>401</v>
      </c>
      <c r="B10" s="67">
        <v>29226287.537939217</v>
      </c>
      <c r="C10" s="67">
        <f>'Formato 6 a)'!C10</f>
        <v>-858565.88711456256</v>
      </c>
      <c r="D10" s="67">
        <f>B10+C10</f>
        <v>28367721.650824655</v>
      </c>
      <c r="E10" s="67">
        <f>'Formato 6 a)'!E10</f>
        <v>20318106.900000006</v>
      </c>
      <c r="F10" s="67">
        <f>E10</f>
        <v>20318106.900000006</v>
      </c>
      <c r="G10" s="67">
        <f>D10-E10</f>
        <v>8049614.7508246489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29226287.537939217</v>
      </c>
      <c r="C33" s="66">
        <f t="shared" ref="C33:G33" si="9">C21+C9</f>
        <v>-858565.88711456256</v>
      </c>
      <c r="D33" s="66">
        <f t="shared" si="9"/>
        <v>28367721.650824655</v>
      </c>
      <c r="E33" s="66">
        <f t="shared" si="9"/>
        <v>20318106.900000006</v>
      </c>
      <c r="F33" s="66">
        <f t="shared" si="9"/>
        <v>20318106.900000006</v>
      </c>
      <c r="G33" s="66">
        <f t="shared" si="9"/>
        <v>8049614.7508246489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29226287.537939217</v>
      </c>
      <c r="Q2" s="18">
        <f>'Formato 6 d)'!C9</f>
        <v>-858565.88711456256</v>
      </c>
      <c r="R2" s="18">
        <f>'Formato 6 d)'!D9</f>
        <v>28367721.650824655</v>
      </c>
      <c r="S2" s="18">
        <f>'Formato 6 d)'!E9</f>
        <v>20318106.900000006</v>
      </c>
      <c r="T2" s="18">
        <f>'Formato 6 d)'!F9</f>
        <v>20318106.900000006</v>
      </c>
      <c r="U2" s="18">
        <f>'Formato 6 d)'!G9</f>
        <v>8049614.7508246489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29226287.537939217</v>
      </c>
      <c r="Q3" s="18">
        <f>'Formato 6 d)'!C10</f>
        <v>-858565.88711456256</v>
      </c>
      <c r="R3" s="18">
        <f>'Formato 6 d)'!D10</f>
        <v>28367721.650824655</v>
      </c>
      <c r="S3" s="18">
        <f>'Formato 6 d)'!E10</f>
        <v>20318106.900000006</v>
      </c>
      <c r="T3" s="18">
        <f>'Formato 6 d)'!F10</f>
        <v>20318106.900000006</v>
      </c>
      <c r="U3" s="18">
        <f>'Formato 6 d)'!G10</f>
        <v>8049614.7508246489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29226287.537939217</v>
      </c>
      <c r="Q24" s="18">
        <f>'Formato 6 d)'!C33</f>
        <v>-858565.88711456256</v>
      </c>
      <c r="R24" s="18">
        <f>'Formato 6 d)'!D33</f>
        <v>28367721.650824655</v>
      </c>
      <c r="S24" s="18">
        <f>'Formato 6 d)'!E33</f>
        <v>20318106.900000006</v>
      </c>
      <c r="T24" s="18">
        <f>'Formato 6 d)'!F33</f>
        <v>20318106.900000006</v>
      </c>
      <c r="U24" s="18">
        <f>'Formato 6 d)'!G33</f>
        <v>8049614.7508246489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B13" sqref="B13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1" t="s">
        <v>413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414</v>
      </c>
      <c r="B3" s="157"/>
      <c r="C3" s="157"/>
      <c r="D3" s="157"/>
      <c r="E3" s="157"/>
      <c r="F3" s="157"/>
      <c r="G3" s="158"/>
    </row>
    <row r="4" spans="1:7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x14ac:dyDescent="0.25">
      <c r="A6" s="168" t="s">
        <v>3288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ht="48" customHeight="1" x14ac:dyDescent="0.25">
      <c r="A7" s="169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1" t="s">
        <v>451</v>
      </c>
      <c r="B1" s="171"/>
      <c r="C1" s="171"/>
      <c r="D1" s="171"/>
      <c r="E1" s="171"/>
      <c r="F1" s="171"/>
      <c r="G1" s="171"/>
    </row>
    <row r="2" spans="1:7" customFormat="1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customFormat="1" ht="14.25" x14ac:dyDescent="0.45">
      <c r="A3" s="156" t="s">
        <v>452</v>
      </c>
      <c r="B3" s="157"/>
      <c r="C3" s="157"/>
      <c r="D3" s="157"/>
      <c r="E3" s="157"/>
      <c r="F3" s="157"/>
      <c r="G3" s="158"/>
    </row>
    <row r="4" spans="1:7" customFormat="1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customFormat="1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customFormat="1" x14ac:dyDescent="0.25">
      <c r="A6" s="183" t="s">
        <v>3142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customFormat="1" ht="48" customHeight="1" x14ac:dyDescent="0.25">
      <c r="A7" s="184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466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467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88" t="s">
        <v>3288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89"/>
      <c r="B6" s="187"/>
      <c r="C6" s="187"/>
      <c r="D6" s="187"/>
      <c r="E6" s="187"/>
      <c r="F6" s="187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5" t="s">
        <v>3292</v>
      </c>
      <c r="B39" s="185"/>
      <c r="C39" s="185"/>
      <c r="D39" s="185"/>
      <c r="E39" s="185"/>
      <c r="F39" s="185"/>
      <c r="G39" s="185"/>
    </row>
    <row r="40" spans="1:7" ht="15" customHeight="1" x14ac:dyDescent="0.25">
      <c r="A40" s="185" t="s">
        <v>3293</v>
      </c>
      <c r="B40" s="185"/>
      <c r="C40" s="185"/>
      <c r="D40" s="185"/>
      <c r="E40" s="185"/>
      <c r="F40" s="185"/>
      <c r="G40" s="185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490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491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90" t="s">
        <v>3142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91"/>
      <c r="B6" s="187"/>
      <c r="C6" s="187"/>
      <c r="D6" s="187"/>
      <c r="E6" s="187"/>
      <c r="F6" s="187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5" t="s">
        <v>3292</v>
      </c>
      <c r="B32" s="185"/>
      <c r="C32" s="185"/>
      <c r="D32" s="185"/>
      <c r="E32" s="185"/>
      <c r="F32" s="185"/>
      <c r="G32" s="185"/>
    </row>
    <row r="33" spans="1:7" x14ac:dyDescent="0.25">
      <c r="A33" s="185" t="s">
        <v>3293</v>
      </c>
      <c r="B33" s="185"/>
      <c r="C33" s="185"/>
      <c r="D33" s="185"/>
      <c r="E33" s="185"/>
      <c r="F33" s="185"/>
      <c r="G33" s="185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5" t="s">
        <v>495</v>
      </c>
      <c r="B1" s="165"/>
      <c r="C1" s="165"/>
      <c r="D1" s="165"/>
      <c r="E1" s="165"/>
      <c r="F1" s="165"/>
      <c r="G1" s="111"/>
    </row>
    <row r="2" spans="1:7" ht="14.25" x14ac:dyDescent="0.45">
      <c r="A2" s="153" t="str">
        <f>ENTE_PUBLICO</f>
        <v>PATRONATO DEL PARQUE ZOOLÓGICO DE LEÓN, Gobierno del Estado de Guanajuato</v>
      </c>
      <c r="B2" s="154"/>
      <c r="C2" s="154"/>
      <c r="D2" s="154"/>
      <c r="E2" s="154"/>
      <c r="F2" s="155"/>
    </row>
    <row r="3" spans="1:7" ht="14.25" x14ac:dyDescent="0.45">
      <c r="A3" s="162" t="s">
        <v>496</v>
      </c>
      <c r="B3" s="163"/>
      <c r="C3" s="163"/>
      <c r="D3" s="163"/>
      <c r="E3" s="163"/>
      <c r="F3" s="164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zoomScale="90" zoomScaleNormal="90" workbookViewId="0">
      <selection activeCell="E70" sqref="E70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5" t="s">
        <v>545</v>
      </c>
      <c r="B1" s="165"/>
      <c r="C1" s="165"/>
      <c r="D1" s="165"/>
      <c r="E1" s="165"/>
      <c r="F1" s="165"/>
    </row>
    <row r="2" spans="1:6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5"/>
    </row>
    <row r="3" spans="1:6" x14ac:dyDescent="0.25">
      <c r="A3" s="156" t="s">
        <v>117</v>
      </c>
      <c r="B3" s="157"/>
      <c r="C3" s="157"/>
      <c r="D3" s="157"/>
      <c r="E3" s="157"/>
      <c r="F3" s="158"/>
    </row>
    <row r="4" spans="1:6" ht="14.25" x14ac:dyDescent="0.45">
      <c r="A4" s="159" t="str">
        <f>PERIODO_INFORME</f>
        <v>Al 31 de diciembre de 2017 y al 30 de septiembre de 2018 (b)</v>
      </c>
      <c r="B4" s="160"/>
      <c r="C4" s="160"/>
      <c r="D4" s="160"/>
      <c r="E4" s="160"/>
      <c r="F4" s="161"/>
    </row>
    <row r="5" spans="1:6" ht="14.25" x14ac:dyDescent="0.45">
      <c r="A5" s="162" t="s">
        <v>118</v>
      </c>
      <c r="B5" s="163"/>
      <c r="C5" s="163"/>
      <c r="D5" s="163"/>
      <c r="E5" s="163"/>
      <c r="F5" s="164"/>
    </row>
    <row r="6" spans="1:6" s="3" customFormat="1" ht="28.5" x14ac:dyDescent="0.45">
      <c r="A6" s="133" t="s">
        <v>3284</v>
      </c>
      <c r="B6" s="134" t="str">
        <f>ANIO</f>
        <v>2018 (d)</v>
      </c>
      <c r="C6" s="131" t="str">
        <f>ULTIMO</f>
        <v>31 de diciembre de 2017 (e)</v>
      </c>
      <c r="D6" s="135" t="s">
        <v>0</v>
      </c>
      <c r="E6" s="134" t="str">
        <f>ANIO</f>
        <v>2018 (d)</v>
      </c>
      <c r="F6" s="131" t="str">
        <f>ULTIMO</f>
        <v>31 de diciembre de 2017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1403894.51</v>
      </c>
      <c r="C9" s="60">
        <f>SUM(C10:C16)</f>
        <v>5350062.1500000004</v>
      </c>
      <c r="D9" s="100" t="s">
        <v>54</v>
      </c>
      <c r="E9" s="60">
        <f>SUM(E10:E18)</f>
        <v>2048828.81</v>
      </c>
      <c r="F9" s="60">
        <f>SUM(F10:F18)</f>
        <v>1082922.5</v>
      </c>
    </row>
    <row r="10" spans="1:6" x14ac:dyDescent="0.25">
      <c r="A10" s="96" t="s">
        <v>4</v>
      </c>
      <c r="B10" s="60">
        <v>84999.66</v>
      </c>
      <c r="C10" s="60">
        <v>59999.66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814191.61</v>
      </c>
      <c r="C11" s="60">
        <v>2235629.96</v>
      </c>
      <c r="D11" s="101" t="s">
        <v>56</v>
      </c>
      <c r="E11" s="60">
        <v>1939464.51</v>
      </c>
      <c r="F11" s="60">
        <v>746059.39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504703.24</v>
      </c>
      <c r="C13" s="60">
        <v>3054432.53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109364.3</v>
      </c>
      <c r="F16" s="60">
        <v>336863.11</v>
      </c>
    </row>
    <row r="17" spans="1:6" ht="14.25" x14ac:dyDescent="0.45">
      <c r="A17" s="95" t="s">
        <v>11</v>
      </c>
      <c r="B17" s="60">
        <f>SUM(B18:B24)</f>
        <v>72354.02</v>
      </c>
      <c r="C17" s="60">
        <f>SUM(C18:C24)</f>
        <v>37068.5</v>
      </c>
      <c r="D17" s="101" t="s">
        <v>62</v>
      </c>
      <c r="E17" s="60">
        <v>0</v>
      </c>
      <c r="F17" s="60">
        <v>0</v>
      </c>
    </row>
    <row r="18" spans="1:6" ht="14.25" x14ac:dyDescent="0.4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ht="14.25" x14ac:dyDescent="0.4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72354.02</v>
      </c>
      <c r="C20" s="60">
        <v>37068.5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1164337.6100000001</v>
      </c>
      <c r="C31" s="60">
        <f>SUM(C32:C36)</f>
        <v>1011235.88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1164337.6100000001</v>
      </c>
      <c r="C32" s="60">
        <v>1011235.88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556552.95999999996</v>
      </c>
      <c r="C37" s="60">
        <v>306556.5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1637579.31</v>
      </c>
      <c r="F38" s="60">
        <f>SUM(F39:F41)</f>
        <v>754771.22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1637579.31</v>
      </c>
      <c r="F40" s="60">
        <v>754771.22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B9+B17+B25+B31+B37+B38+B41</f>
        <v>3197139.1</v>
      </c>
      <c r="C47" s="61">
        <f>C9+C17+C25+C31+C37+C38+C41</f>
        <v>6704923.0300000003</v>
      </c>
      <c r="D47" s="99" t="s">
        <v>91</v>
      </c>
      <c r="E47" s="61">
        <f>E9+E19+E23+E26+E27+E31+E38+E42</f>
        <v>3686408.12</v>
      </c>
      <c r="F47" s="61">
        <f>F9+F19+F23+F26+F27+F31+F38+F42</f>
        <v>1837693.72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83533685.340000004</v>
      </c>
      <c r="C52" s="60">
        <v>69034958.590000004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25038189.34</v>
      </c>
      <c r="C53" s="60">
        <v>24941375.190000001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-5969732.8399999999</v>
      </c>
      <c r="C55" s="60">
        <v>-5411364.2999999998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3686408.12</v>
      </c>
      <c r="F59" s="61">
        <f>F47+F57</f>
        <v>1837693.72</v>
      </c>
    </row>
    <row r="60" spans="1:6" x14ac:dyDescent="0.25">
      <c r="A60" s="55" t="s">
        <v>50</v>
      </c>
      <c r="B60" s="61">
        <f>SUM(B50:B58)</f>
        <v>102602141.84</v>
      </c>
      <c r="C60" s="61">
        <f>SUM(C50:C58)</f>
        <v>88564969.480000004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105799280.94</v>
      </c>
      <c r="C62" s="61">
        <f>SUM(C47+C60)</f>
        <v>95269892.510000005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36244128.100000001</v>
      </c>
      <c r="F63" s="77">
        <f>SUM(F64:F66)</f>
        <v>37270780.370000005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24815098.710000001</v>
      </c>
      <c r="F66" s="77">
        <v>25841750.98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65868744.719999999</v>
      </c>
      <c r="F68" s="77">
        <f>SUM(F69:F73)</f>
        <v>56161418.420000002</v>
      </c>
    </row>
    <row r="69" spans="1:6" x14ac:dyDescent="0.25">
      <c r="A69" s="12"/>
      <c r="B69" s="54"/>
      <c r="C69" s="54"/>
      <c r="D69" s="103" t="s">
        <v>107</v>
      </c>
      <c r="E69" s="77">
        <v>9712674.799999997</v>
      </c>
      <c r="F69" s="77">
        <v>7186001.9800000004</v>
      </c>
    </row>
    <row r="70" spans="1:6" x14ac:dyDescent="0.25">
      <c r="A70" s="12"/>
      <c r="B70" s="54"/>
      <c r="C70" s="54"/>
      <c r="D70" s="103" t="s">
        <v>108</v>
      </c>
      <c r="E70" s="77">
        <v>56156069.920000002</v>
      </c>
      <c r="F70" s="77">
        <v>48975416.439999998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102112872.81999999</v>
      </c>
      <c r="F79" s="61">
        <f>F63+F68+F75</f>
        <v>93432198.790000007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105799280.94</v>
      </c>
      <c r="F81" s="61">
        <f>F59+F79</f>
        <v>95269892.510000005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1403894.51</v>
      </c>
      <c r="Q4" s="18">
        <f>'Formato 1'!C9</f>
        <v>5350062.1500000004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84999.66</v>
      </c>
      <c r="Q5" s="18">
        <f>'Formato 1'!C10</f>
        <v>59999.66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814191.61</v>
      </c>
      <c r="Q6" s="18">
        <f>'Formato 1'!C11</f>
        <v>2235629.96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504703.24</v>
      </c>
      <c r="Q8" s="18">
        <f>'Formato 1'!C13</f>
        <v>3054432.53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72354.02</v>
      </c>
      <c r="Q12" s="18">
        <f>'Formato 1'!C17</f>
        <v>37068.5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72354.02</v>
      </c>
      <c r="Q15" s="18">
        <f>'Formato 1'!C20</f>
        <v>37068.5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1164337.6100000001</v>
      </c>
      <c r="Q26" s="18">
        <f>'Formato 1'!C31</f>
        <v>1011235.88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1164337.6100000001</v>
      </c>
      <c r="Q27" s="18">
        <f>'Formato 1'!C32</f>
        <v>1011235.88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556552.95999999996</v>
      </c>
      <c r="Q32" s="18">
        <f>'Formato 1'!C37</f>
        <v>306556.5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556552.95999999996</v>
      </c>
      <c r="Q33" s="18">
        <f>'Formato 1'!C37</f>
        <v>306556.5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3197139.1</v>
      </c>
      <c r="Q42" s="18">
        <f>'Formato 1'!C47</f>
        <v>6704923.0300000003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83533685.340000004</v>
      </c>
      <c r="Q46">
        <f>'Formato 1'!C52</f>
        <v>69034958.590000004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25038189.34</v>
      </c>
      <c r="Q47">
        <f>'Formato 1'!C53</f>
        <v>24941375.190000001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-5969732.8399999999</v>
      </c>
      <c r="Q49">
        <f>'Formato 1'!C55</f>
        <v>-5411364.2999999998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102602141.84</v>
      </c>
      <c r="Q53">
        <f>'Formato 1'!C60</f>
        <v>88564969.480000004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105799280.94</v>
      </c>
      <c r="Q54">
        <f>'Formato 1'!C62</f>
        <v>95269892.510000005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2048828.81</v>
      </c>
      <c r="Q57">
        <f>'Formato 1'!F9</f>
        <v>1082922.5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1939464.51</v>
      </c>
      <c r="Q59">
        <f>'Formato 1'!F11</f>
        <v>746059.39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109364.3</v>
      </c>
      <c r="Q64">
        <f>'Formato 1'!F16</f>
        <v>336863.11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1637579.31</v>
      </c>
      <c r="Q87">
        <f>'Formato 1'!F38</f>
        <v>754771.22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1637579.31</v>
      </c>
      <c r="Q89">
        <f>'Formato 1'!F40</f>
        <v>754771.22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3686408.12</v>
      </c>
      <c r="Q95">
        <f>'Formato 1'!F47</f>
        <v>1837693.72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3686408.12</v>
      </c>
      <c r="Q104">
        <f>'Formato 1'!F59</f>
        <v>1837693.72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36244128.100000001</v>
      </c>
      <c r="Q106">
        <f>'Formato 1'!F63</f>
        <v>37270780.370000005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24815098.710000001</v>
      </c>
      <c r="Q109">
        <f>'Formato 1'!F66</f>
        <v>25841750.98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65868744.719999999</v>
      </c>
      <c r="Q110">
        <f>'Formato 1'!F68</f>
        <v>56161418.420000002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9712674.799999997</v>
      </c>
      <c r="Q111">
        <f>'Formato 1'!F69</f>
        <v>7186001.9800000004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56156069.920000002</v>
      </c>
      <c r="Q112">
        <f>'Formato 1'!F70</f>
        <v>48975416.439999998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102112872.81999999</v>
      </c>
      <c r="Q119">
        <f>'Formato 1'!F79</f>
        <v>93432198.790000007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105799280.94</v>
      </c>
      <c r="Q120">
        <f>'Formato 1'!F81</f>
        <v>95269892.510000005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I47"/>
  <sheetViews>
    <sheetView showGridLines="0" zoomScale="90" zoomScaleNormal="90" workbookViewId="0">
      <selection activeCell="F18" sqref="F18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7" t="s">
        <v>544</v>
      </c>
      <c r="B1" s="167"/>
      <c r="C1" s="167"/>
      <c r="D1" s="167"/>
      <c r="E1" s="167"/>
      <c r="F1" s="167"/>
      <c r="G1" s="167"/>
      <c r="H1" s="167"/>
    </row>
    <row r="2" spans="1:9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5"/>
    </row>
    <row r="3" spans="1:9" x14ac:dyDescent="0.25">
      <c r="A3" s="156" t="s">
        <v>120</v>
      </c>
      <c r="B3" s="157"/>
      <c r="C3" s="157"/>
      <c r="D3" s="157"/>
      <c r="E3" s="157"/>
      <c r="F3" s="157"/>
      <c r="G3" s="157"/>
      <c r="H3" s="158"/>
    </row>
    <row r="4" spans="1:9" ht="14.25" x14ac:dyDescent="0.45">
      <c r="A4" s="159" t="str">
        <f>PERIODO_INFORME</f>
        <v>Al 31 de diciembre de 2017 y al 30 de septiembre de 2018 (b)</v>
      </c>
      <c r="B4" s="160"/>
      <c r="C4" s="160"/>
      <c r="D4" s="160"/>
      <c r="E4" s="160"/>
      <c r="F4" s="160"/>
      <c r="G4" s="160"/>
      <c r="H4" s="161"/>
    </row>
    <row r="5" spans="1:9" ht="14.25" x14ac:dyDescent="0.45">
      <c r="A5" s="162" t="s">
        <v>118</v>
      </c>
      <c r="B5" s="163"/>
      <c r="C5" s="163"/>
      <c r="D5" s="163"/>
      <c r="E5" s="163"/>
      <c r="F5" s="163"/>
      <c r="G5" s="163"/>
      <c r="H5" s="164"/>
    </row>
    <row r="6" spans="1:9" ht="45" x14ac:dyDescent="0.25">
      <c r="A6" s="104" t="s">
        <v>121</v>
      </c>
      <c r="B6" s="105" t="str">
        <f>ULTIMO_SALDO</f>
        <v>Saldo al 31 de diciembre de 2017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f>B10+C10-D10+E10</f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f>B11+C11-D11+E11</f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f>B12+C12-D12+E12</f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f>B14+C14-D14+E14</f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f>B15+C15-D15+E15</f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f>B16+C16-D16+E16</f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1837693.72</v>
      </c>
      <c r="C18" s="132"/>
      <c r="D18" s="132"/>
      <c r="E18" s="132"/>
      <c r="F18" s="61">
        <v>3686408.12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1837693.72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3686408.12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f>B23+C23-D23+E23</f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f>B24+C24-D24+E24</f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f>B25+C25-D25+E25</f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f>B28+C28-D28+E28</f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f>B29+C29-D29+E29</f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f>B30+C30-D30+E30</f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6" t="s">
        <v>3300</v>
      </c>
      <c r="B33" s="166"/>
      <c r="C33" s="166"/>
      <c r="D33" s="166"/>
      <c r="E33" s="166"/>
      <c r="F33" s="166"/>
      <c r="G33" s="166"/>
      <c r="H33" s="166"/>
    </row>
    <row r="34" spans="1:8" ht="12" customHeight="1" x14ac:dyDescent="0.25">
      <c r="A34" s="166"/>
      <c r="B34" s="166"/>
      <c r="C34" s="166"/>
      <c r="D34" s="166"/>
      <c r="E34" s="166"/>
      <c r="F34" s="166"/>
      <c r="G34" s="166"/>
      <c r="H34" s="166"/>
    </row>
    <row r="35" spans="1:8" ht="12" customHeight="1" x14ac:dyDescent="0.25">
      <c r="A35" s="166"/>
      <c r="B35" s="166"/>
      <c r="C35" s="166"/>
      <c r="D35" s="166"/>
      <c r="E35" s="166"/>
      <c r="F35" s="166"/>
      <c r="G35" s="166"/>
      <c r="H35" s="166"/>
    </row>
    <row r="36" spans="1:8" ht="12" customHeight="1" x14ac:dyDescent="0.25">
      <c r="A36" s="166"/>
      <c r="B36" s="166"/>
      <c r="C36" s="166"/>
      <c r="D36" s="166"/>
      <c r="E36" s="166"/>
      <c r="F36" s="166"/>
      <c r="G36" s="166"/>
      <c r="H36" s="166"/>
    </row>
    <row r="37" spans="1:8" ht="12" customHeight="1" x14ac:dyDescent="0.25">
      <c r="A37" s="166"/>
      <c r="B37" s="166"/>
      <c r="C37" s="166"/>
      <c r="D37" s="166"/>
      <c r="E37" s="166"/>
      <c r="F37" s="166"/>
      <c r="G37" s="166"/>
      <c r="H37" s="166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1837693.72</v>
      </c>
      <c r="Q12" s="18"/>
      <c r="R12" s="18"/>
      <c r="S12" s="18"/>
      <c r="T12" s="18">
        <f>'Formato 2'!F18</f>
        <v>3686408.12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1837693.72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3686408.12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B9" sqref="B9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5" t="s">
        <v>543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11"/>
    </row>
    <row r="2" spans="1:12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4"/>
      <c r="I2" s="154"/>
      <c r="J2" s="154"/>
      <c r="K2" s="155"/>
    </row>
    <row r="3" spans="1:12" x14ac:dyDescent="0.25">
      <c r="A3" s="156" t="s">
        <v>146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2" ht="14.25" x14ac:dyDescent="0.45">
      <c r="A4" s="159" t="str">
        <f>TRIMESTRE</f>
        <v>Del 1 de enero al 30 de septiembre de 2018 (b)</v>
      </c>
      <c r="B4" s="160"/>
      <c r="C4" s="160"/>
      <c r="D4" s="160"/>
      <c r="E4" s="160"/>
      <c r="F4" s="160"/>
      <c r="G4" s="160"/>
      <c r="H4" s="160"/>
      <c r="I4" s="160"/>
      <c r="J4" s="160"/>
      <c r="K4" s="161"/>
    </row>
    <row r="5" spans="1:12" ht="14.25" x14ac:dyDescent="0.45">
      <c r="A5" s="156" t="s">
        <v>118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septiembre de 2018 (k)</v>
      </c>
      <c r="J6" s="131" t="str">
        <f>MONTO2</f>
        <v>Monto pagado de la inversión actualizado al 30 de septiembre de 2018 (l)</v>
      </c>
      <c r="K6" s="131" t="str">
        <f>SALDO_PENDIENTE</f>
        <v>Saldo pendiente por pagar de la inversión al 30 de septiembre de 2018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2018-10-18T21:02:34Z</cp:lastPrinted>
  <dcterms:created xsi:type="dcterms:W3CDTF">2017-01-19T17:59:06Z</dcterms:created>
  <dcterms:modified xsi:type="dcterms:W3CDTF">2018-10-18T21:03:48Z</dcterms:modified>
</cp:coreProperties>
</file>