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2019\Informacion Financiera 2° Trimestre 2019\Fomatos\"/>
    </mc:Choice>
  </mc:AlternateContent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0" yWindow="0" windowWidth="24000" windowHeight="9630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6" l="1"/>
  <c r="B10" i="6"/>
  <c r="C10" i="6"/>
  <c r="D10" i="6"/>
  <c r="E10" i="6"/>
  <c r="G13" i="5"/>
  <c r="G11" i="8" l="1"/>
  <c r="D34" i="5"/>
  <c r="C47" i="1" l="1"/>
  <c r="C60" i="1"/>
  <c r="C137" i="6" l="1"/>
  <c r="D137" i="6"/>
  <c r="E137" i="6"/>
  <c r="F137" i="6"/>
  <c r="B137" i="6"/>
  <c r="C62" i="6"/>
  <c r="D62" i="6"/>
  <c r="E62" i="6"/>
  <c r="S55" i="24" s="1"/>
  <c r="F62" i="6"/>
  <c r="B62" i="6"/>
  <c r="B8" i="10"/>
  <c r="C6" i="23"/>
  <c r="A2" i="14" s="1"/>
  <c r="B9" i="1"/>
  <c r="H25" i="23"/>
  <c r="G25" i="23"/>
  <c r="F25" i="23"/>
  <c r="D5" i="13" s="1"/>
  <c r="E25" i="23"/>
  <c r="D25" i="23"/>
  <c r="G30" i="9"/>
  <c r="G28" i="9" s="1"/>
  <c r="U20" i="27" s="1"/>
  <c r="G31" i="9"/>
  <c r="G29" i="9"/>
  <c r="G26" i="9"/>
  <c r="G27" i="9"/>
  <c r="G25" i="9"/>
  <c r="U17" i="27" s="1"/>
  <c r="G23" i="9"/>
  <c r="G22" i="9"/>
  <c r="G19" i="9"/>
  <c r="U12" i="27" s="1"/>
  <c r="G18" i="9"/>
  <c r="G17" i="9"/>
  <c r="G14" i="9"/>
  <c r="G15" i="9"/>
  <c r="G13" i="9"/>
  <c r="G12" i="9" s="1"/>
  <c r="G11" i="9"/>
  <c r="G73" i="8"/>
  <c r="G74" i="8"/>
  <c r="G71" i="8" s="1"/>
  <c r="U63" i="26" s="1"/>
  <c r="G75" i="8"/>
  <c r="G72" i="8"/>
  <c r="G63" i="8"/>
  <c r="U55" i="26" s="1"/>
  <c r="G64" i="8"/>
  <c r="G65" i="8"/>
  <c r="U57" i="26" s="1"/>
  <c r="G66" i="8"/>
  <c r="U58" i="26" s="1"/>
  <c r="G67" i="8"/>
  <c r="U59" i="26" s="1"/>
  <c r="G68" i="8"/>
  <c r="G69" i="8"/>
  <c r="U61" i="26" s="1"/>
  <c r="G70" i="8"/>
  <c r="U62" i="26" s="1"/>
  <c r="G62" i="8"/>
  <c r="U54" i="26" s="1"/>
  <c r="G55" i="8"/>
  <c r="G56" i="8"/>
  <c r="G57" i="8"/>
  <c r="G58" i="8"/>
  <c r="G53" i="8" s="1"/>
  <c r="U45" i="26" s="1"/>
  <c r="G59" i="8"/>
  <c r="G60" i="8"/>
  <c r="G54" i="8"/>
  <c r="G46" i="8"/>
  <c r="U38" i="26" s="1"/>
  <c r="G47" i="8"/>
  <c r="G48" i="8"/>
  <c r="G49" i="8"/>
  <c r="G50" i="8"/>
  <c r="U42" i="26" s="1"/>
  <c r="G51" i="8"/>
  <c r="G52" i="8"/>
  <c r="G45" i="8"/>
  <c r="G39" i="8"/>
  <c r="G37" i="8" s="1"/>
  <c r="U30" i="26" s="1"/>
  <c r="G40" i="8"/>
  <c r="G41" i="8"/>
  <c r="G38" i="8"/>
  <c r="U31" i="26" s="1"/>
  <c r="G12" i="8"/>
  <c r="G13" i="8"/>
  <c r="G14" i="8"/>
  <c r="G15" i="8"/>
  <c r="G16" i="8"/>
  <c r="G17" i="8"/>
  <c r="G18" i="8"/>
  <c r="G20" i="8"/>
  <c r="G21" i="8"/>
  <c r="U14" i="26" s="1"/>
  <c r="G22" i="8"/>
  <c r="G23" i="8"/>
  <c r="G24" i="8"/>
  <c r="G25" i="8"/>
  <c r="U18" i="26" s="1"/>
  <c r="G26" i="8"/>
  <c r="G28" i="8"/>
  <c r="G29" i="8"/>
  <c r="G30" i="8"/>
  <c r="G27" i="8" s="1"/>
  <c r="U20" i="26" s="1"/>
  <c r="G31" i="8"/>
  <c r="G32" i="8"/>
  <c r="G33" i="8"/>
  <c r="G34" i="8"/>
  <c r="U27" i="26" s="1"/>
  <c r="G35" i="8"/>
  <c r="G36" i="8"/>
  <c r="G21" i="7"/>
  <c r="G22" i="7"/>
  <c r="G23" i="7"/>
  <c r="G19" i="7" s="1"/>
  <c r="U3" i="25" s="1"/>
  <c r="G24" i="7"/>
  <c r="G25" i="7"/>
  <c r="G26" i="7"/>
  <c r="G27" i="7"/>
  <c r="G20" i="7"/>
  <c r="G11" i="7"/>
  <c r="G12" i="7"/>
  <c r="G13" i="7"/>
  <c r="G14" i="7"/>
  <c r="G15" i="7"/>
  <c r="G16" i="7"/>
  <c r="G17" i="7"/>
  <c r="G10" i="7"/>
  <c r="B10" i="9"/>
  <c r="B18" i="6"/>
  <c r="B28" i="6"/>
  <c r="B38" i="6"/>
  <c r="B48" i="6"/>
  <c r="B58" i="6"/>
  <c r="B71" i="6"/>
  <c r="P64" i="24" s="1"/>
  <c r="B75" i="6"/>
  <c r="G152" i="6"/>
  <c r="G153" i="6"/>
  <c r="U145" i="24" s="1"/>
  <c r="G154" i="6"/>
  <c r="U146" i="24" s="1"/>
  <c r="G155" i="6"/>
  <c r="G156" i="6"/>
  <c r="G157" i="6"/>
  <c r="U149" i="24" s="1"/>
  <c r="G151" i="6"/>
  <c r="G150" i="6" s="1"/>
  <c r="U142" i="24" s="1"/>
  <c r="G148" i="6"/>
  <c r="G149" i="6"/>
  <c r="G147" i="6"/>
  <c r="G146" i="6" s="1"/>
  <c r="U138" i="24" s="1"/>
  <c r="G139" i="6"/>
  <c r="U131" i="24" s="1"/>
  <c r="G140" i="6"/>
  <c r="G141" i="6"/>
  <c r="G142" i="6"/>
  <c r="G143" i="6"/>
  <c r="U135" i="24" s="1"/>
  <c r="G144" i="6"/>
  <c r="G145" i="6"/>
  <c r="G138" i="6"/>
  <c r="G135" i="6"/>
  <c r="G133" i="6" s="1"/>
  <c r="U125" i="24" s="1"/>
  <c r="G136" i="6"/>
  <c r="G134" i="6"/>
  <c r="G125" i="6"/>
  <c r="G126" i="6"/>
  <c r="U118" i="24" s="1"/>
  <c r="G127" i="6"/>
  <c r="G128" i="6"/>
  <c r="G129" i="6"/>
  <c r="G130" i="6"/>
  <c r="U122" i="24" s="1"/>
  <c r="G131" i="6"/>
  <c r="G132" i="6"/>
  <c r="G124" i="6"/>
  <c r="G123" i="6" s="1"/>
  <c r="U115" i="24" s="1"/>
  <c r="G115" i="6"/>
  <c r="G116" i="6"/>
  <c r="G117" i="6"/>
  <c r="G118" i="6"/>
  <c r="G119" i="6"/>
  <c r="G120" i="6"/>
  <c r="G121" i="6"/>
  <c r="G122" i="6"/>
  <c r="G114" i="6"/>
  <c r="U106" i="24" s="1"/>
  <c r="G105" i="6"/>
  <c r="G106" i="6"/>
  <c r="G107" i="6"/>
  <c r="G108" i="6"/>
  <c r="U100" i="24" s="1"/>
  <c r="G109" i="6"/>
  <c r="G110" i="6"/>
  <c r="G111" i="6"/>
  <c r="G112" i="6"/>
  <c r="U104" i="24" s="1"/>
  <c r="G104" i="6"/>
  <c r="G95" i="6"/>
  <c r="U87" i="24" s="1"/>
  <c r="G96" i="6"/>
  <c r="G97" i="6"/>
  <c r="G98" i="6"/>
  <c r="G99" i="6"/>
  <c r="U91" i="24" s="1"/>
  <c r="G100" i="6"/>
  <c r="G101" i="6"/>
  <c r="G102" i="6"/>
  <c r="G94" i="6"/>
  <c r="G93" i="6" s="1"/>
  <c r="U85" i="24" s="1"/>
  <c r="G87" i="6"/>
  <c r="G88" i="6"/>
  <c r="U80" i="24" s="1"/>
  <c r="G89" i="6"/>
  <c r="G90" i="6"/>
  <c r="G91" i="6"/>
  <c r="G92" i="6"/>
  <c r="U84" i="24" s="1"/>
  <c r="G86" i="6"/>
  <c r="G77" i="6"/>
  <c r="G78" i="6"/>
  <c r="G79" i="6"/>
  <c r="U72" i="24" s="1"/>
  <c r="G80" i="6"/>
  <c r="G81" i="6"/>
  <c r="G82" i="6"/>
  <c r="G76" i="6"/>
  <c r="U69" i="24" s="1"/>
  <c r="G73" i="6"/>
  <c r="G74" i="6"/>
  <c r="G72" i="6"/>
  <c r="G64" i="6"/>
  <c r="U57" i="24" s="1"/>
  <c r="G65" i="6"/>
  <c r="G66" i="6"/>
  <c r="G67" i="6"/>
  <c r="G68" i="6"/>
  <c r="U61" i="24" s="1"/>
  <c r="G69" i="6"/>
  <c r="G70" i="6"/>
  <c r="G63" i="6"/>
  <c r="G60" i="6"/>
  <c r="G61" i="6"/>
  <c r="G59" i="6"/>
  <c r="G50" i="6"/>
  <c r="G51" i="6"/>
  <c r="G52" i="6"/>
  <c r="U45" i="24" s="1"/>
  <c r="G53" i="6"/>
  <c r="U46" i="24" s="1"/>
  <c r="G54" i="6"/>
  <c r="G55" i="6"/>
  <c r="U48" i="24" s="1"/>
  <c r="G56" i="6"/>
  <c r="U49" i="24" s="1"/>
  <c r="G57" i="6"/>
  <c r="G49" i="6"/>
  <c r="G40" i="6"/>
  <c r="U33" i="24" s="1"/>
  <c r="G41" i="6"/>
  <c r="G42" i="6"/>
  <c r="G43" i="6"/>
  <c r="G44" i="6"/>
  <c r="U37" i="24" s="1"/>
  <c r="G45" i="6"/>
  <c r="G46" i="6"/>
  <c r="G47" i="6"/>
  <c r="G39" i="6"/>
  <c r="G30" i="6"/>
  <c r="U23" i="24" s="1"/>
  <c r="G31" i="6"/>
  <c r="G32" i="6"/>
  <c r="U25" i="24" s="1"/>
  <c r="G33" i="6"/>
  <c r="U26" i="24" s="1"/>
  <c r="G34" i="6"/>
  <c r="U27" i="24" s="1"/>
  <c r="G35" i="6"/>
  <c r="G36" i="6"/>
  <c r="U29" i="24" s="1"/>
  <c r="G37" i="6"/>
  <c r="U30" i="24" s="1"/>
  <c r="G29" i="6"/>
  <c r="U22" i="24" s="1"/>
  <c r="G20" i="6"/>
  <c r="G21" i="6"/>
  <c r="U14" i="24" s="1"/>
  <c r="G22" i="6"/>
  <c r="U15" i="24" s="1"/>
  <c r="G23" i="6"/>
  <c r="U16" i="24" s="1"/>
  <c r="G24" i="6"/>
  <c r="G25" i="6"/>
  <c r="U18" i="24" s="1"/>
  <c r="G26" i="6"/>
  <c r="G27" i="6"/>
  <c r="G19" i="6"/>
  <c r="G11" i="6"/>
  <c r="B7" i="13"/>
  <c r="G12" i="6"/>
  <c r="G13" i="6"/>
  <c r="U6" i="24" s="1"/>
  <c r="U7" i="24"/>
  <c r="G15" i="6"/>
  <c r="U8" i="24" s="1"/>
  <c r="G16" i="6"/>
  <c r="G17" i="6"/>
  <c r="U10" i="24" s="1"/>
  <c r="G9" i="5"/>
  <c r="G10" i="5"/>
  <c r="G11" i="5"/>
  <c r="U5" i="20" s="1"/>
  <c r="G12" i="5"/>
  <c r="U7" i="20"/>
  <c r="G14" i="5"/>
  <c r="G15" i="5"/>
  <c r="U9" i="20" s="1"/>
  <c r="G17" i="5"/>
  <c r="G18" i="5"/>
  <c r="G19" i="5"/>
  <c r="G20" i="5"/>
  <c r="U14" i="20" s="1"/>
  <c r="G21" i="5"/>
  <c r="G22" i="5"/>
  <c r="G23" i="5"/>
  <c r="G24" i="5"/>
  <c r="U18" i="20" s="1"/>
  <c r="G25" i="5"/>
  <c r="G26" i="5"/>
  <c r="G27" i="5"/>
  <c r="G29" i="5"/>
  <c r="U23" i="20" s="1"/>
  <c r="G30" i="5"/>
  <c r="G31" i="5"/>
  <c r="G32" i="5"/>
  <c r="G33" i="5"/>
  <c r="G28" i="5" s="1"/>
  <c r="U22" i="20" s="1"/>
  <c r="G34" i="5"/>
  <c r="U28" i="20" s="1"/>
  <c r="G36" i="5"/>
  <c r="G35" i="5"/>
  <c r="G38" i="5"/>
  <c r="G37" i="5" s="1"/>
  <c r="U31" i="20" s="1"/>
  <c r="G39" i="5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P12" i="31"/>
  <c r="C18" i="13"/>
  <c r="Q12" i="31"/>
  <c r="D18" i="13"/>
  <c r="R12" i="31"/>
  <c r="E18" i="13"/>
  <c r="S12" i="31"/>
  <c r="F18" i="13"/>
  <c r="T12" i="31"/>
  <c r="G18" i="13"/>
  <c r="U12" i="3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B29" i="13"/>
  <c r="P22" i="31" s="1"/>
  <c r="C7" i="13"/>
  <c r="C29" i="13"/>
  <c r="Q22" i="31" s="1"/>
  <c r="D7" i="13"/>
  <c r="D29" i="13"/>
  <c r="R22" i="31"/>
  <c r="E7" i="13"/>
  <c r="E29" i="13"/>
  <c r="S22" i="31"/>
  <c r="F7" i="13"/>
  <c r="F29" i="13" s="1"/>
  <c r="T22" i="31" s="1"/>
  <c r="G7" i="13"/>
  <c r="U2" i="31" s="1"/>
  <c r="G29" i="13"/>
  <c r="U22" i="31" s="1"/>
  <c r="Q2" i="31"/>
  <c r="R2" i="31"/>
  <c r="S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/>
  <c r="C21" i="12"/>
  <c r="Q15" i="30"/>
  <c r="D21" i="12"/>
  <c r="R15" i="30" s="1"/>
  <c r="E21" i="12"/>
  <c r="S15" i="30"/>
  <c r="F21" i="12"/>
  <c r="T15" i="30" s="1"/>
  <c r="G21" i="12"/>
  <c r="U15" i="30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/>
  <c r="C28" i="12"/>
  <c r="Q21" i="30" s="1"/>
  <c r="D28" i="12"/>
  <c r="R21" i="30"/>
  <c r="E28" i="12"/>
  <c r="S21" i="30" s="1"/>
  <c r="F28" i="12"/>
  <c r="T21" i="30"/>
  <c r="G28" i="12"/>
  <c r="U21" i="30" s="1"/>
  <c r="P22" i="30"/>
  <c r="Q22" i="30"/>
  <c r="R22" i="30"/>
  <c r="S22" i="30"/>
  <c r="T22" i="30"/>
  <c r="U22" i="30"/>
  <c r="B7" i="12"/>
  <c r="B31" i="12" s="1"/>
  <c r="P23" i="30" s="1"/>
  <c r="C7" i="12"/>
  <c r="C31" i="12" s="1"/>
  <c r="Q23" i="30" s="1"/>
  <c r="D7" i="12"/>
  <c r="D31" i="12"/>
  <c r="R23" i="30" s="1"/>
  <c r="E7" i="12"/>
  <c r="E31" i="12" s="1"/>
  <c r="S23" i="30" s="1"/>
  <c r="F7" i="12"/>
  <c r="F31" i="12" s="1"/>
  <c r="T23" i="30" s="1"/>
  <c r="G7" i="12"/>
  <c r="G31" i="12" s="1"/>
  <c r="U23" i="30" s="1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/>
  <c r="C36" i="12"/>
  <c r="Q27" i="30"/>
  <c r="D36" i="12"/>
  <c r="R27" i="30"/>
  <c r="E36" i="12"/>
  <c r="S27" i="30"/>
  <c r="F36" i="12"/>
  <c r="T27" i="30"/>
  <c r="G36" i="12"/>
  <c r="U27" i="30"/>
  <c r="R2" i="30"/>
  <c r="S2" i="30"/>
  <c r="T2" i="30"/>
  <c r="P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P12" i="29"/>
  <c r="C19" i="11"/>
  <c r="Q12" i="29" s="1"/>
  <c r="D19" i="11"/>
  <c r="R12" i="29"/>
  <c r="E19" i="11"/>
  <c r="S12" i="29" s="1"/>
  <c r="F19" i="11"/>
  <c r="T12" i="29"/>
  <c r="G19" i="11"/>
  <c r="U12" i="29" s="1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B30" i="11" s="1"/>
  <c r="P22" i="29" s="1"/>
  <c r="C8" i="11"/>
  <c r="C30" i="11" s="1"/>
  <c r="Q22" i="29" s="1"/>
  <c r="D8" i="11"/>
  <c r="D30" i="11"/>
  <c r="R22" i="29" s="1"/>
  <c r="E8" i="11"/>
  <c r="E30" i="11"/>
  <c r="S22" i="29"/>
  <c r="F8" i="11"/>
  <c r="F30" i="11" s="1"/>
  <c r="T22" i="29" s="1"/>
  <c r="G8" i="11"/>
  <c r="G30" i="11" s="1"/>
  <c r="U22" i="29" s="1"/>
  <c r="R2" i="29"/>
  <c r="S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/>
  <c r="D8" i="10"/>
  <c r="R2" i="28" s="1"/>
  <c r="E8" i="10"/>
  <c r="S2" i="28"/>
  <c r="F8" i="10"/>
  <c r="T2" i="28" s="1"/>
  <c r="G8" i="10"/>
  <c r="U2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/>
  <c r="D22" i="10"/>
  <c r="R15" i="28" s="1"/>
  <c r="E22" i="10"/>
  <c r="S15" i="28"/>
  <c r="F22" i="10"/>
  <c r="T15" i="28" s="1"/>
  <c r="G22" i="10"/>
  <c r="U15" i="28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Q21" i="28" s="1"/>
  <c r="D29" i="10"/>
  <c r="D32" i="10" s="1"/>
  <c r="R23" i="28" s="1"/>
  <c r="R21" i="28"/>
  <c r="E29" i="10"/>
  <c r="S21" i="28" s="1"/>
  <c r="F29" i="10"/>
  <c r="F32" i="10" s="1"/>
  <c r="T23" i="28" s="1"/>
  <c r="T21" i="28"/>
  <c r="G29" i="10"/>
  <c r="U21" i="28" s="1"/>
  <c r="Q22" i="28"/>
  <c r="R22" i="28"/>
  <c r="S22" i="28"/>
  <c r="T22" i="28"/>
  <c r="U22" i="28"/>
  <c r="C32" i="10"/>
  <c r="Q23" i="28" s="1"/>
  <c r="E32" i="10"/>
  <c r="S23" i="28" s="1"/>
  <c r="G32" i="10"/>
  <c r="U23" i="28" s="1"/>
  <c r="Q25" i="28"/>
  <c r="R25" i="28"/>
  <c r="S25" i="28"/>
  <c r="T25" i="28"/>
  <c r="U25" i="28"/>
  <c r="Q26" i="28"/>
  <c r="R26" i="28"/>
  <c r="S26" i="28"/>
  <c r="T26" i="28"/>
  <c r="U26" i="28"/>
  <c r="C37" i="10"/>
  <c r="Q27" i="28" s="1"/>
  <c r="D37" i="10"/>
  <c r="R27" i="28"/>
  <c r="E37" i="10"/>
  <c r="S27" i="28" s="1"/>
  <c r="F37" i="10"/>
  <c r="T27" i="28"/>
  <c r="G37" i="10"/>
  <c r="U27" i="28" s="1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/>
  <c r="P16" i="28"/>
  <c r="P17" i="28"/>
  <c r="P18" i="28"/>
  <c r="P19" i="28"/>
  <c r="P20" i="28"/>
  <c r="B29" i="10"/>
  <c r="P21" i="28" s="1"/>
  <c r="P22" i="28"/>
  <c r="B32" i="10"/>
  <c r="P23" i="28" s="1"/>
  <c r="P25" i="28"/>
  <c r="P26" i="28"/>
  <c r="B37" i="10"/>
  <c r="P27" i="28" s="1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Q5" i="27" s="1"/>
  <c r="C16" i="9"/>
  <c r="D12" i="9"/>
  <c r="D16" i="9"/>
  <c r="E12" i="9"/>
  <c r="E16" i="9"/>
  <c r="S9" i="27" s="1"/>
  <c r="F12" i="9"/>
  <c r="F16" i="9"/>
  <c r="G16" i="9"/>
  <c r="U9" i="27" s="1"/>
  <c r="Q4" i="27"/>
  <c r="R4" i="27"/>
  <c r="S4" i="27"/>
  <c r="T4" i="27"/>
  <c r="U4" i="27"/>
  <c r="S5" i="27"/>
  <c r="T5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U8" i="27"/>
  <c r="Q9" i="27"/>
  <c r="R9" i="27"/>
  <c r="T9" i="27"/>
  <c r="Q10" i="27"/>
  <c r="R10" i="27"/>
  <c r="S10" i="27"/>
  <c r="T10" i="27"/>
  <c r="U10" i="27"/>
  <c r="Q11" i="27"/>
  <c r="R11" i="27"/>
  <c r="S11" i="27"/>
  <c r="T11" i="27"/>
  <c r="U11" i="27"/>
  <c r="Q12" i="27"/>
  <c r="R12" i="27"/>
  <c r="S12" i="27"/>
  <c r="T12" i="27"/>
  <c r="C24" i="9"/>
  <c r="C21" i="9" s="1"/>
  <c r="C28" i="9"/>
  <c r="Q20" i="27" s="1"/>
  <c r="D24" i="9"/>
  <c r="D28" i="9"/>
  <c r="E24" i="9"/>
  <c r="E21" i="9" s="1"/>
  <c r="E28" i="9"/>
  <c r="F24" i="9"/>
  <c r="T16" i="27" s="1"/>
  <c r="F28" i="9"/>
  <c r="T20" i="27" s="1"/>
  <c r="G24" i="9"/>
  <c r="Q14" i="27"/>
  <c r="R14" i="27"/>
  <c r="S14" i="27"/>
  <c r="T14" i="27"/>
  <c r="U14" i="27"/>
  <c r="Q15" i="27"/>
  <c r="R15" i="27"/>
  <c r="S15" i="27"/>
  <c r="T15" i="27"/>
  <c r="U15" i="27"/>
  <c r="S16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U19" i="27"/>
  <c r="R20" i="27"/>
  <c r="S20" i="27"/>
  <c r="Q21" i="27"/>
  <c r="R21" i="27"/>
  <c r="S21" i="27"/>
  <c r="T21" i="27"/>
  <c r="U21" i="27"/>
  <c r="Q22" i="27"/>
  <c r="R22" i="27"/>
  <c r="S22" i="27"/>
  <c r="T22" i="27"/>
  <c r="U22" i="27"/>
  <c r="Q23" i="27"/>
  <c r="R23" i="27"/>
  <c r="S23" i="27"/>
  <c r="T23" i="27"/>
  <c r="U23" i="27"/>
  <c r="P3" i="27"/>
  <c r="P4" i="27"/>
  <c r="B12" i="9"/>
  <c r="P5" i="27" s="1"/>
  <c r="P6" i="27"/>
  <c r="P7" i="27"/>
  <c r="P8" i="27"/>
  <c r="B16" i="9"/>
  <c r="B9" i="9" s="1"/>
  <c r="P2" i="27" s="1"/>
  <c r="P9" i="27"/>
  <c r="P10" i="27"/>
  <c r="P11" i="27"/>
  <c r="P12" i="27"/>
  <c r="B24" i="9"/>
  <c r="B21" i="9" s="1"/>
  <c r="B28" i="9"/>
  <c r="P20" i="27" s="1"/>
  <c r="P14" i="27"/>
  <c r="P15" i="27"/>
  <c r="P17" i="27"/>
  <c r="P18" i="27"/>
  <c r="P19" i="27"/>
  <c r="P21" i="27"/>
  <c r="P22" i="27"/>
  <c r="P23" i="27"/>
  <c r="A5" i="27"/>
  <c r="A4" i="27"/>
  <c r="A3" i="27"/>
  <c r="A2" i="27"/>
  <c r="C10" i="8"/>
  <c r="C19" i="8"/>
  <c r="C9" i="8" s="1"/>
  <c r="Q2" i="26" s="1"/>
  <c r="C27" i="8"/>
  <c r="Q20" i="26" s="1"/>
  <c r="C37" i="8"/>
  <c r="D10" i="8"/>
  <c r="R3" i="26" s="1"/>
  <c r="D19" i="8"/>
  <c r="D9" i="8" s="1"/>
  <c r="R2" i="26" s="1"/>
  <c r="D27" i="8"/>
  <c r="D37" i="8"/>
  <c r="E10" i="8"/>
  <c r="E19" i="8"/>
  <c r="E9" i="8" s="1"/>
  <c r="S2" i="26" s="1"/>
  <c r="E27" i="8"/>
  <c r="S20" i="26" s="1"/>
  <c r="E37" i="8"/>
  <c r="F10" i="8"/>
  <c r="T3" i="26" s="1"/>
  <c r="F19" i="8"/>
  <c r="F9" i="8" s="1"/>
  <c r="T2" i="26" s="1"/>
  <c r="F27" i="8"/>
  <c r="T20" i="26" s="1"/>
  <c r="F37" i="8"/>
  <c r="Q3" i="26"/>
  <c r="S3" i="26"/>
  <c r="Q4" i="26"/>
  <c r="R4" i="26"/>
  <c r="S4" i="26"/>
  <c r="T4" i="26"/>
  <c r="U4" i="26"/>
  <c r="Q5" i="26"/>
  <c r="R5" i="26"/>
  <c r="S5" i="26"/>
  <c r="T5" i="26"/>
  <c r="U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U8" i="26"/>
  <c r="Q9" i="26"/>
  <c r="R9" i="26"/>
  <c r="S9" i="26"/>
  <c r="T9" i="26"/>
  <c r="U9" i="26"/>
  <c r="Q10" i="26"/>
  <c r="R10" i="26"/>
  <c r="S10" i="26"/>
  <c r="T10" i="26"/>
  <c r="U10" i="26"/>
  <c r="Q11" i="26"/>
  <c r="R11" i="26"/>
  <c r="S11" i="26"/>
  <c r="T11" i="26"/>
  <c r="U11" i="26"/>
  <c r="Q13" i="26"/>
  <c r="R13" i="26"/>
  <c r="S13" i="26"/>
  <c r="T13" i="26"/>
  <c r="Q14" i="26"/>
  <c r="R14" i="26"/>
  <c r="S14" i="26"/>
  <c r="T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U17" i="26"/>
  <c r="Q18" i="26"/>
  <c r="R18" i="26"/>
  <c r="S18" i="26"/>
  <c r="T18" i="26"/>
  <c r="Q19" i="26"/>
  <c r="R19" i="26"/>
  <c r="S19" i="26"/>
  <c r="T19" i="26"/>
  <c r="U19" i="26"/>
  <c r="R20" i="26"/>
  <c r="Q21" i="26"/>
  <c r="R21" i="26"/>
  <c r="S21" i="26"/>
  <c r="T21" i="26"/>
  <c r="U21" i="26"/>
  <c r="Q22" i="26"/>
  <c r="R22" i="26"/>
  <c r="S22" i="26"/>
  <c r="T22" i="26"/>
  <c r="U22" i="26"/>
  <c r="Q23" i="26"/>
  <c r="R23" i="26"/>
  <c r="S23" i="26"/>
  <c r="T23" i="26"/>
  <c r="Q24" i="26"/>
  <c r="R24" i="26"/>
  <c r="S24" i="26"/>
  <c r="T24" i="26"/>
  <c r="U24" i="26"/>
  <c r="Q25" i="26"/>
  <c r="R25" i="26"/>
  <c r="S25" i="26"/>
  <c r="T25" i="26"/>
  <c r="U25" i="26"/>
  <c r="Q26" i="26"/>
  <c r="R26" i="26"/>
  <c r="S26" i="26"/>
  <c r="T26" i="26"/>
  <c r="U26" i="26"/>
  <c r="Q27" i="26"/>
  <c r="R27" i="26"/>
  <c r="S27" i="26"/>
  <c r="T27" i="26"/>
  <c r="Q28" i="26"/>
  <c r="R28" i="26"/>
  <c r="S28" i="26"/>
  <c r="T28" i="26"/>
  <c r="U28" i="26"/>
  <c r="Q29" i="26"/>
  <c r="R29" i="26"/>
  <c r="S29" i="26"/>
  <c r="T29" i="26"/>
  <c r="U29" i="26"/>
  <c r="Q30" i="26"/>
  <c r="R30" i="26"/>
  <c r="S30" i="26"/>
  <c r="T30" i="26"/>
  <c r="Q31" i="26"/>
  <c r="R31" i="26"/>
  <c r="S31" i="26"/>
  <c r="T31" i="26"/>
  <c r="Q32" i="26"/>
  <c r="R32" i="26"/>
  <c r="S32" i="26"/>
  <c r="T32" i="26"/>
  <c r="Q33" i="26"/>
  <c r="R33" i="26"/>
  <c r="S33" i="26"/>
  <c r="T33" i="26"/>
  <c r="U33" i="26"/>
  <c r="Q34" i="26"/>
  <c r="R34" i="26"/>
  <c r="S34" i="26"/>
  <c r="T34" i="26"/>
  <c r="U34" i="26"/>
  <c r="C44" i="8"/>
  <c r="Q36" i="26" s="1"/>
  <c r="C53" i="8"/>
  <c r="C61" i="8"/>
  <c r="C43" i="8" s="1"/>
  <c r="Q35" i="26" s="1"/>
  <c r="C71" i="8"/>
  <c r="D44" i="8"/>
  <c r="D53" i="8"/>
  <c r="D61" i="8"/>
  <c r="D71" i="8"/>
  <c r="E44" i="8"/>
  <c r="S36" i="26" s="1"/>
  <c r="E53" i="8"/>
  <c r="S45" i="26" s="1"/>
  <c r="E61" i="8"/>
  <c r="E71" i="8"/>
  <c r="F44" i="8"/>
  <c r="F53" i="8"/>
  <c r="F61" i="8"/>
  <c r="T53" i="26" s="1"/>
  <c r="F71" i="8"/>
  <c r="G44" i="8"/>
  <c r="U36" i="26" s="1"/>
  <c r="G61" i="8"/>
  <c r="U53" i="26" s="1"/>
  <c r="R36" i="26"/>
  <c r="T36" i="26"/>
  <c r="Q37" i="26"/>
  <c r="R37" i="26"/>
  <c r="S37" i="26"/>
  <c r="T37" i="26"/>
  <c r="U37" i="26"/>
  <c r="Q38" i="26"/>
  <c r="R38" i="26"/>
  <c r="S38" i="26"/>
  <c r="T38" i="26"/>
  <c r="Q39" i="26"/>
  <c r="R39" i="26"/>
  <c r="S39" i="26"/>
  <c r="T39" i="26"/>
  <c r="U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Q43" i="26"/>
  <c r="R43" i="26"/>
  <c r="S43" i="26"/>
  <c r="T43" i="26"/>
  <c r="U43" i="26"/>
  <c r="Q44" i="26"/>
  <c r="R44" i="26"/>
  <c r="S44" i="26"/>
  <c r="T44" i="26"/>
  <c r="U44" i="26"/>
  <c r="Q45" i="26"/>
  <c r="R45" i="26"/>
  <c r="T45" i="26"/>
  <c r="Q46" i="26"/>
  <c r="R46" i="26"/>
  <c r="S46" i="26"/>
  <c r="T46" i="26"/>
  <c r="U46" i="26"/>
  <c r="Q47" i="26"/>
  <c r="R47" i="26"/>
  <c r="S47" i="26"/>
  <c r="T47" i="26"/>
  <c r="U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U51" i="26"/>
  <c r="Q52" i="26"/>
  <c r="R52" i="26"/>
  <c r="S52" i="26"/>
  <c r="T52" i="26"/>
  <c r="U52" i="26"/>
  <c r="S53" i="26"/>
  <c r="Q54" i="26"/>
  <c r="R54" i="26"/>
  <c r="S54" i="26"/>
  <c r="T54" i="26"/>
  <c r="Q55" i="26"/>
  <c r="R55" i="26"/>
  <c r="S55" i="26"/>
  <c r="T55" i="26"/>
  <c r="Q56" i="26"/>
  <c r="R56" i="26"/>
  <c r="S56" i="26"/>
  <c r="T56" i="26"/>
  <c r="U56" i="26"/>
  <c r="Q57" i="26"/>
  <c r="R57" i="26"/>
  <c r="S57" i="26"/>
  <c r="T57" i="26"/>
  <c r="Q58" i="26"/>
  <c r="R58" i="26"/>
  <c r="S58" i="26"/>
  <c r="T58" i="26"/>
  <c r="Q59" i="26"/>
  <c r="R59" i="26"/>
  <c r="S59" i="26"/>
  <c r="T59" i="26"/>
  <c r="Q60" i="26"/>
  <c r="R60" i="26"/>
  <c r="S60" i="26"/>
  <c r="T60" i="26"/>
  <c r="U60" i="26"/>
  <c r="Q61" i="26"/>
  <c r="R61" i="26"/>
  <c r="S61" i="26"/>
  <c r="T61" i="26"/>
  <c r="Q62" i="26"/>
  <c r="R62" i="26"/>
  <c r="S62" i="26"/>
  <c r="T62" i="26"/>
  <c r="Q63" i="26"/>
  <c r="R63" i="26"/>
  <c r="S63" i="26"/>
  <c r="T63" i="26"/>
  <c r="Q64" i="26"/>
  <c r="R64" i="26"/>
  <c r="S64" i="26"/>
  <c r="T64" i="26"/>
  <c r="U64" i="26"/>
  <c r="Q65" i="26"/>
  <c r="R65" i="26"/>
  <c r="S65" i="26"/>
  <c r="T65" i="26"/>
  <c r="U65" i="26"/>
  <c r="Q66" i="26"/>
  <c r="R66" i="26"/>
  <c r="S66" i="26"/>
  <c r="T66" i="26"/>
  <c r="U66" i="26"/>
  <c r="Q67" i="26"/>
  <c r="R67" i="26"/>
  <c r="S67" i="26"/>
  <c r="T67" i="26"/>
  <c r="U67" i="26"/>
  <c r="B44" i="8"/>
  <c r="B53" i="8"/>
  <c r="B61" i="8"/>
  <c r="P53" i="26" s="1"/>
  <c r="B71" i="8"/>
  <c r="B10" i="8"/>
  <c r="B19" i="8"/>
  <c r="P12" i="26" s="1"/>
  <c r="B27" i="8"/>
  <c r="P20" i="26" s="1"/>
  <c r="B37" i="8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3" i="26"/>
  <c r="P4" i="26"/>
  <c r="P5" i="26"/>
  <c r="P6" i="26"/>
  <c r="P7" i="26"/>
  <c r="P8" i="26"/>
  <c r="P9" i="26"/>
  <c r="P10" i="26"/>
  <c r="P11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F19" i="7"/>
  <c r="T3" i="25" s="1"/>
  <c r="E9" i="7"/>
  <c r="E19" i="7"/>
  <c r="S3" i="25" s="1"/>
  <c r="D9" i="7"/>
  <c r="D19" i="7"/>
  <c r="R3" i="25" s="1"/>
  <c r="C9" i="7"/>
  <c r="C19" i="7"/>
  <c r="B9" i="7"/>
  <c r="P2" i="25" s="1"/>
  <c r="B19" i="7"/>
  <c r="A3" i="25"/>
  <c r="A4" i="25"/>
  <c r="A2" i="25"/>
  <c r="A87" i="24"/>
  <c r="C85" i="6"/>
  <c r="C93" i="6"/>
  <c r="C103" i="6"/>
  <c r="C84" i="6" s="1"/>
  <c r="Q76" i="24" s="1"/>
  <c r="C113" i="6"/>
  <c r="C123" i="6"/>
  <c r="C133" i="6"/>
  <c r="C146" i="6"/>
  <c r="C150" i="6"/>
  <c r="D85" i="6"/>
  <c r="D93" i="6"/>
  <c r="D103" i="6"/>
  <c r="D84" i="6" s="1"/>
  <c r="R76" i="24" s="1"/>
  <c r="D113" i="6"/>
  <c r="D123" i="6"/>
  <c r="D133" i="6"/>
  <c r="D146" i="6"/>
  <c r="R138" i="24" s="1"/>
  <c r="D150" i="6"/>
  <c r="E85" i="6"/>
  <c r="E93" i="6"/>
  <c r="E103" i="6"/>
  <c r="S95" i="24" s="1"/>
  <c r="E113" i="6"/>
  <c r="E123" i="6"/>
  <c r="E133" i="6"/>
  <c r="S125" i="24" s="1"/>
  <c r="E146" i="6"/>
  <c r="S138" i="24" s="1"/>
  <c r="E150" i="6"/>
  <c r="F85" i="6"/>
  <c r="T77" i="24" s="1"/>
  <c r="F93" i="6"/>
  <c r="T85" i="24" s="1"/>
  <c r="F103" i="6"/>
  <c r="F113" i="6"/>
  <c r="F123" i="6"/>
  <c r="T115" i="24" s="1"/>
  <c r="F133" i="6"/>
  <c r="T125" i="24" s="1"/>
  <c r="F146" i="6"/>
  <c r="T138" i="24" s="1"/>
  <c r="F150" i="6"/>
  <c r="G85" i="6"/>
  <c r="G103" i="6"/>
  <c r="G113" i="6"/>
  <c r="U105" i="24" s="1"/>
  <c r="Q77" i="24"/>
  <c r="R77" i="24"/>
  <c r="S77" i="24"/>
  <c r="U77" i="24"/>
  <c r="Q78" i="24"/>
  <c r="R78" i="24"/>
  <c r="S78" i="24"/>
  <c r="T78" i="24"/>
  <c r="U78" i="24"/>
  <c r="Q79" i="24"/>
  <c r="R79" i="24"/>
  <c r="S79" i="24"/>
  <c r="T79" i="24"/>
  <c r="U79" i="24"/>
  <c r="Q80" i="24"/>
  <c r="R80" i="24"/>
  <c r="S80" i="24"/>
  <c r="T80" i="24"/>
  <c r="Q81" i="24"/>
  <c r="R81" i="24"/>
  <c r="S81" i="24"/>
  <c r="T81" i="24"/>
  <c r="U81" i="24"/>
  <c r="Q82" i="24"/>
  <c r="R82" i="24"/>
  <c r="S82" i="24"/>
  <c r="T82" i="24"/>
  <c r="U82" i="24"/>
  <c r="Q83" i="24"/>
  <c r="R83" i="24"/>
  <c r="S83" i="24"/>
  <c r="T83" i="24"/>
  <c r="U83" i="24"/>
  <c r="Q84" i="24"/>
  <c r="R84" i="24"/>
  <c r="S84" i="24"/>
  <c r="T84" i="24"/>
  <c r="Q85" i="24"/>
  <c r="R85" i="24"/>
  <c r="Q86" i="24"/>
  <c r="R86" i="24"/>
  <c r="S86" i="24"/>
  <c r="T86" i="24"/>
  <c r="U86" i="24"/>
  <c r="Q87" i="24"/>
  <c r="R87" i="24"/>
  <c r="S87" i="24"/>
  <c r="T87" i="24"/>
  <c r="Q88" i="24"/>
  <c r="R88" i="24"/>
  <c r="S88" i="24"/>
  <c r="T88" i="24"/>
  <c r="U88" i="24"/>
  <c r="Q89" i="24"/>
  <c r="R89" i="24"/>
  <c r="S89" i="24"/>
  <c r="T89" i="24"/>
  <c r="U89" i="24"/>
  <c r="Q90" i="24"/>
  <c r="R90" i="24"/>
  <c r="S90" i="24"/>
  <c r="T90" i="24"/>
  <c r="U90" i="24"/>
  <c r="Q91" i="24"/>
  <c r="R91" i="24"/>
  <c r="S91" i="24"/>
  <c r="T91" i="24"/>
  <c r="Q92" i="24"/>
  <c r="R92" i="24"/>
  <c r="S92" i="24"/>
  <c r="T92" i="24"/>
  <c r="U92" i="24"/>
  <c r="Q93" i="24"/>
  <c r="R93" i="24"/>
  <c r="S93" i="24"/>
  <c r="T93" i="24"/>
  <c r="U93" i="24"/>
  <c r="Q94" i="24"/>
  <c r="R94" i="24"/>
  <c r="S94" i="24"/>
  <c r="T94" i="24"/>
  <c r="U94" i="24"/>
  <c r="Q95" i="24"/>
  <c r="R95" i="24"/>
  <c r="T95" i="24"/>
  <c r="U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Q101" i="24"/>
  <c r="R101" i="24"/>
  <c r="S101" i="24"/>
  <c r="T101" i="24"/>
  <c r="U101" i="24"/>
  <c r="Q102" i="24"/>
  <c r="R102" i="24"/>
  <c r="S102" i="24"/>
  <c r="T102" i="24"/>
  <c r="U102" i="24"/>
  <c r="Q103" i="24"/>
  <c r="R103" i="24"/>
  <c r="S103" i="24"/>
  <c r="T103" i="24"/>
  <c r="U103" i="24"/>
  <c r="Q104" i="24"/>
  <c r="R104" i="24"/>
  <c r="S104" i="24"/>
  <c r="T104" i="24"/>
  <c r="Q105" i="24"/>
  <c r="R105" i="24"/>
  <c r="S105" i="24"/>
  <c r="T105" i="24"/>
  <c r="Q106" i="24"/>
  <c r="R106" i="24"/>
  <c r="S106" i="24"/>
  <c r="T106" i="24"/>
  <c r="Q107" i="24"/>
  <c r="R107" i="24"/>
  <c r="S107" i="24"/>
  <c r="T107" i="24"/>
  <c r="U107" i="24"/>
  <c r="Q108" i="24"/>
  <c r="R108" i="24"/>
  <c r="S108" i="24"/>
  <c r="T108" i="24"/>
  <c r="U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U112" i="24"/>
  <c r="Q113" i="24"/>
  <c r="R113" i="24"/>
  <c r="S113" i="24"/>
  <c r="T113" i="24"/>
  <c r="U113" i="24"/>
  <c r="Q114" i="24"/>
  <c r="R114" i="24"/>
  <c r="S114" i="24"/>
  <c r="T114" i="24"/>
  <c r="U114" i="24"/>
  <c r="Q115" i="24"/>
  <c r="R115" i="24"/>
  <c r="S115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Q119" i="24"/>
  <c r="R119" i="24"/>
  <c r="S119" i="24"/>
  <c r="T119" i="24"/>
  <c r="U119" i="24"/>
  <c r="Q120" i="24"/>
  <c r="R120" i="24"/>
  <c r="S120" i="24"/>
  <c r="T120" i="24"/>
  <c r="U120" i="24"/>
  <c r="Q121" i="24"/>
  <c r="R121" i="24"/>
  <c r="S121" i="24"/>
  <c r="T121" i="24"/>
  <c r="U121" i="24"/>
  <c r="Q122" i="24"/>
  <c r="R122" i="24"/>
  <c r="S122" i="24"/>
  <c r="T122" i="24"/>
  <c r="Q123" i="24"/>
  <c r="R123" i="24"/>
  <c r="S123" i="24"/>
  <c r="T123" i="24"/>
  <c r="U123" i="24"/>
  <c r="Q124" i="24"/>
  <c r="R124" i="24"/>
  <c r="S124" i="24"/>
  <c r="T124" i="24"/>
  <c r="U124" i="24"/>
  <c r="Q125" i="24"/>
  <c r="R125" i="24"/>
  <c r="Q126" i="24"/>
  <c r="R126" i="24"/>
  <c r="S126" i="24"/>
  <c r="T126" i="24"/>
  <c r="U126" i="24"/>
  <c r="Q127" i="24"/>
  <c r="R127" i="24"/>
  <c r="S127" i="24"/>
  <c r="T127" i="24"/>
  <c r="Q128" i="24"/>
  <c r="R128" i="24"/>
  <c r="S128" i="24"/>
  <c r="T128" i="24"/>
  <c r="U128" i="24"/>
  <c r="Q129" i="24"/>
  <c r="R129" i="24"/>
  <c r="S129" i="24"/>
  <c r="T129" i="24"/>
  <c r="Q130" i="24"/>
  <c r="R130" i="24"/>
  <c r="S130" i="24"/>
  <c r="T130" i="24"/>
  <c r="U130" i="24"/>
  <c r="Q131" i="24"/>
  <c r="R131" i="24"/>
  <c r="S131" i="24"/>
  <c r="T131" i="24"/>
  <c r="Q132" i="24"/>
  <c r="R132" i="24"/>
  <c r="S132" i="24"/>
  <c r="T132" i="24"/>
  <c r="U132" i="24"/>
  <c r="Q133" i="24"/>
  <c r="R133" i="24"/>
  <c r="S133" i="24"/>
  <c r="T133" i="24"/>
  <c r="U133" i="24"/>
  <c r="Q134" i="24"/>
  <c r="R134" i="24"/>
  <c r="S134" i="24"/>
  <c r="T134" i="24"/>
  <c r="U134" i="24"/>
  <c r="Q135" i="24"/>
  <c r="R135" i="24"/>
  <c r="S135" i="24"/>
  <c r="T135" i="24"/>
  <c r="Q136" i="24"/>
  <c r="R136" i="24"/>
  <c r="S136" i="24"/>
  <c r="T136" i="24"/>
  <c r="U136" i="24"/>
  <c r="Q137" i="24"/>
  <c r="R137" i="24"/>
  <c r="S137" i="24"/>
  <c r="T137" i="24"/>
  <c r="U137" i="24"/>
  <c r="Q138" i="24"/>
  <c r="Q139" i="24"/>
  <c r="R139" i="24"/>
  <c r="S139" i="24"/>
  <c r="T139" i="24"/>
  <c r="Q140" i="24"/>
  <c r="R140" i="24"/>
  <c r="S140" i="24"/>
  <c r="T140" i="24"/>
  <c r="U140" i="24"/>
  <c r="Q141" i="24"/>
  <c r="R141" i="24"/>
  <c r="S141" i="24"/>
  <c r="T141" i="24"/>
  <c r="U141" i="24"/>
  <c r="Q142" i="24"/>
  <c r="R142" i="24"/>
  <c r="S142" i="24"/>
  <c r="T142" i="24"/>
  <c r="Q143" i="24"/>
  <c r="R143" i="24"/>
  <c r="S143" i="24"/>
  <c r="T143" i="24"/>
  <c r="Q144" i="24"/>
  <c r="R144" i="24"/>
  <c r="S144" i="24"/>
  <c r="T144" i="24"/>
  <c r="U144" i="24"/>
  <c r="Q145" i="24"/>
  <c r="R145" i="24"/>
  <c r="S145" i="24"/>
  <c r="T145" i="24"/>
  <c r="Q146" i="24"/>
  <c r="R146" i="24"/>
  <c r="S146" i="24"/>
  <c r="T146" i="24"/>
  <c r="Q147" i="24"/>
  <c r="R147" i="24"/>
  <c r="S147" i="24"/>
  <c r="T147" i="24"/>
  <c r="U147" i="24"/>
  <c r="Q148" i="24"/>
  <c r="R148" i="24"/>
  <c r="S148" i="24"/>
  <c r="T148" i="24"/>
  <c r="U148" i="24"/>
  <c r="Q149" i="24"/>
  <c r="R149" i="24"/>
  <c r="S149" i="24"/>
  <c r="T149" i="24"/>
  <c r="C18" i="6"/>
  <c r="C28" i="6"/>
  <c r="Q21" i="24" s="1"/>
  <c r="C38" i="6"/>
  <c r="C48" i="6"/>
  <c r="Q41" i="24" s="1"/>
  <c r="C58" i="6"/>
  <c r="Q51" i="24" s="1"/>
  <c r="C71" i="6"/>
  <c r="C75" i="6"/>
  <c r="Q68" i="24" s="1"/>
  <c r="D10" i="9"/>
  <c r="D18" i="6"/>
  <c r="R11" i="24" s="1"/>
  <c r="D28" i="6"/>
  <c r="D38" i="6"/>
  <c r="D48" i="6"/>
  <c r="R41" i="24" s="1"/>
  <c r="D58" i="6"/>
  <c r="R51" i="24" s="1"/>
  <c r="D71" i="6"/>
  <c r="D75" i="6"/>
  <c r="R68" i="24" s="1"/>
  <c r="E10" i="9"/>
  <c r="S3" i="27" s="1"/>
  <c r="E18" i="6"/>
  <c r="S11" i="24" s="1"/>
  <c r="E28" i="6"/>
  <c r="S21" i="24" s="1"/>
  <c r="E38" i="6"/>
  <c r="E48" i="6"/>
  <c r="S41" i="24" s="1"/>
  <c r="E58" i="6"/>
  <c r="S51" i="24" s="1"/>
  <c r="E71" i="6"/>
  <c r="E75" i="6"/>
  <c r="F10" i="6"/>
  <c r="F18" i="6"/>
  <c r="T11" i="24" s="1"/>
  <c r="F28" i="6"/>
  <c r="T21" i="24" s="1"/>
  <c r="F38" i="6"/>
  <c r="F48" i="6"/>
  <c r="T41" i="24" s="1"/>
  <c r="F58" i="6"/>
  <c r="T51" i="24" s="1"/>
  <c r="F71" i="6"/>
  <c r="F75" i="6"/>
  <c r="G38" i="6"/>
  <c r="U31" i="24" s="1"/>
  <c r="G58" i="6"/>
  <c r="U51" i="24" s="1"/>
  <c r="G71" i="6"/>
  <c r="B85" i="6"/>
  <c r="P77" i="24" s="1"/>
  <c r="B93" i="6"/>
  <c r="B103" i="6"/>
  <c r="P95" i="24" s="1"/>
  <c r="B113" i="6"/>
  <c r="P105" i="24" s="1"/>
  <c r="B123" i="6"/>
  <c r="P115" i="24" s="1"/>
  <c r="B133" i="6"/>
  <c r="P125" i="24" s="1"/>
  <c r="B146" i="6"/>
  <c r="P138" i="24" s="1"/>
  <c r="B150" i="6"/>
  <c r="P142" i="24" s="1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Q4" i="24"/>
  <c r="R4" i="24"/>
  <c r="S4" i="24"/>
  <c r="T4" i="24"/>
  <c r="Q5" i="24"/>
  <c r="R5" i="24"/>
  <c r="S5" i="24"/>
  <c r="T5" i="24"/>
  <c r="U5" i="24"/>
  <c r="Q6" i="24"/>
  <c r="R6" i="24"/>
  <c r="S6" i="24"/>
  <c r="T6" i="24"/>
  <c r="Q7" i="24"/>
  <c r="R7" i="24"/>
  <c r="S7" i="24"/>
  <c r="T7" i="24"/>
  <c r="Q8" i="24"/>
  <c r="R8" i="24"/>
  <c r="S8" i="24"/>
  <c r="T8" i="24"/>
  <c r="Q9" i="24"/>
  <c r="R9" i="24"/>
  <c r="S9" i="24"/>
  <c r="T9" i="24"/>
  <c r="U9" i="24"/>
  <c r="Q10" i="24"/>
  <c r="R10" i="24"/>
  <c r="S10" i="24"/>
  <c r="T10" i="24"/>
  <c r="Q12" i="24"/>
  <c r="R12" i="24"/>
  <c r="S12" i="24"/>
  <c r="T12" i="24"/>
  <c r="U12" i="24"/>
  <c r="Q13" i="24"/>
  <c r="R13" i="24"/>
  <c r="S13" i="24"/>
  <c r="T13" i="24"/>
  <c r="U13" i="24"/>
  <c r="Q14" i="24"/>
  <c r="R14" i="24"/>
  <c r="S14" i="24"/>
  <c r="T14" i="24"/>
  <c r="Q15" i="24"/>
  <c r="R15" i="24"/>
  <c r="S15" i="24"/>
  <c r="T15" i="24"/>
  <c r="Q16" i="24"/>
  <c r="R16" i="24"/>
  <c r="S16" i="24"/>
  <c r="T16" i="24"/>
  <c r="Q17" i="24"/>
  <c r="R17" i="24"/>
  <c r="S17" i="24"/>
  <c r="T17" i="24"/>
  <c r="U17" i="24"/>
  <c r="Q18" i="24"/>
  <c r="R18" i="24"/>
  <c r="S18" i="24"/>
  <c r="T18" i="24"/>
  <c r="Q19" i="24"/>
  <c r="R19" i="24"/>
  <c r="S19" i="24"/>
  <c r="T19" i="24"/>
  <c r="U19" i="24"/>
  <c r="Q20" i="24"/>
  <c r="R20" i="24"/>
  <c r="S20" i="24"/>
  <c r="T20" i="24"/>
  <c r="U20" i="24"/>
  <c r="R21" i="24"/>
  <c r="Q22" i="24"/>
  <c r="R22" i="24"/>
  <c r="S22" i="24"/>
  <c r="T22" i="24"/>
  <c r="Q23" i="24"/>
  <c r="R23" i="24"/>
  <c r="S23" i="24"/>
  <c r="T23" i="24"/>
  <c r="Q24" i="24"/>
  <c r="R24" i="24"/>
  <c r="S24" i="24"/>
  <c r="T24" i="24"/>
  <c r="U24" i="24"/>
  <c r="Q25" i="24"/>
  <c r="R25" i="24"/>
  <c r="S25" i="24"/>
  <c r="T25" i="24"/>
  <c r="Q26" i="24"/>
  <c r="R26" i="24"/>
  <c r="S26" i="24"/>
  <c r="T26" i="24"/>
  <c r="Q27" i="24"/>
  <c r="R27" i="24"/>
  <c r="S27" i="24"/>
  <c r="T27" i="24"/>
  <c r="Q28" i="24"/>
  <c r="R28" i="24"/>
  <c r="S28" i="24"/>
  <c r="T28" i="24"/>
  <c r="U28" i="24"/>
  <c r="Q29" i="24"/>
  <c r="R29" i="24"/>
  <c r="S29" i="24"/>
  <c r="T29" i="24"/>
  <c r="Q30" i="24"/>
  <c r="R30" i="24"/>
  <c r="S30" i="24"/>
  <c r="T30" i="24"/>
  <c r="Q31" i="24"/>
  <c r="R31" i="24"/>
  <c r="S31" i="24"/>
  <c r="T31" i="24"/>
  <c r="Q32" i="24"/>
  <c r="R32" i="24"/>
  <c r="S32" i="24"/>
  <c r="T32" i="24"/>
  <c r="U32" i="24"/>
  <c r="Q33" i="24"/>
  <c r="R33" i="24"/>
  <c r="S33" i="24"/>
  <c r="T33" i="24"/>
  <c r="Q34" i="24"/>
  <c r="R34" i="24"/>
  <c r="S34" i="24"/>
  <c r="T34" i="24"/>
  <c r="U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Q38" i="24"/>
  <c r="R38" i="24"/>
  <c r="S38" i="24"/>
  <c r="T38" i="24"/>
  <c r="U38" i="24"/>
  <c r="Q39" i="24"/>
  <c r="R39" i="24"/>
  <c r="S39" i="24"/>
  <c r="T39" i="24"/>
  <c r="U39" i="24"/>
  <c r="Q40" i="24"/>
  <c r="R40" i="24"/>
  <c r="S40" i="24"/>
  <c r="T40" i="24"/>
  <c r="U40" i="24"/>
  <c r="Q42" i="24"/>
  <c r="R42" i="24"/>
  <c r="S42" i="24"/>
  <c r="T42" i="24"/>
  <c r="U42" i="24"/>
  <c r="Q43" i="24"/>
  <c r="R43" i="24"/>
  <c r="S43" i="24"/>
  <c r="T43" i="24"/>
  <c r="U43" i="24"/>
  <c r="Q44" i="24"/>
  <c r="R44" i="24"/>
  <c r="S44" i="24"/>
  <c r="T44" i="24"/>
  <c r="Q45" i="24"/>
  <c r="R45" i="24"/>
  <c r="S45" i="24"/>
  <c r="T45" i="24"/>
  <c r="Q46" i="24"/>
  <c r="R46" i="24"/>
  <c r="S46" i="24"/>
  <c r="T46" i="24"/>
  <c r="Q47" i="24"/>
  <c r="R47" i="24"/>
  <c r="S47" i="24"/>
  <c r="T47" i="24"/>
  <c r="U47" i="24"/>
  <c r="Q48" i="24"/>
  <c r="R48" i="24"/>
  <c r="S48" i="24"/>
  <c r="T48" i="24"/>
  <c r="Q49" i="24"/>
  <c r="R49" i="24"/>
  <c r="S49" i="24"/>
  <c r="T49" i="24"/>
  <c r="Q50" i="24"/>
  <c r="R50" i="24"/>
  <c r="S50" i="24"/>
  <c r="T50" i="24"/>
  <c r="U50" i="24"/>
  <c r="Q52" i="24"/>
  <c r="R52" i="24"/>
  <c r="S52" i="24"/>
  <c r="T52" i="24"/>
  <c r="U52" i="24"/>
  <c r="Q53" i="24"/>
  <c r="R53" i="24"/>
  <c r="S53" i="24"/>
  <c r="T53" i="24"/>
  <c r="U53" i="24"/>
  <c r="Q54" i="24"/>
  <c r="R54" i="24"/>
  <c r="S54" i="24"/>
  <c r="T54" i="24"/>
  <c r="U54" i="24"/>
  <c r="Q55" i="24"/>
  <c r="R55" i="24"/>
  <c r="T55" i="24"/>
  <c r="Q56" i="24"/>
  <c r="R56" i="24"/>
  <c r="S56" i="24"/>
  <c r="T56" i="24"/>
  <c r="U56" i="24"/>
  <c r="Q57" i="24"/>
  <c r="R57" i="24"/>
  <c r="S57" i="24"/>
  <c r="T57" i="24"/>
  <c r="Q58" i="24"/>
  <c r="R58" i="24"/>
  <c r="S58" i="24"/>
  <c r="T58" i="24"/>
  <c r="U58" i="24"/>
  <c r="Q59" i="24"/>
  <c r="R59" i="24"/>
  <c r="S59" i="24"/>
  <c r="T59" i="24"/>
  <c r="U59" i="24"/>
  <c r="Q60" i="24"/>
  <c r="R60" i="24"/>
  <c r="S60" i="24"/>
  <c r="T60" i="24"/>
  <c r="U60" i="24"/>
  <c r="Q61" i="24"/>
  <c r="R61" i="24"/>
  <c r="S61" i="24"/>
  <c r="T61" i="24"/>
  <c r="Q62" i="24"/>
  <c r="R62" i="24"/>
  <c r="S62" i="24"/>
  <c r="T62" i="24"/>
  <c r="U62" i="24"/>
  <c r="Q63" i="24"/>
  <c r="R63" i="24"/>
  <c r="S63" i="24"/>
  <c r="T63" i="24"/>
  <c r="U63" i="24"/>
  <c r="Q64" i="24"/>
  <c r="R64" i="24"/>
  <c r="S64" i="24"/>
  <c r="T64" i="24"/>
  <c r="U64" i="24"/>
  <c r="Q65" i="24"/>
  <c r="R65" i="24"/>
  <c r="S65" i="24"/>
  <c r="T65" i="24"/>
  <c r="U65" i="24"/>
  <c r="Q66" i="24"/>
  <c r="R66" i="24"/>
  <c r="S66" i="24"/>
  <c r="T66" i="24"/>
  <c r="U66" i="24"/>
  <c r="Q67" i="24"/>
  <c r="R67" i="24"/>
  <c r="S67" i="24"/>
  <c r="T67" i="24"/>
  <c r="U67" i="24"/>
  <c r="S68" i="24"/>
  <c r="T68" i="24"/>
  <c r="Q69" i="24"/>
  <c r="R69" i="24"/>
  <c r="S69" i="24"/>
  <c r="T69" i="24"/>
  <c r="Q70" i="24"/>
  <c r="R70" i="24"/>
  <c r="S70" i="24"/>
  <c r="T70" i="24"/>
  <c r="U70" i="24"/>
  <c r="Q71" i="24"/>
  <c r="R71" i="24"/>
  <c r="S71" i="24"/>
  <c r="T71" i="24"/>
  <c r="U71" i="24"/>
  <c r="Q72" i="24"/>
  <c r="R72" i="24"/>
  <c r="S72" i="24"/>
  <c r="T72" i="24"/>
  <c r="Q73" i="24"/>
  <c r="R73" i="24"/>
  <c r="S73" i="24"/>
  <c r="T73" i="24"/>
  <c r="U73" i="24"/>
  <c r="Q74" i="24"/>
  <c r="R74" i="24"/>
  <c r="S74" i="24"/>
  <c r="T74" i="24"/>
  <c r="U74" i="24"/>
  <c r="Q75" i="24"/>
  <c r="R75" i="24"/>
  <c r="S75" i="24"/>
  <c r="T75" i="24"/>
  <c r="U75" i="24"/>
  <c r="P3" i="24"/>
  <c r="P4" i="24"/>
  <c r="P5" i="24"/>
  <c r="P6" i="24"/>
  <c r="P7" i="24"/>
  <c r="P8" i="24"/>
  <c r="P9" i="24"/>
  <c r="P10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4" i="20"/>
  <c r="U6" i="20"/>
  <c r="U8" i="20"/>
  <c r="U11" i="20"/>
  <c r="U12" i="20"/>
  <c r="U13" i="20"/>
  <c r="U15" i="20"/>
  <c r="U16" i="20"/>
  <c r="U17" i="20"/>
  <c r="U19" i="20"/>
  <c r="U20" i="20"/>
  <c r="U21" i="20"/>
  <c r="U24" i="20"/>
  <c r="U25" i="20"/>
  <c r="U26" i="20"/>
  <c r="U29" i="20"/>
  <c r="U30" i="20"/>
  <c r="U32" i="20"/>
  <c r="U33" i="20"/>
  <c r="G46" i="5"/>
  <c r="G47" i="5"/>
  <c r="G48" i="5"/>
  <c r="G49" i="5"/>
  <c r="G50" i="5"/>
  <c r="U42" i="20" s="1"/>
  <c r="G51" i="5"/>
  <c r="U43" i="20" s="1"/>
  <c r="G52" i="5"/>
  <c r="U44" i="20" s="1"/>
  <c r="G53" i="5"/>
  <c r="U38" i="20"/>
  <c r="U39" i="20"/>
  <c r="U41" i="20"/>
  <c r="U45" i="20"/>
  <c r="G55" i="5"/>
  <c r="U47" i="20" s="1"/>
  <c r="G56" i="5"/>
  <c r="G54" i="5" s="1"/>
  <c r="U46" i="20" s="1"/>
  <c r="G57" i="5"/>
  <c r="U49" i="20" s="1"/>
  <c r="G58" i="5"/>
  <c r="U48" i="20"/>
  <c r="U50" i="20"/>
  <c r="G60" i="5"/>
  <c r="G59" i="5" s="1"/>
  <c r="U51" i="20" s="1"/>
  <c r="G61" i="5"/>
  <c r="U53" i="20"/>
  <c r="G62" i="5"/>
  <c r="U54" i="20" s="1"/>
  <c r="G63" i="5"/>
  <c r="U55" i="20" s="1"/>
  <c r="G68" i="5"/>
  <c r="G67" i="5" s="1"/>
  <c r="U57" i="20" s="1"/>
  <c r="U58" i="20"/>
  <c r="G73" i="5"/>
  <c r="U60" i="20" s="1"/>
  <c r="G74" i="5"/>
  <c r="G75" i="5" s="1"/>
  <c r="U62" i="20" s="1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 s="1"/>
  <c r="E16" i="5"/>
  <c r="S10" i="20" s="1"/>
  <c r="F16" i="5"/>
  <c r="T10" i="20" s="1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 s="1"/>
  <c r="E28" i="5"/>
  <c r="S22" i="20" s="1"/>
  <c r="F28" i="5"/>
  <c r="T22" i="20" s="1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C35" i="5"/>
  <c r="Q29" i="20" s="1"/>
  <c r="D35" i="5"/>
  <c r="R29" i="20" s="1"/>
  <c r="E35" i="5"/>
  <c r="S29" i="20" s="1"/>
  <c r="F35" i="5"/>
  <c r="T29" i="20" s="1"/>
  <c r="Q30" i="20"/>
  <c r="R30" i="20"/>
  <c r="S30" i="20"/>
  <c r="T30" i="20"/>
  <c r="C37" i="5"/>
  <c r="Q31" i="20" s="1"/>
  <c r="D37" i="5"/>
  <c r="R31" i="20" s="1"/>
  <c r="E37" i="5"/>
  <c r="S31" i="20" s="1"/>
  <c r="F37" i="5"/>
  <c r="T31" i="20" s="1"/>
  <c r="Q32" i="20"/>
  <c r="R32" i="20"/>
  <c r="S32" i="20"/>
  <c r="T32" i="20"/>
  <c r="Q33" i="20"/>
  <c r="R33" i="20"/>
  <c r="S33" i="20"/>
  <c r="T33" i="20"/>
  <c r="C41" i="5"/>
  <c r="Q34" i="20" s="1"/>
  <c r="D41" i="5"/>
  <c r="R34" i="20" s="1"/>
  <c r="E41" i="5"/>
  <c r="S34" i="20" s="1"/>
  <c r="F41" i="5"/>
  <c r="T34" i="20" s="1"/>
  <c r="C45" i="5"/>
  <c r="Q37" i="20" s="1"/>
  <c r="D45" i="5"/>
  <c r="R37" i="20" s="1"/>
  <c r="E45" i="5"/>
  <c r="S37" i="20" s="1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/>
  <c r="D54" i="5"/>
  <c r="R46" i="20" s="1"/>
  <c r="E54" i="5"/>
  <c r="S46" i="20"/>
  <c r="F54" i="5"/>
  <c r="T46" i="20" s="1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/>
  <c r="E59" i="5"/>
  <c r="S51" i="20" s="1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C65" i="5"/>
  <c r="Q56" i="20" s="1"/>
  <c r="C67" i="5"/>
  <c r="Q57" i="20" s="1"/>
  <c r="D67" i="5"/>
  <c r="R57" i="20"/>
  <c r="E67" i="5"/>
  <c r="S57" i="20" s="1"/>
  <c r="F67" i="5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 s="1"/>
  <c r="D75" i="5"/>
  <c r="R62" i="20" s="1"/>
  <c r="E75" i="5"/>
  <c r="S62" i="20" s="1"/>
  <c r="F75" i="5"/>
  <c r="T62" i="20"/>
  <c r="P61" i="20"/>
  <c r="B75" i="5"/>
  <c r="P62" i="20" s="1"/>
  <c r="P60" i="20"/>
  <c r="P58" i="20"/>
  <c r="B67" i="5"/>
  <c r="P57" i="20"/>
  <c r="B45" i="5"/>
  <c r="B54" i="5"/>
  <c r="P46" i="20" s="1"/>
  <c r="B59" i="5"/>
  <c r="P51" i="20" s="1"/>
  <c r="P38" i="20"/>
  <c r="P39" i="20"/>
  <c r="P40" i="20"/>
  <c r="P41" i="20"/>
  <c r="P42" i="20"/>
  <c r="P43" i="20"/>
  <c r="P44" i="20"/>
  <c r="P45" i="20"/>
  <c r="P47" i="20"/>
  <c r="P48" i="20"/>
  <c r="P49" i="20"/>
  <c r="P50" i="20"/>
  <c r="P52" i="20"/>
  <c r="P53" i="20"/>
  <c r="P54" i="20"/>
  <c r="P55" i="20"/>
  <c r="B16" i="5"/>
  <c r="P10" i="20" s="1"/>
  <c r="B28" i="5"/>
  <c r="P22" i="20" s="1"/>
  <c r="B35" i="5"/>
  <c r="B41" i="5" s="1"/>
  <c r="P34" i="20" s="1"/>
  <c r="B37" i="5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29" i="20"/>
  <c r="P30" i="20"/>
  <c r="P31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F19" i="1"/>
  <c r="Q67" i="15" s="1"/>
  <c r="D20" i="23"/>
  <c r="B6" i="1" s="1"/>
  <c r="F18" i="23"/>
  <c r="K6" i="3" s="1"/>
  <c r="E18" i="23"/>
  <c r="J6" i="3" s="1"/>
  <c r="D18" i="23"/>
  <c r="I6" i="3" s="1"/>
  <c r="E6" i="1"/>
  <c r="F5" i="13"/>
  <c r="E5" i="13"/>
  <c r="C5" i="13"/>
  <c r="B5" i="13"/>
  <c r="E5" i="12"/>
  <c r="C5" i="12"/>
  <c r="B5" i="12"/>
  <c r="F5" i="12"/>
  <c r="I25" i="23"/>
  <c r="D23" i="23"/>
  <c r="B6" i="11" s="1"/>
  <c r="I23" i="23"/>
  <c r="G6" i="11"/>
  <c r="H23" i="23"/>
  <c r="F6" i="11" s="1"/>
  <c r="G23" i="23"/>
  <c r="E6" i="11" s="1"/>
  <c r="F23" i="23"/>
  <c r="D6" i="11" s="1"/>
  <c r="E23" i="23"/>
  <c r="C6" i="11"/>
  <c r="G6" i="10"/>
  <c r="C6" i="10"/>
  <c r="G5" i="13"/>
  <c r="G5" i="12"/>
  <c r="C11" i="23"/>
  <c r="A2" i="13" s="1"/>
  <c r="A5" i="9"/>
  <c r="A5" i="8"/>
  <c r="A5" i="7"/>
  <c r="A5" i="6"/>
  <c r="A4" i="5"/>
  <c r="A4" i="4"/>
  <c r="A4" i="3"/>
  <c r="A4" i="2"/>
  <c r="A4" i="1"/>
  <c r="K15" i="3"/>
  <c r="K16" i="3"/>
  <c r="K17" i="3"/>
  <c r="K18" i="3"/>
  <c r="K14" i="3"/>
  <c r="Y4" i="17" s="1"/>
  <c r="J14" i="3"/>
  <c r="X4" i="17" s="1"/>
  <c r="I14" i="3"/>
  <c r="I8" i="3"/>
  <c r="H14" i="3"/>
  <c r="V4" i="17" s="1"/>
  <c r="G14" i="3"/>
  <c r="U4" i="17" s="1"/>
  <c r="E14" i="3"/>
  <c r="S4" i="17" s="1"/>
  <c r="K9" i="3"/>
  <c r="K10" i="3"/>
  <c r="K8" i="3" s="1"/>
  <c r="K11" i="3"/>
  <c r="K12" i="3"/>
  <c r="J8" i="3"/>
  <c r="H8" i="3"/>
  <c r="H20" i="3" s="1"/>
  <c r="V5" i="17" s="1"/>
  <c r="G8" i="3"/>
  <c r="G20" i="3" s="1"/>
  <c r="U5" i="17" s="1"/>
  <c r="E8" i="3"/>
  <c r="E20" i="3" s="1"/>
  <c r="S5" i="17" s="1"/>
  <c r="F41" i="2"/>
  <c r="E41" i="2"/>
  <c r="S17" i="16" s="1"/>
  <c r="D41" i="2"/>
  <c r="R17" i="16" s="1"/>
  <c r="C41" i="2"/>
  <c r="H27" i="2"/>
  <c r="G27" i="2"/>
  <c r="U15" i="16" s="1"/>
  <c r="F27" i="2"/>
  <c r="T15" i="16" s="1"/>
  <c r="E27" i="2"/>
  <c r="D27" i="2"/>
  <c r="R15" i="16" s="1"/>
  <c r="C27" i="2"/>
  <c r="Q15" i="16" s="1"/>
  <c r="B41" i="2"/>
  <c r="P17" i="16" s="1"/>
  <c r="B27" i="2"/>
  <c r="H22" i="2"/>
  <c r="V14" i="16" s="1"/>
  <c r="G22" i="2"/>
  <c r="U14" i="16" s="1"/>
  <c r="F22" i="2"/>
  <c r="E22" i="2"/>
  <c r="S14" i="16" s="1"/>
  <c r="D22" i="2"/>
  <c r="R14" i="16" s="1"/>
  <c r="C22" i="2"/>
  <c r="Q14" i="16" s="1"/>
  <c r="B22" i="2"/>
  <c r="J20" i="3"/>
  <c r="X5" i="17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P22" i="18" s="1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B68" i="4"/>
  <c r="B64" i="4"/>
  <c r="B63" i="4"/>
  <c r="P32" i="18" s="1"/>
  <c r="B55" i="4"/>
  <c r="B53" i="4"/>
  <c r="P30" i="18" s="1"/>
  <c r="B49" i="4"/>
  <c r="B48" i="4"/>
  <c r="B37" i="4"/>
  <c r="B44" i="4" s="1"/>
  <c r="B29" i="4"/>
  <c r="B17" i="4"/>
  <c r="B13" i="4"/>
  <c r="P6" i="18" s="1"/>
  <c r="Q3" i="18"/>
  <c r="R3" i="18"/>
  <c r="Q4" i="18"/>
  <c r="R4" i="18"/>
  <c r="Q7" i="18"/>
  <c r="R7" i="18"/>
  <c r="Q8" i="18"/>
  <c r="R8" i="18"/>
  <c r="R9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6" i="18"/>
  <c r="P33" i="18"/>
  <c r="P34" i="18"/>
  <c r="P35" i="18"/>
  <c r="P27" i="18"/>
  <c r="P28" i="18"/>
  <c r="P29" i="18"/>
  <c r="P20" i="18"/>
  <c r="P21" i="18"/>
  <c r="P23" i="18"/>
  <c r="P24" i="18"/>
  <c r="P16" i="18"/>
  <c r="P17" i="18"/>
  <c r="P15" i="18"/>
  <c r="P7" i="18"/>
  <c r="P8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Q57" i="15" s="1"/>
  <c r="F23" i="1"/>
  <c r="F27" i="1"/>
  <c r="F31" i="1"/>
  <c r="F38" i="1"/>
  <c r="Q87" i="15" s="1"/>
  <c r="F42" i="1"/>
  <c r="F63" i="1"/>
  <c r="Q106" i="15" s="1"/>
  <c r="Q107" i="15"/>
  <c r="Q108" i="15"/>
  <c r="Q109" i="15"/>
  <c r="F68" i="1"/>
  <c r="Q110" i="15" s="1"/>
  <c r="Q111" i="15"/>
  <c r="Q112" i="15"/>
  <c r="Q113" i="15"/>
  <c r="Q114" i="15"/>
  <c r="Q115" i="15"/>
  <c r="F75" i="1"/>
  <c r="Q116" i="15" s="1"/>
  <c r="Q117" i="15"/>
  <c r="Q118" i="15"/>
  <c r="E9" i="1"/>
  <c r="P57" i="15" s="1"/>
  <c r="E19" i="1"/>
  <c r="P67" i="15" s="1"/>
  <c r="E23" i="1"/>
  <c r="E27" i="1"/>
  <c r="E31" i="1"/>
  <c r="P80" i="15" s="1"/>
  <c r="E38" i="1"/>
  <c r="P87" i="15" s="1"/>
  <c r="E42" i="1"/>
  <c r="P91" i="15" s="1"/>
  <c r="E57" i="1"/>
  <c r="P103" i="15" s="1"/>
  <c r="E63" i="1"/>
  <c r="E68" i="1"/>
  <c r="P110" i="15" s="1"/>
  <c r="E75" i="1"/>
  <c r="P116" i="15" s="1"/>
  <c r="P117" i="15"/>
  <c r="P118" i="15"/>
  <c r="P111" i="15"/>
  <c r="P112" i="15"/>
  <c r="P113" i="15"/>
  <c r="P114" i="15"/>
  <c r="P115" i="15"/>
  <c r="P107" i="15"/>
  <c r="P108" i="15"/>
  <c r="P109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Q80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8" i="15"/>
  <c r="Q88" i="15"/>
  <c r="P89" i="15"/>
  <c r="Q89" i="15"/>
  <c r="P90" i="15"/>
  <c r="Q90" i="15"/>
  <c r="Q91" i="15"/>
  <c r="P92" i="15"/>
  <c r="Q92" i="15"/>
  <c r="P93" i="15"/>
  <c r="Q93" i="15"/>
  <c r="P94" i="15"/>
  <c r="Q94" i="15"/>
  <c r="Q75" i="15"/>
  <c r="P75" i="15"/>
  <c r="P76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Q71" i="15"/>
  <c r="P72" i="15"/>
  <c r="Q72" i="15"/>
  <c r="P73" i="15"/>
  <c r="Q73" i="15"/>
  <c r="P74" i="15"/>
  <c r="Q74" i="15"/>
  <c r="Q33" i="15"/>
  <c r="P33" i="15"/>
  <c r="A33" i="15"/>
  <c r="A55" i="15"/>
  <c r="C9" i="1"/>
  <c r="Q4" i="15" s="1"/>
  <c r="C17" i="1"/>
  <c r="Q12" i="15" s="1"/>
  <c r="C25" i="1"/>
  <c r="Q20" i="15" s="1"/>
  <c r="C31" i="1"/>
  <c r="Q26" i="15" s="1"/>
  <c r="C38" i="1"/>
  <c r="Q34" i="15" s="1"/>
  <c r="C41" i="1"/>
  <c r="Q37" i="15" s="1"/>
  <c r="Q53" i="15"/>
  <c r="B60" i="1"/>
  <c r="P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 s="1"/>
  <c r="P35" i="15"/>
  <c r="P36" i="15"/>
  <c r="B41" i="1"/>
  <c r="P37" i="15" s="1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70" i="4"/>
  <c r="D70" i="4"/>
  <c r="C68" i="4"/>
  <c r="Q36" i="18" s="1"/>
  <c r="D68" i="4"/>
  <c r="R36" i="18" s="1"/>
  <c r="C64" i="4"/>
  <c r="Q33" i="18" s="1"/>
  <c r="D64" i="4"/>
  <c r="C63" i="4"/>
  <c r="D63" i="4"/>
  <c r="R32" i="18" s="1"/>
  <c r="C48" i="4"/>
  <c r="Q26" i="18" s="1"/>
  <c r="C55" i="4"/>
  <c r="Q31" i="18" s="1"/>
  <c r="D55" i="4"/>
  <c r="R31" i="18" s="1"/>
  <c r="C53" i="4"/>
  <c r="Q30" i="18" s="1"/>
  <c r="D53" i="4"/>
  <c r="D48" i="4"/>
  <c r="R26" i="18" s="1"/>
  <c r="C49" i="4"/>
  <c r="Q27" i="18" s="1"/>
  <c r="D49" i="4"/>
  <c r="R27" i="18" s="1"/>
  <c r="C29" i="4"/>
  <c r="Q15" i="18" s="1"/>
  <c r="D29" i="4"/>
  <c r="C40" i="4"/>
  <c r="Q22" i="18" s="1"/>
  <c r="D40" i="4"/>
  <c r="C37" i="4"/>
  <c r="D37" i="4"/>
  <c r="C17" i="4"/>
  <c r="C13" i="4"/>
  <c r="Q6" i="18" s="1"/>
  <c r="D13" i="4"/>
  <c r="R6" i="18" s="1"/>
  <c r="W4" i="17"/>
  <c r="X3" i="17"/>
  <c r="Q17" i="16"/>
  <c r="T17" i="16"/>
  <c r="S15" i="16"/>
  <c r="V15" i="16"/>
  <c r="P15" i="16"/>
  <c r="P14" i="16"/>
  <c r="C13" i="2"/>
  <c r="Q8" i="16" s="1"/>
  <c r="D13" i="2"/>
  <c r="R8" i="16" s="1"/>
  <c r="E13" i="2"/>
  <c r="S8" i="16" s="1"/>
  <c r="F13" i="2"/>
  <c r="T8" i="16" s="1"/>
  <c r="G13" i="2"/>
  <c r="U8" i="16" s="1"/>
  <c r="H13" i="2"/>
  <c r="V8" i="16" s="1"/>
  <c r="B13" i="2"/>
  <c r="P8" i="16" s="1"/>
  <c r="C9" i="2"/>
  <c r="Q4" i="16" s="1"/>
  <c r="D9" i="2"/>
  <c r="R4" i="16" s="1"/>
  <c r="E9" i="2"/>
  <c r="S4" i="16"/>
  <c r="F9" i="2"/>
  <c r="T4" i="16" s="1"/>
  <c r="G9" i="2"/>
  <c r="U4" i="16"/>
  <c r="H9" i="2"/>
  <c r="V4" i="16" s="1"/>
  <c r="B9" i="2"/>
  <c r="P4" i="15"/>
  <c r="Q9" i="18"/>
  <c r="Q32" i="18"/>
  <c r="R19" i="18"/>
  <c r="R15" i="18"/>
  <c r="R33" i="18"/>
  <c r="R37" i="18"/>
  <c r="Q19" i="18"/>
  <c r="R30" i="18"/>
  <c r="Q37" i="18"/>
  <c r="E8" i="2"/>
  <c r="E20" i="2" s="1"/>
  <c r="S13" i="16" s="1"/>
  <c r="U3" i="17"/>
  <c r="T2" i="25"/>
  <c r="Q2" i="25"/>
  <c r="D29" i="7" l="1"/>
  <c r="R4" i="25" s="1"/>
  <c r="G9" i="7"/>
  <c r="U2" i="25" s="1"/>
  <c r="G10" i="9"/>
  <c r="U3" i="27" s="1"/>
  <c r="T3" i="24"/>
  <c r="F10" i="9"/>
  <c r="Q3" i="24"/>
  <c r="C10" i="9"/>
  <c r="E9" i="9"/>
  <c r="S2" i="27" s="1"/>
  <c r="D9" i="9"/>
  <c r="R2" i="27" s="1"/>
  <c r="S3" i="24"/>
  <c r="R3" i="24"/>
  <c r="R3" i="27"/>
  <c r="E29" i="7"/>
  <c r="S4" i="25" s="1"/>
  <c r="G21" i="9"/>
  <c r="D21" i="9"/>
  <c r="U5" i="27"/>
  <c r="G9" i="9"/>
  <c r="U2" i="27" s="1"/>
  <c r="U6" i="27"/>
  <c r="R5" i="27"/>
  <c r="Q53" i="26"/>
  <c r="B43" i="8"/>
  <c r="E43" i="8"/>
  <c r="S35" i="26" s="1"/>
  <c r="D43" i="8"/>
  <c r="D77" i="8" s="1"/>
  <c r="R68" i="26" s="1"/>
  <c r="U32" i="26"/>
  <c r="U23" i="26"/>
  <c r="G19" i="8"/>
  <c r="U12" i="26" s="1"/>
  <c r="T12" i="26"/>
  <c r="S12" i="26"/>
  <c r="R12" i="26"/>
  <c r="Q12" i="26"/>
  <c r="G10" i="8"/>
  <c r="B9" i="8"/>
  <c r="P2" i="26" s="1"/>
  <c r="U13" i="26"/>
  <c r="S2" i="25"/>
  <c r="B29" i="7"/>
  <c r="P4" i="25" s="1"/>
  <c r="C29" i="7"/>
  <c r="Q4" i="25" s="1"/>
  <c r="F29" i="7"/>
  <c r="T4" i="25" s="1"/>
  <c r="U143" i="24"/>
  <c r="U139" i="24"/>
  <c r="G137" i="6"/>
  <c r="E84" i="6"/>
  <c r="S76" i="24" s="1"/>
  <c r="U127" i="24"/>
  <c r="B84" i="6"/>
  <c r="P76" i="24" s="1"/>
  <c r="P85" i="24"/>
  <c r="S85" i="24"/>
  <c r="F84" i="6"/>
  <c r="T76" i="24" s="1"/>
  <c r="G75" i="6"/>
  <c r="U68" i="24" s="1"/>
  <c r="G62" i="6"/>
  <c r="U55" i="24" s="1"/>
  <c r="G48" i="6"/>
  <c r="U41" i="24" s="1"/>
  <c r="U44" i="24"/>
  <c r="E9" i="6"/>
  <c r="S2" i="24" s="1"/>
  <c r="C9" i="6"/>
  <c r="Q2" i="24" s="1"/>
  <c r="G28" i="6"/>
  <c r="U21" i="24" s="1"/>
  <c r="B9" i="6"/>
  <c r="P2" i="24" s="1"/>
  <c r="P11" i="24"/>
  <c r="Q11" i="24"/>
  <c r="F9" i="6"/>
  <c r="T2" i="24" s="1"/>
  <c r="G18" i="6"/>
  <c r="U11" i="24" s="1"/>
  <c r="G10" i="6"/>
  <c r="U3" i="24" s="1"/>
  <c r="U4" i="24"/>
  <c r="D9" i="6"/>
  <c r="R2" i="24" s="1"/>
  <c r="U52" i="20"/>
  <c r="B65" i="5"/>
  <c r="P56" i="20" s="1"/>
  <c r="G45" i="5"/>
  <c r="E65" i="5"/>
  <c r="S56" i="20" s="1"/>
  <c r="U27" i="20"/>
  <c r="G16" i="5"/>
  <c r="C70" i="5"/>
  <c r="D44" i="4"/>
  <c r="C72" i="4"/>
  <c r="C74" i="4" s="1"/>
  <c r="Q39" i="18" s="1"/>
  <c r="D57" i="4"/>
  <c r="D59" i="4" s="1"/>
  <c r="C57" i="4"/>
  <c r="C59" i="4" s="1"/>
  <c r="B57" i="4"/>
  <c r="B59" i="4" s="1"/>
  <c r="T14" i="16"/>
  <c r="G8" i="2"/>
  <c r="G20" i="2"/>
  <c r="U13" i="16" s="1"/>
  <c r="U3" i="16"/>
  <c r="S3" i="16"/>
  <c r="C8" i="2"/>
  <c r="C20" i="2" s="1"/>
  <c r="Q13" i="16" s="1"/>
  <c r="Q3" i="16"/>
  <c r="B8" i="2"/>
  <c r="B20" i="2" s="1"/>
  <c r="P13" i="16" s="1"/>
  <c r="P4" i="16"/>
  <c r="P3" i="16"/>
  <c r="E79" i="1"/>
  <c r="P119" i="15" s="1"/>
  <c r="E47" i="1"/>
  <c r="E59" i="1" s="1"/>
  <c r="B47" i="1"/>
  <c r="B62" i="1" s="1"/>
  <c r="P54" i="15" s="1"/>
  <c r="F79" i="1"/>
  <c r="Q119" i="15" s="1"/>
  <c r="F47" i="1"/>
  <c r="F59" i="1" s="1"/>
  <c r="A2" i="10"/>
  <c r="C7" i="23"/>
  <c r="A2" i="11"/>
  <c r="I20" i="3"/>
  <c r="W5" i="17" s="1"/>
  <c r="S3" i="17"/>
  <c r="P3" i="25"/>
  <c r="V3" i="17"/>
  <c r="Q3" i="25"/>
  <c r="D6" i="10"/>
  <c r="D5" i="12"/>
  <c r="F6" i="1"/>
  <c r="E6" i="10"/>
  <c r="P25" i="18"/>
  <c r="B11" i="4"/>
  <c r="Q38" i="18"/>
  <c r="Y3" i="17"/>
  <c r="K20" i="3"/>
  <c r="Y5" i="17" s="1"/>
  <c r="D11" i="4"/>
  <c r="R25" i="18"/>
  <c r="R35" i="26"/>
  <c r="G9" i="8"/>
  <c r="U2" i="26" s="1"/>
  <c r="U3" i="26"/>
  <c r="H8" i="2"/>
  <c r="D8" i="2"/>
  <c r="R22" i="18"/>
  <c r="B70" i="5"/>
  <c r="Q76" i="15"/>
  <c r="P106" i="15"/>
  <c r="P26" i="18"/>
  <c r="B72" i="4"/>
  <c r="A2" i="12"/>
  <c r="P37" i="20"/>
  <c r="F65" i="5"/>
  <c r="D65" i="5"/>
  <c r="U37" i="20"/>
  <c r="G65" i="5"/>
  <c r="U56" i="20" s="1"/>
  <c r="P13" i="27"/>
  <c r="B33" i="9"/>
  <c r="P24" i="27" s="1"/>
  <c r="R13" i="27"/>
  <c r="D33" i="9"/>
  <c r="R24" i="27" s="1"/>
  <c r="F8" i="2"/>
  <c r="C44" i="4"/>
  <c r="D72" i="4"/>
  <c r="W3" i="17"/>
  <c r="P71" i="15"/>
  <c r="P19" i="18"/>
  <c r="B6" i="10"/>
  <c r="F6" i="10"/>
  <c r="P35" i="26"/>
  <c r="G41" i="5"/>
  <c r="U10" i="20"/>
  <c r="U13" i="27"/>
  <c r="S13" i="27"/>
  <c r="Q13" i="27"/>
  <c r="U129" i="24"/>
  <c r="G84" i="6"/>
  <c r="U76" i="24" s="1"/>
  <c r="U61" i="20"/>
  <c r="R2" i="25"/>
  <c r="R53" i="26"/>
  <c r="G43" i="8"/>
  <c r="R16" i="27"/>
  <c r="U2" i="29"/>
  <c r="Q2" i="29"/>
  <c r="A2" i="6"/>
  <c r="F43" i="8"/>
  <c r="P16" i="27"/>
  <c r="U16" i="27"/>
  <c r="Q16" i="27"/>
  <c r="F21" i="9"/>
  <c r="T2" i="29"/>
  <c r="T2" i="31"/>
  <c r="U40" i="20"/>
  <c r="C77" i="8"/>
  <c r="Q68" i="26" s="1"/>
  <c r="U2" i="30"/>
  <c r="Q2" i="30"/>
  <c r="G29" i="7" l="1"/>
  <c r="U4" i="25" s="1"/>
  <c r="E33" i="9"/>
  <c r="S24" i="27" s="1"/>
  <c r="F9" i="9"/>
  <c r="T2" i="27" s="1"/>
  <c r="T3" i="27"/>
  <c r="Q3" i="27"/>
  <c r="C9" i="9"/>
  <c r="P95" i="15"/>
  <c r="P42" i="15"/>
  <c r="G33" i="9"/>
  <c r="U24" i="27" s="1"/>
  <c r="E77" i="8"/>
  <c r="S68" i="26" s="1"/>
  <c r="B77" i="8"/>
  <c r="P68" i="26" s="1"/>
  <c r="E159" i="6"/>
  <c r="S150" i="24" s="1"/>
  <c r="C159" i="6"/>
  <c r="Q150" i="24" s="1"/>
  <c r="B159" i="6"/>
  <c r="P150" i="24" s="1"/>
  <c r="D159" i="6"/>
  <c r="R150" i="24" s="1"/>
  <c r="G9" i="6"/>
  <c r="U2" i="24" s="1"/>
  <c r="F159" i="6"/>
  <c r="T150" i="24" s="1"/>
  <c r="E70" i="5"/>
  <c r="Q95" i="15"/>
  <c r="A2" i="9"/>
  <c r="A2" i="5"/>
  <c r="A2" i="1"/>
  <c r="A2" i="4"/>
  <c r="A2" i="7"/>
  <c r="A2" i="8"/>
  <c r="A2" i="3"/>
  <c r="A2" i="2"/>
  <c r="C62" i="1"/>
  <c r="Q54" i="15" s="1"/>
  <c r="Q42" i="15"/>
  <c r="T3" i="16"/>
  <c r="F20" i="2"/>
  <c r="T13" i="16" s="1"/>
  <c r="D70" i="5"/>
  <c r="R56" i="20"/>
  <c r="P38" i="18"/>
  <c r="B74" i="4"/>
  <c r="P39" i="18" s="1"/>
  <c r="D8" i="4"/>
  <c r="R5" i="18"/>
  <c r="Q104" i="15"/>
  <c r="F81" i="1"/>
  <c r="Q120" i="15" s="1"/>
  <c r="Q25" i="18"/>
  <c r="C11" i="4"/>
  <c r="H20" i="2"/>
  <c r="V13" i="16" s="1"/>
  <c r="V3" i="16"/>
  <c r="T13" i="27"/>
  <c r="F33" i="9"/>
  <c r="T24" i="27" s="1"/>
  <c r="T35" i="26"/>
  <c r="F77" i="8"/>
  <c r="T68" i="26" s="1"/>
  <c r="G42" i="5"/>
  <c r="U35" i="20" s="1"/>
  <c r="U34" i="20"/>
  <c r="G70" i="5"/>
  <c r="T56" i="20"/>
  <c r="F70" i="5"/>
  <c r="B8" i="4"/>
  <c r="P5" i="18"/>
  <c r="E81" i="1"/>
  <c r="P120" i="15" s="1"/>
  <c r="P104" i="15"/>
  <c r="G77" i="8"/>
  <c r="U68" i="26" s="1"/>
  <c r="U35" i="26"/>
  <c r="D74" i="4"/>
  <c r="R39" i="18" s="1"/>
  <c r="R38" i="18"/>
  <c r="R3" i="16"/>
  <c r="D20" i="2"/>
  <c r="R13" i="16" s="1"/>
  <c r="Q2" i="27" l="1"/>
  <c r="C33" i="9"/>
  <c r="Q24" i="27" s="1"/>
  <c r="G159" i="6"/>
  <c r="U150" i="24" s="1"/>
  <c r="B21" i="4"/>
  <c r="P2" i="18"/>
  <c r="C8" i="4"/>
  <c r="Q5" i="18"/>
  <c r="R2" i="18"/>
  <c r="D21" i="4"/>
  <c r="D23" i="4" l="1"/>
  <c r="R12" i="18"/>
  <c r="Q2" i="18"/>
  <c r="C21" i="4"/>
  <c r="P12" i="18"/>
  <c r="B23" i="4"/>
  <c r="C23" i="4" l="1"/>
  <c r="Q12" i="18"/>
  <c r="B25" i="4"/>
  <c r="P13" i="18"/>
  <c r="R13" i="18"/>
  <c r="D25" i="4"/>
  <c r="R14" i="18" l="1"/>
  <c r="D33" i="4"/>
  <c r="R18" i="18" s="1"/>
  <c r="B33" i="4"/>
  <c r="P18" i="18" s="1"/>
  <c r="P14" i="18"/>
  <c r="C25" i="4"/>
  <c r="Q13" i="18"/>
  <c r="C33" i="4" l="1"/>
  <c r="Q18" i="18" s="1"/>
  <c r="Q14" i="18"/>
</calcChain>
</file>

<file path=xl/sharedStrings.xml><?xml version="1.0" encoding="utf-8"?>
<sst xmlns="http://schemas.openxmlformats.org/spreadsheetml/2006/main" count="4242" uniqueCount="3312">
  <si>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</si>
  <si>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</si>
  <si>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</si>
  <si>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</si>
  <si>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</si>
  <si>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</si>
  <si>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</si>
  <si>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</si>
  <si>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</si>
  <si>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</si>
  <si>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</si>
  <si>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</si>
  <si>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</si>
  <si>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</si>
  <si>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</si>
  <si>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</si>
  <si>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</si>
  <si>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</si>
  <si>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</si>
  <si>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</si>
  <si>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</si>
  <si>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</si>
  <si>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</si>
  <si>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</si>
  <si>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</si>
  <si>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</si>
  <si>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</si>
  <si>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</si>
  <si>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</si>
  <si>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</si>
  <si>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</si>
  <si>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</si>
  <si>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</si>
  <si>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</si>
  <si>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</si>
  <si>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</si>
  <si>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</si>
  <si>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</si>
  <si>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</si>
  <si>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</si>
  <si>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</si>
  <si>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</si>
  <si>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</si>
  <si>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</si>
  <si>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</si>
  <si>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</si>
  <si>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</si>
  <si>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</si>
  <si>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</si>
  <si>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</si>
  <si>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</si>
  <si>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</si>
  <si>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</si>
  <si>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</si>
  <si>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</si>
  <si>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</si>
  <si>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</si>
  <si>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</si>
  <si>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</si>
  <si>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</si>
  <si>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</si>
  <si>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</si>
  <si>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</si>
  <si>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</si>
  <si>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</si>
  <si>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</si>
  <si>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</si>
  <si>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</si>
  <si>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</si>
  <si>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</si>
  <si>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</si>
  <si>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</si>
  <si>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</si>
  <si>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</si>
  <si>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</si>
  <si>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</si>
  <si>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</si>
  <si>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</si>
  <si>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</si>
  <si>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</si>
  <si>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</si>
  <si>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</si>
  <si>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</si>
  <si>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</si>
  <si>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</si>
  <si>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</si>
  <si>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</si>
  <si>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</si>
  <si>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</si>
  <si>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</si>
  <si>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</si>
  <si>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</si>
  <si>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</si>
  <si>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</si>
  <si>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</si>
  <si>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</si>
  <si>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</si>
  <si>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</si>
  <si>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</si>
  <si>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</si>
  <si>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</si>
  <si>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</si>
  <si>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</si>
  <si>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</si>
  <si>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</si>
  <si>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</si>
  <si>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</si>
  <si>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</si>
  <si>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</si>
  <si>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</si>
  <si>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</si>
  <si>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</si>
  <si>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</si>
  <si>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</si>
  <si>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</si>
  <si>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</si>
  <si>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</si>
  <si>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</si>
  <si>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</si>
  <si>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</si>
  <si>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</si>
  <si>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</si>
  <si>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</si>
  <si>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</si>
  <si>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</si>
  <si>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</si>
  <si>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</si>
  <si>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</si>
  <si>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</si>
  <si>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</si>
  <si>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</si>
  <si>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</si>
  <si>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</si>
  <si>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</si>
  <si>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</si>
  <si>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</si>
  <si>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</si>
  <si>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</si>
  <si>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</si>
  <si>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</si>
  <si>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</si>
  <si>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</si>
  <si>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</si>
  <si>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</si>
  <si>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</si>
  <si>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</si>
  <si>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</si>
  <si>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</si>
  <si>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</si>
  <si>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</si>
  <si>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</si>
  <si>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</si>
  <si>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</si>
  <si>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</si>
  <si>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</si>
  <si>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</si>
  <si>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</si>
  <si>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</si>
  <si>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</si>
  <si>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</si>
  <si>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</si>
  <si>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</si>
  <si>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</si>
  <si>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</si>
  <si>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</si>
  <si>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</si>
  <si>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</si>
  <si>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</si>
  <si>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</si>
  <si>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</si>
  <si>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</si>
  <si>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</si>
  <si>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</si>
  <si>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</si>
  <si>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</si>
  <si>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</si>
  <si>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</si>
  <si>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</si>
  <si>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</si>
  <si>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</si>
  <si>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</si>
  <si>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</si>
  <si>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</si>
  <si>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</si>
  <si>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</si>
  <si>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</si>
  <si>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</si>
  <si>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</si>
  <si>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</si>
  <si>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</si>
  <si>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</si>
  <si>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</si>
  <si>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</si>
  <si>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</si>
  <si>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</si>
  <si>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</si>
  <si>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</si>
  <si>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</si>
  <si>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</si>
  <si>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</si>
  <si>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</si>
  <si>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</si>
  <si>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</si>
  <si>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</si>
  <si>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</si>
  <si>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</si>
  <si>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</si>
  <si>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</si>
  <si>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</si>
  <si>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</si>
  <si>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</si>
  <si>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</si>
  <si>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</si>
  <si>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</si>
  <si>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</si>
  <si>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</si>
  <si>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</si>
  <si>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</si>
  <si>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</si>
  <si>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</si>
  <si>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</si>
  <si>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</si>
  <si>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</si>
  <si>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</si>
  <si>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</si>
  <si>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</si>
  <si>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</si>
  <si>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</si>
  <si>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</si>
  <si>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</si>
  <si>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</si>
  <si>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</si>
  <si>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</si>
  <si>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</si>
  <si>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</si>
  <si>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</si>
  <si>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</si>
  <si>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</si>
  <si>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</si>
  <si>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</si>
  <si>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</si>
  <si>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</si>
  <si>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</si>
  <si>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</si>
  <si>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</si>
  <si>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</si>
  <si>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</si>
  <si>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</si>
  <si>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</si>
  <si>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</si>
  <si>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</si>
  <si>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</si>
  <si>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</si>
  <si>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</si>
  <si>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</si>
  <si>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</si>
  <si>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</si>
  <si>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</si>
  <si>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</si>
  <si>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</si>
  <si>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</si>
  <si>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</si>
  <si>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</si>
  <si>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</si>
  <si>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</si>
  <si>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</si>
  <si>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</si>
  <si>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</si>
  <si>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</si>
  <si>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</si>
  <si>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</si>
  <si>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</si>
  <si>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</si>
  <si>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</si>
  <si>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</si>
  <si>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</si>
  <si>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</si>
  <si>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</si>
  <si>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</si>
  <si>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</si>
  <si>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</si>
  <si>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</si>
  <si>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</si>
  <si>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</si>
  <si>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</si>
  <si>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</si>
  <si>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</si>
  <si>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</si>
  <si>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</si>
  <si>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</si>
  <si>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</si>
  <si>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</si>
  <si>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</si>
  <si>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</si>
  <si>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</si>
  <si>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</si>
  <si>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</si>
  <si>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</si>
  <si>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</si>
  <si>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</si>
  <si>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</si>
  <si>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</si>
  <si>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</si>
  <si>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</si>
  <si>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</si>
  <si>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</si>
  <si>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</si>
  <si>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</si>
  <si>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</si>
  <si>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</si>
  <si>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</si>
  <si>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</si>
  <si>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</si>
  <si>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</si>
  <si>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</si>
  <si>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</si>
  <si>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</si>
  <si>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</si>
  <si>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</si>
  <si>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</si>
  <si>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</si>
  <si>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</si>
  <si>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</si>
  <si>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</si>
  <si>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</si>
  <si>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</si>
  <si>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</si>
  <si>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</si>
  <si>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</si>
  <si>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</si>
  <si>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</si>
  <si>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</si>
  <si>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</si>
  <si>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</si>
  <si>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</si>
  <si>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</si>
  <si>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</si>
  <si>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</si>
  <si>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</si>
  <si>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</si>
  <si>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</si>
  <si>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</si>
  <si>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</si>
  <si>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</si>
  <si>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</si>
  <si>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</si>
  <si>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</si>
  <si>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</si>
  <si>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</si>
  <si>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</si>
  <si>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</si>
  <si>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</si>
  <si>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</si>
  <si>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</si>
  <si>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</si>
  <si>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</si>
  <si>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</si>
  <si>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</si>
  <si>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</si>
  <si>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</si>
  <si>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</si>
  <si>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</si>
  <si>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</si>
  <si>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</si>
  <si>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</si>
  <si>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</si>
  <si>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</si>
  <si>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</si>
  <si>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</si>
  <si>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</si>
  <si>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</si>
  <si>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</si>
  <si>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</si>
  <si>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</si>
  <si>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</si>
  <si>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</si>
  <si>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</si>
  <si>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</si>
  <si>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</si>
  <si>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</si>
  <si>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</si>
  <si>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</si>
  <si>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</si>
  <si>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</si>
  <si>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</si>
  <si>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</si>
  <si>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</si>
  <si>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</si>
  <si>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</si>
  <si>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</si>
  <si>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</si>
  <si>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</si>
  <si>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</si>
  <si>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</si>
  <si>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</si>
  <si>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</si>
  <si>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</si>
  <si>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</si>
  <si>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</si>
  <si>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</si>
  <si>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</si>
  <si>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</si>
  <si>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</si>
  <si>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</si>
  <si>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</si>
  <si>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</si>
  <si>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</si>
  <si>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</si>
  <si>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</si>
  <si>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</si>
  <si>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</si>
  <si>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</si>
  <si>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</si>
  <si>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</si>
  <si>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</si>
  <si>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</si>
  <si>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</si>
  <si>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</si>
  <si>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</si>
  <si>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</si>
  <si>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</si>
  <si>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</si>
  <si>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</si>
  <si>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</si>
  <si>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</si>
  <si>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</si>
  <si>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</si>
  <si>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</si>
  <si>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</si>
  <si>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</si>
  <si>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</si>
  <si>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</si>
  <si>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</si>
  <si>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</si>
  <si>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</si>
  <si>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</si>
  <si>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</si>
  <si>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</si>
  <si>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</si>
  <si>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</si>
  <si>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</si>
  <si>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</si>
  <si>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</si>
  <si>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</si>
  <si>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</si>
  <si>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</si>
  <si>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</si>
  <si>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</si>
  <si>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</si>
  <si>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</si>
  <si>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</si>
  <si>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</si>
  <si>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</si>
  <si>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</si>
  <si>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</si>
  <si>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</si>
  <si>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</si>
  <si>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</si>
  <si>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</si>
  <si>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</si>
  <si>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</si>
  <si>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</si>
  <si>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</si>
  <si>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</si>
  <si>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</si>
  <si>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</si>
  <si>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</si>
  <si>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</si>
  <si>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</si>
  <si>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</si>
  <si>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</si>
  <si>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</si>
  <si>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</si>
  <si>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</si>
  <si>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</si>
  <si>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</si>
  <si>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</si>
  <si>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</si>
  <si>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</si>
  <si>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</si>
  <si>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</si>
  <si>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</si>
  <si>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</si>
  <si>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</si>
  <si>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</si>
  <si>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</si>
  <si>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</si>
  <si>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</si>
  <si>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</si>
  <si>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</si>
  <si>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</si>
  <si>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</si>
  <si>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</si>
  <si>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</si>
  <si>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</si>
  <si>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</si>
  <si>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</si>
  <si>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</si>
  <si>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</si>
  <si>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</si>
  <si>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</si>
  <si>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</si>
  <si>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</si>
  <si>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</si>
  <si>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</si>
  <si>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</si>
  <si>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</si>
  <si>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</si>
  <si>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</si>
  <si>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</si>
  <si>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</si>
  <si>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</si>
  <si>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</si>
  <si>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</si>
  <si>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</si>
  <si>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</si>
  <si>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</si>
  <si>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</si>
  <si>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</si>
  <si>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</si>
  <si>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</si>
  <si>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</si>
  <si>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</si>
  <si>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</si>
  <si>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</si>
  <si>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</si>
  <si>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</si>
  <si>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</si>
  <si>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</si>
  <si>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</si>
  <si>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</si>
  <si>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</si>
  <si>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</si>
  <si>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</si>
  <si>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</si>
  <si>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</si>
  <si>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</si>
  <si>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</si>
  <si>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</si>
  <si>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</si>
  <si>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</si>
  <si>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</si>
  <si>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</si>
  <si>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</si>
  <si>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</si>
  <si>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</si>
  <si>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</si>
  <si>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</si>
  <si>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</si>
  <si>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</si>
  <si>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</si>
  <si>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</si>
  <si>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</si>
  <si>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</si>
  <si>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</si>
  <si>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</si>
  <si>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</si>
  <si>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</si>
  <si>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</si>
  <si>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</si>
  <si>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</si>
  <si>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</si>
  <si>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</si>
  <si>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</si>
  <si>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</si>
  <si>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</si>
  <si>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</si>
  <si>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</si>
  <si>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</si>
  <si>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</si>
  <si>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</si>
  <si>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</si>
  <si>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</si>
  <si>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</si>
  <si>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</si>
  <si>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</si>
  <si>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</si>
  <si>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</si>
  <si>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</si>
  <si>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</si>
  <si>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</si>
  <si>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</si>
  <si>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</si>
  <si>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</si>
  <si>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</si>
  <si>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</si>
  <si>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</si>
  <si>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</si>
  <si>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</si>
  <si>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</si>
  <si>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</si>
  <si>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</si>
  <si>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</si>
  <si>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</si>
  <si>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</si>
  <si>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</si>
  <si>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</si>
  <si>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</si>
  <si>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</si>
  <si>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</si>
  <si>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</si>
  <si>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</si>
  <si>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</si>
  <si>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</si>
  <si>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</si>
  <si>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</si>
  <si>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</si>
  <si>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</si>
  <si>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</si>
  <si>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</si>
  <si>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</si>
  <si>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</si>
  <si>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</si>
  <si>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</si>
  <si>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</si>
  <si>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</si>
  <si>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</si>
  <si>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</si>
  <si>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</si>
  <si>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</si>
  <si>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</si>
  <si>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</si>
  <si>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</si>
  <si>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</si>
  <si>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</si>
  <si>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</si>
  <si>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</si>
  <si>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</si>
  <si>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</si>
  <si>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</si>
  <si>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</si>
  <si>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</si>
  <si>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</si>
  <si>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</si>
  <si>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</si>
  <si>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</si>
  <si>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</si>
  <si>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</si>
  <si>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</si>
  <si>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</si>
  <si>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</si>
  <si>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</si>
  <si>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</si>
  <si>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</si>
  <si>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</si>
  <si>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</si>
  <si>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</si>
  <si>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</si>
  <si>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</si>
  <si>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</si>
  <si>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</si>
  <si>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</si>
  <si>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</si>
  <si>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</si>
  <si>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</si>
  <si>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</si>
  <si>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</si>
  <si>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</si>
  <si>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</si>
  <si>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</si>
  <si>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</si>
  <si>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</si>
  <si>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</si>
  <si>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</si>
  <si>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</si>
  <si>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</si>
  <si>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</si>
  <si>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</si>
  <si>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</si>
  <si>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</si>
  <si>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</si>
  <si>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</si>
  <si>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</si>
  <si>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</si>
  <si>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</si>
  <si>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</si>
  <si>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</si>
  <si>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</si>
  <si>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</si>
  <si>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</si>
  <si>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</si>
  <si>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</si>
  <si>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</si>
  <si>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</si>
  <si>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</si>
  <si>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</si>
  <si>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</si>
  <si>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</si>
  <si>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</si>
  <si>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</si>
  <si>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</si>
  <si>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</si>
  <si>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</si>
  <si>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</si>
  <si>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</si>
  <si>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</si>
  <si>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</si>
  <si>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</si>
  <si>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</si>
  <si>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</si>
  <si>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</si>
  <si>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</si>
  <si>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</si>
  <si>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</si>
  <si>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</si>
  <si>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</si>
  <si>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</si>
  <si>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</si>
  <si>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</si>
  <si>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</si>
  <si>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</si>
  <si>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</si>
  <si>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</si>
  <si>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</si>
  <si>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</si>
  <si>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</si>
  <si>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</si>
  <si>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</si>
  <si>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</si>
  <si>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</si>
  <si>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</si>
  <si>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</si>
  <si>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</si>
  <si>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</si>
  <si>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</si>
  <si>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</si>
  <si>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</si>
  <si>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</si>
  <si>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</si>
  <si>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</si>
  <si>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</si>
  <si>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</si>
  <si>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</si>
  <si>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</si>
  <si>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</si>
  <si>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</si>
  <si>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</si>
  <si>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</si>
  <si>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</si>
  <si>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</si>
  <si>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</si>
  <si>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</si>
  <si>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</si>
  <si>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</si>
  <si>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</si>
  <si>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</si>
  <si>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</si>
  <si>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</si>
  <si>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</si>
  <si>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</si>
  <si>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</si>
  <si>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</si>
  <si>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</si>
  <si>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</si>
  <si>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</si>
  <si>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</si>
  <si>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</si>
  <si>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</si>
  <si>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</si>
  <si>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</si>
  <si>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</si>
  <si>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</si>
  <si>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</si>
  <si>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</si>
  <si>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</si>
  <si>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</si>
  <si>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</si>
  <si>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</si>
  <si>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</si>
  <si>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</si>
  <si>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</si>
  <si>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</si>
  <si>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</si>
  <si>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</si>
  <si>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</si>
  <si>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</si>
  <si>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</si>
  <si>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</si>
  <si>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</si>
  <si>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</si>
  <si>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</si>
  <si>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</si>
  <si>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</si>
  <si>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</si>
  <si>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</si>
  <si>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</si>
  <si>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</si>
  <si>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</si>
  <si>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</si>
  <si>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</si>
  <si>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</si>
  <si>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</si>
  <si>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</si>
  <si>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</si>
  <si>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</si>
  <si>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</si>
  <si>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</si>
  <si>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</si>
  <si>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</si>
  <si>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</si>
  <si>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</si>
  <si>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</si>
  <si>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</si>
  <si>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</si>
  <si>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</si>
  <si>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</si>
  <si>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</si>
  <si>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</si>
  <si>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</si>
  <si>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</si>
  <si>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</si>
  <si>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</si>
  <si>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</si>
  <si>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</si>
  <si>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</si>
  <si>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</si>
  <si>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</si>
  <si>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</si>
  <si>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</si>
  <si>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</si>
  <si>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</si>
  <si>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</si>
  <si>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</si>
  <si>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</si>
  <si>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</si>
  <si>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</si>
  <si>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</si>
  <si>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</si>
  <si>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</si>
  <si>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</si>
  <si>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</si>
  <si>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</si>
  <si>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</si>
  <si>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</si>
  <si>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</si>
  <si>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</si>
  <si>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</si>
  <si>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</si>
  <si>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</si>
  <si>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</si>
  <si>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</si>
  <si>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</si>
  <si>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</si>
  <si>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</si>
  <si>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</si>
  <si>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</si>
  <si>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</si>
  <si>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</si>
  <si>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</si>
  <si>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</si>
  <si>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</si>
  <si>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</si>
  <si>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</si>
  <si>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</si>
  <si>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</si>
  <si>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</si>
  <si>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</si>
  <si>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</si>
  <si>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</si>
  <si>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</si>
  <si>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</si>
  <si>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</si>
  <si>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</si>
  <si>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</si>
  <si>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</si>
  <si>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</si>
  <si>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</si>
  <si>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</si>
  <si>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</si>
  <si>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</si>
  <si>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</si>
  <si>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</si>
  <si>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</si>
  <si>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</si>
  <si>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</si>
  <si>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</si>
  <si>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</si>
  <si>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</si>
  <si>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</si>
  <si>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</si>
  <si>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</si>
  <si>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</si>
  <si>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</si>
  <si>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</si>
  <si>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</si>
  <si>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</si>
  <si>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</si>
  <si>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</si>
  <si>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</si>
  <si>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</si>
  <si>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</si>
  <si>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</si>
  <si>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</si>
  <si>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</si>
  <si>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</si>
  <si>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</si>
  <si>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</si>
  <si>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</si>
  <si>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</si>
  <si>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</si>
  <si>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</si>
  <si>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</si>
  <si>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</si>
  <si>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</si>
  <si>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</si>
  <si>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</si>
  <si>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</si>
  <si>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</si>
  <si>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</si>
  <si>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</si>
  <si>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</si>
  <si>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</si>
  <si>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</si>
  <si>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</si>
  <si>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</si>
  <si>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</si>
  <si>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</si>
  <si>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</si>
  <si>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</si>
  <si>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</si>
  <si>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</si>
  <si>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</si>
  <si>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</si>
  <si>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</si>
  <si>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</si>
  <si>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</si>
  <si>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</si>
  <si>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</si>
  <si>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</si>
  <si>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</si>
  <si>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</si>
  <si>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</si>
  <si>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</si>
  <si>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</si>
  <si>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</si>
  <si>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</si>
  <si>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</si>
  <si>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</si>
  <si>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</si>
  <si>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</si>
  <si>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</si>
  <si>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</si>
  <si>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</si>
  <si>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</si>
  <si>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</si>
  <si>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</si>
  <si>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</si>
  <si>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</si>
  <si>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</si>
  <si>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</si>
  <si>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</si>
  <si>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</si>
  <si>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</si>
  <si>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</si>
  <si>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</si>
  <si>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</si>
  <si>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</si>
  <si>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</si>
  <si>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</si>
  <si>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</si>
  <si>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</si>
  <si>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</si>
  <si>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</si>
  <si>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</si>
  <si>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</si>
  <si>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</si>
  <si>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</si>
  <si>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</si>
  <si>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</si>
  <si>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</si>
  <si>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</si>
  <si>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</si>
  <si>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</si>
  <si>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</si>
  <si>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</si>
  <si>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</si>
  <si>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</si>
  <si>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</si>
  <si>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</si>
  <si>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</si>
  <si>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</si>
  <si>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</si>
  <si>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</si>
  <si>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</si>
  <si>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</si>
  <si>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</si>
  <si>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</si>
  <si>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</si>
  <si>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</si>
  <si>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</si>
  <si>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</si>
  <si>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</si>
  <si>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</si>
  <si>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</si>
  <si>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</si>
  <si>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</si>
  <si>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</si>
  <si>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</si>
  <si>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</si>
  <si>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</si>
  <si>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</si>
  <si>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</si>
  <si>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</si>
  <si>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</si>
  <si>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</si>
  <si>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</si>
  <si>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</si>
  <si>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</si>
  <si>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</si>
  <si>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</si>
  <si>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</si>
  <si>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</si>
  <si>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</si>
  <si>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</si>
  <si>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</si>
  <si>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</si>
  <si>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</si>
  <si>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</si>
  <si>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</si>
  <si>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</si>
  <si>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</si>
  <si>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</si>
  <si>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</si>
  <si>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</si>
  <si>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</si>
  <si>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</si>
  <si>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</si>
  <si>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</si>
  <si>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</si>
  <si>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</si>
  <si>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</si>
  <si>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</si>
  <si>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</si>
  <si>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</si>
  <si>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</si>
  <si>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</si>
  <si>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</si>
  <si>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</si>
  <si>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</si>
  <si>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</si>
  <si>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</si>
  <si>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</si>
  <si>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</si>
  <si>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</si>
  <si>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</si>
  <si>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</si>
  <si>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</si>
  <si>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</si>
  <si>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</si>
  <si>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</si>
  <si>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</si>
  <si>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</si>
  <si>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</si>
  <si>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</si>
  <si>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</si>
  <si>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</si>
  <si>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</si>
  <si>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</si>
  <si>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</si>
  <si>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</si>
  <si>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</si>
  <si>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</si>
  <si>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</si>
  <si>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</si>
  <si>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</si>
  <si>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</si>
  <si>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</si>
  <si>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</si>
  <si>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</si>
  <si>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</si>
  <si>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</si>
  <si>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</si>
  <si>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</si>
  <si>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</si>
  <si>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</si>
  <si>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</si>
  <si>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</si>
  <si>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</si>
  <si>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</si>
  <si>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</si>
  <si>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</si>
  <si>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</si>
  <si>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</si>
  <si>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</si>
  <si>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</si>
  <si>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</si>
  <si>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</si>
  <si>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</si>
  <si>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</si>
  <si>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</si>
  <si>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</si>
  <si>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</si>
  <si>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</si>
  <si>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</si>
  <si>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</si>
  <si>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</si>
  <si>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</si>
  <si>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</si>
  <si>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</si>
  <si>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</si>
  <si>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</si>
  <si>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</si>
  <si>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</si>
  <si>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</si>
  <si>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</si>
  <si>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</si>
  <si>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</si>
  <si>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</si>
  <si>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</si>
  <si>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</si>
  <si>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</si>
  <si>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</si>
  <si>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</si>
  <si>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</si>
  <si>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</si>
  <si>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</si>
  <si>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</si>
  <si>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</si>
  <si>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</si>
  <si>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</si>
  <si>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</si>
  <si>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</si>
  <si>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</si>
  <si>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</si>
  <si>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</si>
  <si>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</si>
  <si>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</si>
  <si>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</si>
  <si>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</si>
  <si>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</si>
  <si>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</si>
  <si>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</si>
  <si>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</si>
  <si>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</si>
  <si>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</si>
  <si>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</si>
  <si>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</si>
  <si>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</si>
  <si>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</si>
  <si>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</si>
  <si>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</si>
  <si>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</si>
  <si>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</si>
  <si>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</si>
  <si>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</si>
  <si>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</si>
  <si>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</si>
  <si>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</si>
  <si>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</si>
  <si>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</si>
  <si>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</si>
  <si>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</si>
  <si>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</si>
  <si>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</si>
  <si>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</si>
  <si>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</si>
  <si>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</si>
  <si>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</si>
  <si>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</si>
  <si>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</si>
  <si>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</si>
  <si>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</si>
  <si>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</si>
  <si>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</si>
  <si>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</si>
  <si>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</si>
  <si>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</si>
  <si>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</si>
  <si>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</si>
  <si>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</si>
  <si>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</si>
  <si>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</si>
  <si>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</si>
  <si>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</si>
  <si>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</si>
  <si>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</si>
  <si>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</si>
  <si>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</si>
  <si>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</si>
  <si>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</si>
  <si>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</si>
  <si>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</si>
  <si>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</si>
  <si>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</si>
  <si>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</si>
  <si>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</si>
  <si>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</si>
  <si>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</si>
  <si>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</si>
  <si>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</si>
  <si>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</si>
  <si>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</si>
  <si>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</si>
  <si>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</si>
  <si>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</si>
  <si>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</si>
  <si>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</si>
  <si>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</si>
  <si>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</si>
  <si>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</si>
  <si>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</si>
  <si>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</si>
  <si>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</si>
  <si>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</si>
  <si>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</si>
  <si>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</si>
  <si>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</si>
  <si>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</si>
  <si>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</si>
  <si>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</si>
  <si>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</si>
  <si>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</si>
  <si>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</si>
  <si>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</si>
  <si>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</si>
  <si>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</si>
  <si>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</si>
  <si>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</si>
  <si>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</si>
  <si>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</si>
  <si>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</si>
  <si>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</si>
  <si>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</si>
  <si>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</si>
  <si>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</si>
  <si>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</si>
  <si>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</si>
  <si>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</si>
  <si>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</si>
  <si>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</si>
  <si>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</si>
  <si>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</si>
  <si>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</si>
  <si>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</si>
  <si>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</si>
  <si>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</si>
  <si>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</si>
  <si>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</si>
  <si>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</si>
  <si>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</si>
  <si>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</si>
  <si>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</si>
  <si>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</si>
  <si>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</si>
  <si>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</si>
  <si>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</si>
  <si>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</si>
  <si>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</si>
  <si>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</si>
  <si>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</si>
  <si>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</si>
  <si>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</si>
  <si>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</si>
  <si>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</si>
  <si>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</si>
  <si>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</si>
  <si>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</si>
  <si>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</si>
  <si>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</si>
  <si>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</si>
  <si>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</si>
  <si>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</si>
  <si>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</si>
  <si>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</si>
  <si>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</si>
  <si>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</si>
  <si>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</si>
  <si>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</si>
  <si>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</si>
  <si>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</si>
  <si>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</si>
  <si>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</si>
  <si>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</si>
  <si>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</si>
  <si>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</si>
  <si>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</si>
  <si>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</si>
  <si>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</si>
  <si>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</si>
  <si>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</si>
  <si>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</si>
  <si>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</si>
  <si>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</si>
  <si>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</si>
  <si>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</si>
  <si>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</si>
  <si>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</si>
  <si>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</si>
  <si>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</si>
  <si>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</si>
  <si>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</si>
  <si>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</si>
  <si>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</si>
  <si>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</si>
  <si>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</si>
  <si>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</si>
  <si>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</si>
  <si>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</si>
  <si>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</si>
  <si>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</si>
  <si>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</si>
  <si>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</si>
  <si>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</si>
  <si>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</si>
  <si>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</si>
  <si>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</si>
  <si>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</si>
  <si>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</si>
  <si>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</si>
  <si>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</si>
  <si>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</si>
  <si>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</si>
  <si>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</si>
  <si>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</si>
  <si>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</si>
  <si>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</si>
  <si>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</si>
  <si>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</si>
  <si>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</si>
  <si>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</si>
  <si>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</si>
  <si>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</si>
  <si>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</si>
  <si>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</si>
  <si>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</si>
  <si>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</si>
  <si>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</si>
  <si>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</si>
  <si>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</si>
  <si>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</si>
  <si>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</si>
  <si>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</si>
  <si>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</si>
  <si>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</si>
  <si>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</si>
  <si>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</si>
  <si>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</si>
  <si>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</si>
  <si>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</si>
  <si>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</si>
  <si>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</si>
  <si>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</si>
  <si>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</si>
  <si>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</si>
  <si>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</si>
  <si>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</si>
  <si>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</si>
  <si>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</si>
  <si>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</si>
  <si>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</si>
  <si>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</si>
  <si>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</si>
  <si>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</si>
  <si>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</si>
  <si>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</si>
  <si>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</si>
  <si>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</si>
  <si>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</si>
  <si>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</si>
  <si>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</si>
  <si>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</si>
  <si>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</si>
  <si>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</si>
  <si>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</si>
  <si>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</si>
  <si>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</si>
  <si>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</si>
  <si>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</si>
  <si>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</si>
  <si>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</si>
  <si>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</si>
  <si>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</si>
  <si>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</si>
  <si>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</si>
  <si>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</si>
  <si>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</si>
  <si>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</si>
  <si>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</si>
  <si>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</si>
  <si>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</si>
  <si>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</si>
  <si>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</si>
  <si>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</si>
  <si>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</si>
  <si>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</si>
  <si>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</si>
  <si>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</si>
  <si>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</si>
  <si>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</si>
  <si>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</si>
  <si>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</si>
  <si>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</si>
  <si>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</si>
  <si>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</si>
  <si>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</si>
  <si>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</si>
  <si>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</si>
  <si>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</si>
  <si>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</si>
  <si>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</si>
  <si>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</si>
  <si>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</si>
  <si>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</si>
  <si>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</si>
  <si>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</si>
  <si>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</si>
  <si>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</si>
  <si>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</si>
  <si>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</si>
  <si>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</si>
  <si>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</si>
  <si>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</si>
  <si>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</si>
  <si>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</si>
  <si>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</si>
  <si>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</si>
  <si>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</si>
  <si>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</si>
  <si>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</si>
  <si>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</si>
  <si>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</si>
  <si>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</si>
  <si>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</si>
  <si>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</si>
  <si>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</si>
  <si>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</si>
  <si>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</si>
  <si>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</si>
  <si>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</si>
  <si>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</si>
  <si>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</si>
  <si>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</si>
  <si>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</si>
  <si>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</si>
  <si>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</si>
  <si>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</si>
  <si>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</si>
  <si>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</si>
  <si>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</si>
  <si>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</si>
  <si>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</si>
  <si>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</si>
  <si>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</si>
  <si>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</si>
  <si>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</si>
  <si>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</si>
  <si>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</si>
  <si>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</si>
  <si>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</si>
  <si>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</si>
  <si>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</si>
  <si>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</si>
  <si>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</si>
  <si>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</si>
  <si>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</si>
  <si>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</si>
  <si>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</si>
  <si>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</si>
  <si>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</si>
  <si>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</si>
  <si>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</si>
  <si>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</si>
  <si>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</si>
  <si>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</si>
  <si>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</si>
  <si>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</si>
  <si>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</si>
  <si>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</si>
  <si>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</si>
  <si>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</si>
  <si>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</si>
  <si>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</si>
  <si>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</si>
  <si>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</si>
  <si>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</si>
  <si>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</si>
  <si>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</si>
  <si>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</si>
  <si>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</si>
  <si>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</si>
  <si>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</si>
  <si>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</si>
  <si>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</si>
  <si>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</si>
  <si>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</si>
  <si>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</si>
  <si>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</si>
  <si>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</si>
  <si>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</si>
  <si>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</si>
  <si>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</si>
  <si>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</si>
  <si>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</si>
  <si>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</si>
  <si>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</si>
  <si>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</si>
  <si>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</si>
  <si>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</si>
  <si>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</si>
  <si>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</si>
  <si>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</si>
  <si>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</si>
  <si>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</si>
  <si>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</si>
  <si>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</si>
  <si>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</si>
  <si>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</si>
  <si>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</si>
  <si>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</si>
  <si>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</si>
  <si>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</si>
  <si>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</si>
  <si>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</si>
  <si>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</si>
  <si>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</si>
  <si>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</si>
  <si>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</si>
  <si>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</si>
  <si>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</si>
  <si>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</si>
  <si>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</si>
  <si>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</si>
  <si>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</si>
  <si>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</si>
  <si>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</si>
  <si>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</si>
  <si>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</si>
  <si>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</si>
  <si>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</si>
  <si>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</si>
  <si>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</si>
  <si>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</si>
  <si>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</si>
  <si>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</si>
  <si>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</si>
  <si>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</si>
  <si>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</si>
  <si>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</si>
  <si>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</si>
  <si>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</si>
  <si>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</si>
  <si>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</si>
  <si>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</si>
  <si>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</si>
  <si>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</si>
  <si>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</si>
  <si>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</si>
  <si>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</si>
  <si>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</si>
  <si>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</si>
  <si>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</si>
  <si>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</si>
  <si>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</si>
  <si>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</si>
  <si>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</si>
  <si>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</si>
  <si>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</si>
  <si>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</si>
  <si>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</si>
  <si>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</si>
  <si>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</si>
  <si>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</si>
  <si>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</si>
  <si>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</si>
  <si>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</si>
  <si>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</si>
  <si>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</si>
  <si>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</si>
  <si>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</si>
  <si>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</si>
  <si>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</si>
  <si>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</si>
  <si>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</si>
  <si>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</si>
  <si>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</si>
  <si>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</si>
  <si>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</si>
  <si>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</si>
  <si>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</si>
  <si>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</si>
  <si>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</si>
  <si>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</si>
  <si>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</si>
  <si>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</si>
  <si>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</si>
  <si>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</si>
  <si>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</si>
  <si>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</si>
  <si>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</si>
  <si>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</si>
  <si>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</si>
  <si>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</si>
  <si>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</si>
  <si>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</si>
  <si>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</si>
  <si>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</si>
  <si>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</si>
  <si>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</si>
  <si>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</si>
  <si>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</si>
  <si>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</si>
  <si>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</si>
  <si>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</si>
  <si>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</si>
  <si>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</si>
  <si>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</si>
  <si>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</si>
  <si>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</si>
  <si>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</si>
  <si>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</si>
  <si>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</si>
  <si>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</si>
  <si>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</si>
  <si>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</si>
  <si>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</si>
  <si>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</si>
  <si>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</si>
  <si>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</si>
  <si>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</si>
  <si>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</si>
  <si>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</si>
  <si>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</si>
  <si>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</si>
  <si>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</si>
  <si>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</si>
  <si>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</si>
  <si>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</si>
  <si>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</si>
  <si>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</si>
  <si>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</si>
  <si>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</si>
  <si>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</si>
  <si>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</si>
  <si>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</si>
  <si>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</si>
  <si>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</si>
  <si>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</si>
  <si>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</si>
  <si>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</si>
  <si>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</si>
  <si>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</si>
  <si>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</si>
  <si>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</si>
  <si>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</si>
  <si>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</si>
  <si>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</si>
  <si>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</si>
  <si>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</si>
  <si>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</si>
  <si>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</si>
  <si>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</si>
  <si>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</si>
  <si>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</si>
  <si>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</si>
  <si>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</si>
  <si>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</si>
  <si>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</si>
  <si>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</si>
  <si>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</si>
  <si>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</si>
  <si>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</si>
  <si>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</si>
  <si>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</si>
  <si>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</si>
  <si>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</si>
  <si>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</si>
  <si>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</si>
  <si>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</si>
  <si>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</si>
  <si>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</si>
  <si>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</si>
  <si>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</si>
  <si>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</si>
  <si>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</si>
  <si>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</si>
  <si>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</si>
  <si>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</si>
  <si>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</si>
  <si>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</si>
  <si>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</si>
  <si>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</si>
  <si>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</si>
  <si>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</si>
  <si>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</si>
  <si>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</si>
  <si>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</si>
  <si>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</si>
  <si>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</si>
  <si>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</si>
  <si>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</si>
  <si>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</si>
  <si>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</si>
  <si>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</si>
  <si>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</si>
  <si>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</si>
  <si>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</si>
  <si>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</si>
  <si>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</si>
  <si>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</si>
  <si>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</si>
  <si>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</si>
  <si>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</si>
  <si>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</si>
  <si>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</si>
  <si>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</si>
  <si>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</si>
  <si>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</si>
  <si>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</si>
  <si>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</si>
  <si>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</si>
  <si>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</si>
  <si>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</si>
  <si>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</si>
  <si>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</si>
  <si>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</si>
  <si>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</si>
  <si>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</si>
  <si>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</si>
  <si>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</si>
  <si>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</si>
  <si>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</si>
  <si>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</si>
  <si>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</si>
  <si>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</si>
  <si>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</si>
  <si>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</si>
  <si>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</si>
  <si>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</si>
  <si>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</si>
  <si>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</si>
  <si>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</si>
  <si>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</si>
  <si>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</si>
  <si>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</si>
  <si>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</si>
  <si>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</si>
  <si>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</si>
  <si>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</si>
  <si>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</si>
  <si>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</si>
  <si>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</si>
  <si>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</si>
  <si>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</si>
  <si>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</si>
  <si>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</si>
  <si>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</si>
  <si>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</si>
  <si>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</si>
  <si>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</si>
  <si>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</si>
  <si>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</si>
  <si>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</si>
  <si>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</si>
  <si>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</si>
  <si>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</si>
  <si>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</si>
  <si>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</si>
  <si>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</si>
  <si>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</si>
  <si>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</si>
  <si>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</si>
  <si>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</si>
  <si>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</si>
  <si>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</si>
  <si>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</si>
  <si>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</si>
  <si>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</si>
  <si>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</si>
  <si>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</si>
  <si>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</si>
  <si>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</si>
  <si>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</si>
  <si>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</si>
  <si>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</si>
  <si>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</si>
  <si>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</si>
  <si>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</si>
  <si>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</si>
  <si>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</si>
  <si>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</si>
  <si>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</si>
  <si>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</si>
  <si>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</si>
  <si>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</si>
  <si>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</si>
  <si>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</si>
  <si>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</si>
  <si>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</si>
  <si>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</si>
  <si>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</si>
  <si>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</si>
  <si>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</si>
  <si>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</si>
  <si>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</si>
  <si>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</si>
  <si>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</si>
  <si>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</si>
  <si>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</si>
  <si>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</si>
  <si>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</si>
  <si>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</si>
  <si>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</si>
  <si>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</si>
  <si>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</si>
  <si>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</si>
  <si>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</si>
  <si>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</si>
  <si>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</si>
  <si>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</si>
  <si>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</si>
  <si>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</si>
  <si>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</si>
  <si>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</si>
  <si>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</si>
  <si>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</si>
  <si>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</si>
  <si>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</si>
  <si>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</si>
  <si>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</si>
  <si>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</si>
  <si>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</si>
  <si>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</si>
  <si>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</si>
  <si>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</si>
  <si>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</si>
  <si>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</si>
  <si>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</si>
  <si>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</si>
  <si>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</si>
  <si>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</si>
  <si>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</si>
  <si>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</si>
  <si>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</si>
  <si>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</si>
  <si>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</si>
  <si>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</si>
  <si>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</si>
  <si>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</si>
  <si>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</si>
  <si>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</si>
  <si>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</si>
  <si>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</si>
  <si>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</si>
  <si>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</si>
  <si>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</si>
  <si>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</si>
  <si>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</si>
  <si>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</si>
  <si>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</si>
  <si>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</si>
  <si>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</si>
  <si>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</si>
  <si>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</si>
  <si>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</si>
  <si>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</si>
  <si>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</si>
  <si>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</si>
  <si>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</si>
  <si>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</si>
  <si>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</si>
  <si>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</si>
  <si>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</si>
  <si>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</si>
  <si>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</si>
  <si>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</si>
  <si>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</si>
  <si>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</si>
  <si>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</si>
  <si>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</si>
  <si>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</si>
  <si>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</si>
  <si>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</si>
  <si>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</si>
  <si>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</si>
  <si>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</si>
  <si>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</si>
  <si>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</si>
  <si>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</si>
  <si>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</si>
  <si>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</si>
  <si>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</si>
  <si>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</si>
  <si>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</si>
  <si>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</si>
  <si>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</si>
  <si>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</si>
  <si>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</si>
  <si>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</si>
  <si>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</si>
  <si>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</si>
  <si>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</si>
  <si>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</si>
  <si>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</si>
  <si>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</si>
  <si>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</si>
  <si>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</si>
  <si>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</si>
  <si>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</si>
  <si>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</si>
  <si>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</si>
  <si>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</si>
  <si>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</si>
  <si>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</si>
  <si>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</si>
  <si>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</si>
  <si>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</si>
  <si>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</si>
  <si>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</si>
  <si>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</si>
  <si>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</si>
  <si>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</si>
  <si>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</si>
  <si>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</si>
  <si>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</si>
  <si>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</si>
  <si>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</si>
  <si>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</si>
  <si>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</si>
  <si>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</si>
  <si>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</si>
  <si>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</si>
  <si>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</si>
  <si>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</si>
  <si>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</si>
  <si>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</si>
  <si>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</si>
  <si>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</si>
  <si>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</si>
  <si>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</si>
  <si>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</si>
  <si>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</si>
  <si>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</si>
  <si>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</si>
  <si>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</si>
  <si>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</si>
  <si>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</si>
  <si>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</si>
  <si>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</si>
  <si>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</si>
  <si>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</si>
  <si>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</si>
  <si>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</si>
  <si>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</si>
  <si>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</si>
  <si>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</si>
  <si>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</si>
  <si>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</si>
  <si>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</si>
  <si>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</si>
  <si>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</si>
  <si>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</si>
  <si>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</si>
  <si>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</si>
  <si>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</si>
  <si>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</si>
  <si>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</si>
  <si>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</si>
  <si>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</si>
  <si>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</si>
  <si>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</si>
  <si>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</si>
  <si>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</si>
  <si>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</si>
  <si>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</si>
  <si>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</si>
  <si>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</si>
  <si>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</si>
  <si>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</si>
  <si>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</si>
  <si>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</si>
  <si>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</si>
  <si>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</si>
  <si>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</si>
  <si>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</si>
  <si>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</si>
  <si>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</si>
  <si>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</si>
  <si>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</si>
  <si>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</si>
  <si>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</si>
  <si>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</si>
  <si>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</si>
  <si>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</si>
  <si>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</si>
  <si>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</si>
  <si>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</si>
  <si>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</si>
  <si>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</si>
  <si>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</si>
  <si>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</si>
  <si>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</si>
  <si>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</si>
  <si>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</si>
  <si>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</si>
  <si>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</si>
  <si>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</si>
  <si>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</si>
  <si>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</si>
  <si>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</si>
  <si>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</si>
  <si>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</si>
  <si>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</si>
  <si>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</si>
  <si>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</si>
  <si>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</si>
  <si>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</si>
  <si>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</si>
  <si>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</si>
  <si>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</si>
  <si>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</si>
  <si>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</si>
  <si>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</si>
  <si>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</si>
  <si>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</si>
  <si>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</si>
  <si>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</si>
  <si>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</si>
  <si>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</si>
  <si>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</si>
  <si>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</si>
  <si>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</si>
  <si>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</si>
  <si>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</si>
  <si>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</si>
  <si>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</si>
  <si>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</si>
  <si>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</si>
  <si>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</si>
  <si>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</si>
  <si>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</si>
  <si>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</si>
  <si>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</si>
  <si>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</si>
  <si>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</si>
  <si>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</si>
  <si>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</si>
  <si>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</si>
  <si>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</si>
  <si>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</si>
  <si>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</si>
  <si>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</si>
  <si>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</si>
  <si>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</si>
  <si>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</si>
  <si>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</si>
  <si>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</si>
  <si>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</si>
  <si>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</si>
  <si>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</si>
  <si>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</si>
  <si>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</si>
  <si>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</si>
  <si>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</si>
  <si>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</si>
  <si>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</si>
  <si>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</si>
  <si>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</si>
  <si>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</si>
  <si>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</si>
  <si>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</si>
  <si>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</si>
  <si>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</si>
  <si>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</si>
  <si>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</si>
  <si>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</si>
  <si>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</si>
  <si>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</si>
  <si>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</si>
  <si>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</si>
  <si>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</si>
  <si>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</si>
  <si>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</si>
  <si>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</si>
  <si>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</si>
  <si>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</si>
  <si>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</si>
  <si>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</si>
  <si>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</si>
  <si>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</si>
  <si>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</si>
  <si>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</si>
  <si>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</si>
  <si>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</si>
  <si>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</si>
  <si>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</si>
  <si>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</si>
  <si>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</si>
  <si>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</si>
  <si>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</si>
  <si>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</si>
  <si>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</si>
  <si>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</si>
  <si>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</si>
  <si>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</si>
  <si>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</si>
  <si>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</si>
  <si>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</si>
  <si>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</si>
  <si>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</si>
  <si>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</si>
  <si>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</si>
  <si>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</si>
  <si>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</si>
  <si>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</si>
  <si>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</si>
  <si>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</si>
  <si>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</si>
  <si>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</si>
  <si>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</si>
  <si>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</si>
  <si>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</si>
  <si>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</si>
  <si>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</si>
  <si>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</si>
  <si>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</si>
  <si>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</si>
  <si>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</si>
  <si>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</si>
  <si>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</si>
  <si>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</si>
  <si>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</si>
  <si>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</si>
  <si>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</si>
  <si>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</si>
  <si>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</si>
  <si>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</si>
  <si>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</si>
  <si>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</si>
  <si>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</si>
  <si>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</si>
  <si>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</si>
  <si>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</si>
  <si>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</si>
  <si>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</si>
  <si>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</si>
  <si>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</si>
  <si>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</si>
  <si>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</si>
  <si>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</si>
  <si>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</si>
  <si>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</si>
  <si>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</si>
  <si>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</si>
  <si>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</si>
  <si>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</si>
  <si>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</si>
  <si>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</si>
  <si>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</si>
  <si>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</si>
  <si>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</si>
  <si>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</si>
  <si>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</si>
  <si>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</si>
  <si>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</si>
  <si>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</si>
  <si>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</si>
  <si>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</si>
  <si>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</si>
  <si>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</si>
  <si>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</si>
  <si>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</si>
  <si>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</si>
  <si>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</si>
  <si>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</si>
  <si>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</si>
  <si>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</si>
  <si>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</si>
  <si>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</si>
  <si>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</si>
  <si>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</si>
  <si>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</si>
  <si>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</si>
  <si>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</si>
  <si>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</si>
  <si>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</si>
  <si>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</si>
  <si>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</si>
  <si>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</si>
  <si>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</si>
  <si>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</si>
  <si>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</si>
  <si>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</si>
  <si>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</si>
  <si>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</si>
  <si>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</si>
  <si>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</si>
  <si>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</si>
  <si>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</si>
  <si>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</si>
  <si>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</si>
  <si>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</si>
  <si>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</si>
  <si>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</si>
  <si>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</si>
  <si>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</si>
  <si>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</si>
  <si>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</si>
  <si>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</si>
  <si>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</si>
  <si>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</si>
  <si>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</si>
  <si>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</si>
  <si>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</si>
  <si>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</si>
  <si>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</si>
  <si>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</si>
  <si>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</si>
  <si>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</si>
  <si>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</si>
  <si>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</si>
  <si>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</si>
  <si>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</si>
  <si>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</si>
  <si>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</si>
  <si>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</si>
  <si>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</si>
  <si>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</si>
  <si>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</si>
  <si>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</si>
  <si>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</si>
  <si>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</si>
  <si>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</si>
  <si>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</si>
  <si>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</si>
  <si>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</si>
  <si>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</si>
  <si>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</si>
  <si>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</si>
  <si>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</si>
  <si>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</si>
  <si>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</si>
  <si>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</si>
  <si>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</si>
  <si>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</si>
  <si>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</si>
  <si>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</si>
  <si>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</si>
  <si>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</si>
  <si>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</si>
  <si>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</si>
  <si>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</si>
  <si>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</si>
  <si>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</si>
  <si>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</si>
  <si>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</si>
  <si>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</si>
  <si>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</si>
  <si>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</si>
  <si>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</si>
  <si>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</si>
  <si>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</si>
  <si>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</si>
  <si>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</si>
  <si>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</si>
  <si>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</si>
  <si>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</si>
  <si>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</si>
  <si>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</si>
  <si>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</si>
  <si>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</si>
  <si>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</si>
  <si>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</si>
  <si>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</si>
  <si>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</si>
  <si>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</si>
  <si>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</si>
  <si>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</si>
  <si>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</si>
  <si>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</si>
  <si>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</si>
  <si>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</si>
  <si>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</si>
  <si>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</si>
  <si>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</si>
  <si>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</si>
  <si>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</si>
  <si>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</si>
  <si>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</si>
  <si>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</si>
  <si>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</si>
  <si>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</si>
  <si>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</si>
  <si>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</si>
  <si>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</si>
  <si>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</si>
  <si>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</si>
  <si>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</si>
  <si>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</si>
  <si>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</si>
  <si>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</si>
  <si>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</si>
  <si>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</si>
  <si>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</si>
  <si>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</si>
  <si>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</si>
  <si>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</si>
  <si>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</si>
  <si>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</si>
  <si>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</si>
  <si>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</si>
  <si>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</si>
  <si>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</si>
  <si>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</si>
  <si>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</si>
  <si>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</si>
  <si>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</si>
  <si>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</si>
  <si>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</si>
  <si>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</si>
  <si>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</si>
  <si>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</si>
  <si>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</si>
  <si>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</si>
  <si>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</si>
  <si>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</si>
  <si>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</si>
  <si>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</si>
  <si>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</si>
  <si>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</si>
  <si>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</si>
  <si>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</si>
  <si>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</si>
  <si>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</si>
  <si>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</si>
  <si>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</si>
  <si>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</si>
  <si>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</si>
  <si>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</si>
  <si>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</si>
  <si>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</si>
  <si>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</si>
  <si>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</si>
  <si>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</si>
  <si>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</si>
  <si>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</si>
  <si>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</si>
  <si>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</si>
  <si>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</si>
  <si>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</si>
  <si>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</si>
  <si>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</si>
  <si>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</si>
  <si>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</si>
  <si>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</si>
  <si>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</si>
  <si>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</si>
  <si>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</si>
  <si>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</si>
  <si>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</si>
  <si>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</si>
  <si>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</si>
  <si>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</si>
  <si>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</si>
  <si>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</si>
  <si>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</si>
  <si>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</si>
  <si>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</si>
  <si>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</si>
  <si>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</si>
  <si>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</si>
  <si>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</si>
  <si>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</si>
  <si>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</si>
  <si>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</si>
  <si>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</si>
  <si>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</si>
  <si>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</si>
  <si>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</si>
  <si>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</si>
  <si>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</si>
  <si>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</si>
  <si>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</si>
  <si>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</si>
  <si>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</si>
  <si>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</si>
  <si>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</si>
  <si>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</si>
  <si>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</si>
  <si>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</si>
  <si>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</si>
  <si>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</si>
  <si>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</si>
  <si>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</si>
  <si>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</si>
  <si>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</si>
  <si>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</si>
  <si>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</si>
  <si>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</si>
  <si>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</si>
  <si>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</si>
  <si>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</si>
  <si>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</si>
  <si>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</si>
  <si>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</si>
  <si>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</si>
  <si>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</si>
  <si>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</si>
  <si>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</si>
  <si>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</si>
  <si>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</si>
  <si>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</si>
  <si>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</si>
  <si>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</si>
  <si>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</si>
  <si>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</si>
  <si>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</si>
  <si>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</si>
  <si>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</si>
  <si>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</si>
  <si>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</si>
  <si>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</si>
  <si>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</si>
  <si>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</si>
  <si>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</si>
  <si>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</si>
  <si>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</si>
  <si>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</si>
  <si>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</si>
  <si>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</si>
  <si>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</si>
  <si>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</si>
  <si>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</si>
  <si>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</si>
  <si>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</si>
  <si>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</si>
  <si>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</si>
  <si>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</si>
  <si>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</si>
  <si>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</si>
  <si>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</si>
  <si>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</si>
  <si>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</si>
  <si>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</si>
  <si>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</si>
  <si>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</si>
  <si>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</si>
  <si>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</si>
  <si>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</si>
  <si>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</si>
  <si>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</si>
  <si>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</si>
  <si>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</si>
  <si>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</si>
  <si>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</si>
  <si>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</si>
  <si>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</si>
  <si>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</si>
  <si>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</si>
  <si>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</si>
  <si>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</si>
  <si>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</si>
  <si>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</si>
  <si>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</si>
  <si>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</si>
  <si>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</si>
  <si>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</si>
  <si>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</si>
  <si>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</si>
  <si>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</si>
  <si>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</si>
  <si>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</si>
  <si>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</si>
  <si>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</si>
  <si>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</si>
  <si>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</si>
  <si>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</si>
  <si>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</si>
  <si>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</si>
  <si>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</si>
  <si>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</si>
  <si>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</si>
  <si>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</si>
  <si>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</si>
  <si>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</si>
  <si>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</si>
  <si>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</si>
  <si>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</si>
  <si>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</si>
  <si>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</si>
  <si>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</si>
  <si>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</si>
  <si>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</si>
  <si>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</si>
  <si>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</si>
  <si>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</si>
  <si>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</si>
  <si>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</si>
  <si>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</si>
  <si>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</si>
  <si>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</si>
  <si>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</si>
  <si>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</si>
  <si>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</si>
  <si>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</si>
  <si>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</si>
  <si>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</si>
  <si>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</si>
  <si>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</si>
  <si>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</si>
  <si>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</si>
  <si>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</si>
  <si>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</si>
  <si>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</si>
  <si>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</si>
  <si>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</si>
  <si>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</si>
  <si>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</si>
  <si>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</si>
  <si>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</si>
  <si>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</si>
  <si>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</si>
  <si>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</si>
  <si>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</si>
  <si>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</si>
  <si>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</si>
  <si>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</si>
  <si>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</si>
  <si>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</si>
  <si>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</si>
  <si>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</si>
  <si>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</si>
  <si>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</si>
  <si>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</si>
  <si>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</si>
  <si>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</si>
  <si>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</si>
  <si>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</si>
  <si>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</si>
  <si>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</si>
  <si>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</si>
  <si>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</si>
  <si>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</si>
  <si>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</si>
  <si>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</si>
  <si>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</si>
  <si>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</si>
  <si>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</si>
  <si>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</si>
  <si>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</si>
  <si>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</si>
  <si>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</si>
  <si>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</si>
  <si>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</si>
  <si>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</si>
  <si>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</si>
  <si>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</si>
  <si>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</si>
  <si>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</si>
  <si>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</si>
  <si>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</si>
  <si>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</si>
  <si>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</si>
  <si>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</si>
  <si>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</si>
  <si>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</si>
  <si>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</si>
  <si>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</si>
  <si>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</si>
  <si>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</si>
  <si>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</si>
  <si>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</si>
  <si>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</si>
  <si>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</si>
  <si>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</si>
  <si>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</si>
  <si>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</si>
  <si>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</si>
  <si>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</si>
  <si>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</si>
  <si>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</si>
  <si>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</si>
  <si>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</si>
  <si>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</si>
  <si>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</si>
  <si>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</si>
  <si>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</si>
  <si>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</si>
  <si>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</si>
  <si>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</si>
  <si>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</si>
  <si>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</si>
  <si>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</si>
  <si>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</si>
  <si>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</si>
  <si>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</si>
  <si>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</si>
  <si>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</si>
  <si>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</si>
  <si>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</si>
  <si>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</si>
  <si>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</si>
  <si>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</si>
  <si>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</si>
  <si>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</si>
  <si>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</si>
  <si>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</si>
  <si>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</si>
  <si>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</si>
  <si>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</si>
  <si>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</si>
  <si>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</si>
  <si>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</si>
  <si>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</si>
  <si>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</si>
  <si>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</si>
  <si>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</si>
  <si>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</si>
  <si>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</si>
  <si>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</si>
  <si>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</si>
  <si>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</si>
  <si>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</si>
  <si>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</si>
  <si>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</si>
  <si>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</si>
  <si>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</si>
  <si>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</si>
  <si>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</si>
  <si>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</si>
  <si>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</si>
  <si>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</si>
  <si>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</si>
  <si>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</si>
  <si>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</si>
  <si>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</si>
  <si>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</si>
  <si>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</si>
  <si>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</si>
  <si>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</si>
  <si>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</si>
  <si>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</si>
  <si>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</si>
  <si>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</si>
  <si>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</si>
  <si>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</si>
  <si>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</si>
  <si>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</si>
  <si>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</si>
  <si>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</si>
  <si>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</si>
  <si>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</si>
  <si>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</si>
  <si>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</si>
  <si>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</si>
  <si>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</si>
  <si>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</si>
  <si>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</si>
  <si>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</si>
  <si>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</si>
  <si>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</si>
  <si>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</si>
  <si>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</si>
  <si>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</si>
  <si>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</si>
  <si>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</si>
  <si>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</si>
  <si>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</si>
  <si>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</si>
  <si>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</si>
  <si>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</si>
  <si>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</si>
  <si>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</si>
  <si>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</si>
  <si>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</si>
  <si>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</si>
  <si>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</si>
  <si>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</si>
  <si>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</si>
  <si>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</si>
  <si>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</si>
  <si>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</si>
  <si>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</si>
  <si>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</si>
  <si>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</si>
  <si>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</si>
  <si>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</si>
  <si>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</si>
  <si>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</si>
  <si>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</si>
  <si>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</si>
  <si>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</si>
  <si>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</si>
  <si>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</si>
  <si>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</si>
  <si>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</si>
  <si>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</si>
  <si>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</si>
  <si>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</si>
  <si>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</si>
  <si>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</si>
  <si>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</si>
  <si>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</si>
  <si>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</si>
  <si>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</si>
  <si>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</si>
  <si>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</si>
  <si>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</si>
  <si>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</si>
  <si>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</si>
  <si>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</si>
  <si>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</si>
  <si>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</si>
  <si>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</si>
  <si>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</si>
  <si>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</si>
  <si>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</si>
  <si>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</si>
  <si>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</si>
  <si>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</si>
  <si>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</si>
  <si>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</si>
  <si>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</si>
  <si>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</si>
  <si>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</si>
  <si>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</si>
  <si>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</si>
  <si>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</si>
  <si>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</si>
  <si>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</si>
  <si>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</si>
  <si>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</si>
  <si>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</si>
  <si>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</si>
  <si>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</si>
  <si>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</si>
  <si>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</si>
  <si>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</si>
  <si>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</si>
  <si>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</si>
  <si>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</si>
  <si>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</si>
  <si>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</si>
  <si>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</si>
  <si>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</si>
  <si>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</si>
  <si>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</si>
  <si>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</si>
  <si>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</si>
  <si>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</si>
  <si>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</si>
  <si>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</si>
  <si>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</si>
  <si>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</si>
  <si>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</si>
  <si>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</si>
  <si>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</si>
  <si>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</si>
  <si>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</si>
  <si>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</si>
  <si>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</si>
  <si>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</si>
  <si>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</si>
  <si>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</si>
  <si>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</si>
  <si>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</si>
  <si>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</si>
  <si>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</si>
  <si>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</si>
  <si>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</si>
  <si>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</si>
  <si>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</si>
  <si>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</si>
  <si>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</si>
  <si>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</si>
  <si>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</si>
  <si>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</si>
  <si>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</si>
  <si>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</si>
  <si>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</si>
  <si>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</si>
  <si>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</si>
  <si>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</si>
  <si>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</si>
  <si>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</si>
  <si>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</si>
  <si>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</si>
  <si>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</si>
  <si>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</si>
  <si>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</si>
  <si>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</si>
  <si>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</si>
  <si>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</si>
  <si>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</si>
  <si>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</si>
  <si>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</si>
  <si>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</si>
  <si>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</si>
  <si>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</si>
  <si>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</si>
  <si>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</si>
  <si>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</si>
  <si>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</si>
  <si>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</si>
  <si>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</si>
  <si>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</si>
  <si>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</si>
  <si>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</si>
  <si>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</si>
  <si>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</si>
  <si>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</si>
  <si>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</si>
  <si>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</si>
  <si>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</si>
  <si>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</si>
  <si>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</si>
  <si>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</si>
  <si>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</si>
  <si>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</si>
  <si>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</si>
  <si>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</si>
  <si>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</si>
  <si>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</si>
  <si>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</si>
  <si>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</si>
  <si>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</si>
  <si>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</si>
  <si>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</si>
  <si>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</si>
  <si>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</si>
  <si>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</si>
  <si>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</si>
  <si>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</si>
  <si>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</si>
  <si>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</si>
  <si>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</si>
  <si>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</si>
  <si>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</si>
  <si>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</si>
  <si>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</si>
  <si>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</si>
  <si>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</si>
  <si>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</si>
  <si>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</si>
  <si>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</si>
  <si>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</si>
  <si>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</si>
  <si>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</si>
  <si>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</si>
  <si>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</si>
  <si>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</si>
  <si>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</si>
  <si>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</si>
  <si>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</si>
  <si>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</si>
  <si>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</si>
  <si>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</si>
  <si>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</si>
  <si>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</si>
  <si>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</si>
  <si>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</si>
  <si>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</si>
  <si>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</si>
  <si>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</si>
  <si>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</si>
  <si>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</si>
  <si>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</si>
  <si>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</si>
  <si>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</si>
  <si>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</si>
  <si>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</si>
  <si>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</si>
  <si>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</si>
  <si>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</si>
  <si>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</si>
  <si>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</si>
  <si>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</si>
  <si>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</si>
  <si>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</si>
  <si>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</si>
  <si>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</si>
  <si>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</si>
  <si>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</si>
  <si>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</si>
  <si>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</si>
  <si>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</si>
  <si>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</si>
  <si>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</si>
  <si>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</si>
  <si>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</si>
  <si>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</si>
  <si>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</si>
  <si>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</si>
  <si>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</si>
  <si>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</si>
  <si>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</si>
  <si>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</si>
  <si>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</si>
  <si>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</si>
  <si>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</si>
  <si>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</si>
  <si>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</si>
  <si>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</si>
  <si>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</si>
  <si>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</si>
  <si>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</si>
  <si>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</si>
  <si>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</si>
  <si>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</si>
  <si>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</si>
  <si>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</si>
  <si>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</si>
  <si>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</si>
  <si>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</si>
  <si>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</si>
  <si>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</si>
  <si>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</si>
  <si>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</si>
  <si>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</si>
  <si>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</si>
  <si>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</si>
  <si>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</si>
  <si>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</si>
  <si>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</si>
  <si>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</si>
  <si>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</si>
  <si>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</si>
  <si>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</si>
  <si>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</si>
  <si>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</si>
  <si>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</si>
  <si>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</si>
  <si>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</si>
  <si>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</si>
  <si>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</si>
  <si>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</si>
  <si>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</si>
  <si>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</si>
  <si>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</si>
  <si>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</si>
  <si>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</si>
  <si>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</si>
  <si>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</si>
  <si>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</si>
  <si>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</si>
  <si>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</si>
  <si>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</si>
  <si>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</si>
  <si>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</si>
  <si>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</si>
  <si>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</si>
  <si>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</si>
  <si>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</si>
  <si>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</si>
  <si>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</si>
  <si>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</si>
  <si>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</si>
  <si>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</si>
  <si>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</si>
  <si>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</si>
  <si>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</si>
  <si>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</si>
  <si>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</si>
  <si>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</si>
  <si>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</si>
  <si>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</si>
  <si>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</si>
  <si>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</si>
  <si>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</si>
  <si>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</si>
  <si>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</si>
  <si>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</si>
  <si>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</si>
  <si>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</si>
  <si>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</si>
  <si>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</si>
  <si>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</si>
  <si>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</si>
  <si>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</si>
  <si>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</si>
  <si>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</si>
  <si>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</si>
  <si>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</si>
  <si>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</si>
  <si>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</si>
  <si>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</si>
  <si>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</si>
  <si>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</si>
  <si>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</si>
  <si>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</si>
  <si>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</si>
  <si>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</si>
  <si>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</si>
  <si>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</si>
  <si>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</si>
  <si>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</si>
  <si>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</si>
  <si>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</si>
  <si>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</si>
  <si>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</si>
  <si>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</si>
  <si>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</si>
  <si>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</si>
  <si>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</si>
  <si>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</si>
  <si>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</si>
  <si>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</si>
  <si>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</si>
  <si>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</si>
  <si>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</si>
  <si>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</si>
  <si>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</si>
  <si>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</si>
  <si>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</si>
  <si>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</si>
  <si>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</si>
  <si>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</si>
  <si>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</si>
  <si>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</si>
  <si>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</si>
  <si>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</si>
  <si>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</si>
  <si>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</si>
  <si>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</si>
  <si>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</si>
  <si>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</si>
  <si>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</si>
  <si>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</si>
  <si>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</si>
  <si>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</si>
  <si>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</si>
  <si>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</si>
  <si>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</si>
  <si>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</si>
  <si>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</si>
  <si>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</si>
  <si>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</si>
  <si>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</si>
  <si>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</si>
  <si>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</si>
  <si>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</si>
  <si>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</si>
  <si>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</si>
  <si>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</si>
  <si>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</si>
  <si>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</si>
  <si>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</si>
  <si>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</si>
  <si>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</si>
  <si>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</si>
  <si>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</si>
  <si>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</si>
  <si>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</si>
  <si>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</si>
  <si>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</si>
  <si>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</si>
  <si>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</si>
  <si>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</si>
  <si>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</si>
  <si>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</si>
  <si>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</si>
  <si>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</si>
  <si>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</si>
  <si>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</si>
  <si>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</si>
  <si>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</si>
  <si>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</si>
  <si>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</si>
  <si>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</si>
  <si>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</si>
  <si>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</si>
  <si>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</si>
  <si>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</si>
  <si>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</si>
  <si>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</si>
  <si>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</si>
  <si>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</si>
  <si>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</si>
  <si>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</si>
  <si>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</si>
  <si>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</si>
  <si>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</si>
  <si>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</si>
  <si>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</si>
  <si>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</si>
  <si>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</si>
  <si>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</si>
  <si>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</si>
  <si>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</si>
  <si>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</si>
  <si>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</si>
  <si>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</si>
  <si>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</si>
  <si>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</si>
  <si>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</si>
  <si>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</si>
  <si>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</si>
  <si>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</si>
  <si>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</si>
  <si>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</si>
  <si>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</si>
  <si>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</si>
  <si>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</si>
  <si>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</si>
  <si>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</si>
  <si>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</si>
  <si>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</si>
  <si>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</si>
  <si>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</si>
  <si>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</si>
  <si>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</si>
  <si>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</si>
  <si>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</si>
  <si>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</si>
  <si>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</si>
  <si>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</si>
  <si>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</si>
  <si>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</si>
  <si>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</si>
  <si>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</si>
  <si>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</si>
  <si>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</si>
  <si>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</si>
  <si>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</si>
  <si>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</si>
  <si>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</si>
  <si>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</si>
  <si>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</si>
  <si>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</si>
  <si>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</si>
  <si>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</si>
  <si>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</si>
  <si>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</si>
  <si>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</si>
  <si>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</si>
  <si>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</si>
  <si>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</si>
  <si>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</si>
  <si>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</si>
  <si>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</si>
  <si>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</si>
  <si>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</si>
  <si>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</si>
  <si>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</si>
  <si>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</si>
  <si>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</si>
  <si>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</si>
  <si>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</si>
  <si>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</si>
  <si>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</si>
  <si>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</si>
  <si>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</si>
  <si>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</si>
  <si>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</si>
  <si>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</si>
  <si>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</si>
  <si>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</si>
  <si>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</si>
  <si>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</si>
  <si>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</si>
  <si>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</si>
  <si>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</si>
  <si>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</si>
  <si>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</si>
  <si>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</si>
  <si>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</si>
  <si>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</si>
  <si>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</si>
  <si>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</si>
  <si>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</si>
  <si>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</si>
  <si>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</si>
  <si>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</si>
  <si>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</si>
  <si>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</si>
  <si>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</si>
  <si>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</si>
  <si>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</si>
  <si>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</si>
  <si>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</si>
  <si>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</si>
  <si>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</si>
  <si>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</si>
  <si>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</si>
  <si>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</si>
  <si>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</si>
  <si>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</si>
  <si>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</si>
  <si>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</si>
  <si>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</si>
  <si>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</si>
  <si>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</si>
  <si>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</si>
  <si>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</si>
  <si>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</si>
  <si>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</si>
  <si>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</si>
  <si>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</si>
  <si>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</si>
  <si>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</si>
  <si>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</si>
  <si>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</si>
  <si>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</si>
  <si>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</si>
  <si>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</si>
  <si>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</si>
  <si>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</si>
  <si>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</si>
  <si>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</si>
  <si>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</si>
  <si>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</si>
  <si>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</si>
  <si>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</si>
  <si>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</si>
  <si>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</si>
  <si>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</si>
  <si>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</si>
  <si>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</si>
  <si>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</si>
  <si>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</si>
  <si>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</si>
  <si>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</si>
  <si>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</si>
  <si>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</si>
  <si>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</si>
  <si>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</si>
  <si>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</si>
  <si>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</si>
  <si>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</si>
  <si>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</si>
  <si>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</si>
  <si>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</si>
  <si>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</si>
  <si>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</si>
  <si>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</si>
  <si>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</si>
  <si>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</si>
  <si>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</si>
  <si>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</si>
  <si>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</si>
  <si>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</si>
  <si>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</si>
  <si>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</si>
  <si>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</si>
  <si>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</si>
  <si>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</si>
  <si>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</si>
  <si>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</si>
  <si>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</si>
  <si>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</si>
  <si>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</si>
  <si>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</si>
  <si>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</si>
  <si>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</si>
  <si>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</si>
  <si>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</si>
  <si>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</si>
  <si>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</si>
  <si>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</si>
  <si>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</si>
  <si>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</si>
  <si>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</si>
  <si>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</si>
  <si>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</si>
  <si>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</si>
  <si>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</si>
  <si>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</si>
  <si>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</si>
  <si>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</si>
  <si>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</si>
  <si>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</si>
  <si>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</si>
  <si>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</si>
  <si>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</si>
  <si>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</si>
  <si>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</si>
  <si>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</si>
  <si>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</si>
  <si>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</si>
  <si>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</si>
  <si>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</si>
  <si>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</si>
  <si>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</si>
  <si>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</si>
  <si>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</si>
  <si>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</si>
  <si>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</si>
  <si>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</si>
  <si>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</si>
  <si>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</si>
  <si>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</si>
  <si>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</si>
  <si>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</si>
  <si>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</si>
  <si>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</si>
  <si>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>ORGANISMO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</si>
  <si>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</si>
  <si>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</si>
  <si>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</si>
  <si>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</si>
  <si>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</si>
  <si>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</si>
  <si>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</si>
  <si>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</si>
  <si>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</si>
  <si>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</si>
  <si>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</si>
  <si>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</si>
  <si>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</si>
  <si>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</si>
  <si>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</si>
  <si>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</si>
  <si>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</si>
  <si>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</si>
  <si>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>A. Dependencia o Unidad Administrativa 100</t>
  </si>
  <si>
    <t>B. Dependencia o Unidad Administrativa 200</t>
  </si>
  <si>
    <t>C. Dependencia o Unidad Administrativa 300</t>
  </si>
  <si>
    <t>D. Dependencia o Unidad Administrativa 400</t>
  </si>
  <si>
    <t>E. Dependencia o Unidad Administrativa 500</t>
  </si>
  <si>
    <t>F. Dependencia o Unidad Administrativa 600</t>
  </si>
  <si>
    <t>G. Dependencia o Unidad Administrativa 700</t>
  </si>
  <si>
    <t>Al 31 de diciembre de 2018 y al 30 de junio de 2019 (b)</t>
  </si>
  <si>
    <t>Del 1 de enero al 30 de junio de 2019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</si>
</sst>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/mm/yy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9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4" fontId="16" fillId="0" borderId="13" xfId="0" applyNumberFormat="1" applyFont="1" applyFill="1" applyBorder="1" applyProtection="1"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2"/>
  <sheetViews>
    <sheetView showGridLines="0" tabSelected="1" workbookViewId="0">
      <selection activeCell="D32" sqref="D32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50" t="s">
        <v>829</v>
      </c>
      <c r="B1" s="151"/>
      <c r="C1" s="151"/>
      <c r="D1" s="151"/>
      <c r="E1" s="152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53" t="s">
        <v>3284</v>
      </c>
      <c r="D3" s="153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31" r:id="rId4" name="ComboBox4">
          <controlPr locked="0" defaultSize="0" autoLine="0" listFillRange="datos!E45:E78" r:id="rId5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4" name="ComboBox4"/>
      </mc:Fallback>
    </mc:AlternateContent>
    <mc:AlternateContent xmlns:mc="http://schemas.openxmlformats.org/markup-compatibility/2006">
      <mc:Choice Requires="x14">
        <control shapeId="1030" r:id="rId6" name="ComboBox3">
          <controlPr locked="0" defaultSize="0" autoLine="0" listFillRange="datos!B45:B48" r:id="rId7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6" name="ComboBox3"/>
      </mc:Fallback>
    </mc:AlternateContent>
    <mc:AlternateContent xmlns:mc="http://schemas.openxmlformats.org/markup-compatibility/2006">
      <mc:Choice Requires="x14">
        <control shapeId="1028" r:id="rId8" name="ComboBox2">
          <controlPr locked="0" defaultSize="0" autoFill="0" autoLine="0" listFillRange="datos!Y2:Y48" r:id="rId9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8" name="ComboBox2"/>
      </mc:Fallback>
    </mc:AlternateContent>
    <mc:AlternateContent xmlns:mc="http://schemas.openxmlformats.org/markup-compatibility/2006">
      <mc:Choice Requires="x14">
        <control shapeId="1026" r:id="rId10" name="ComboBox1">
          <controlPr locked="0" defaultSize="0" autoLine="0" listFillRange="datos!B2:B33" r:id="rId11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10" name="Combo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workbookViewId="0">
      <selection activeCell="D32" sqref="D32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66" t="s">
        <v>542</v>
      </c>
      <c r="B1" s="166"/>
      <c r="C1" s="166"/>
      <c r="D1" s="166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54" t="str">
        <f>ENTE_PUBLICO_A</f>
        <v>ORGANISMO, Gobierno del Estado de Guanajuato (a)</v>
      </c>
      <c r="B2" s="155"/>
      <c r="C2" s="155"/>
      <c r="D2" s="156"/>
    </row>
    <row r="3" spans="1:11" ht="14.25" x14ac:dyDescent="0.45">
      <c r="A3" s="157" t="s">
        <v>166</v>
      </c>
      <c r="B3" s="158"/>
      <c r="C3" s="158"/>
      <c r="D3" s="159"/>
    </row>
    <row r="4" spans="1:11" ht="14.25" x14ac:dyDescent="0.45">
      <c r="A4" s="160" t="str">
        <f>TRIMESTRE</f>
        <v>Del 1 de enero al 30 de junio de 2019 (b)</v>
      </c>
      <c r="B4" s="161"/>
      <c r="C4" s="161"/>
      <c r="D4" s="162"/>
    </row>
    <row r="5" spans="1:11" ht="14.25" x14ac:dyDescent="0.45">
      <c r="A5" s="163" t="s">
        <v>118</v>
      </c>
      <c r="B5" s="164"/>
      <c r="C5" s="164"/>
      <c r="D5" s="165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65746930.659999996</v>
      </c>
      <c r="C8" s="40">
        <f t="shared" ref="C8:D8" si="0">SUM(C9:C11)</f>
        <v>35488731.620000005</v>
      </c>
      <c r="D8" s="40">
        <f t="shared" si="0"/>
        <v>35488731.620000005</v>
      </c>
    </row>
    <row r="9" spans="1:11" x14ac:dyDescent="0.25">
      <c r="A9" s="53" t="s">
        <v>169</v>
      </c>
      <c r="B9" s="23">
        <v>65746930.659999996</v>
      </c>
      <c r="C9" s="23">
        <v>35488731.620000005</v>
      </c>
      <c r="D9" s="23">
        <v>35488731.620000005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65746930.659999996</v>
      </c>
      <c r="C13" s="40">
        <f t="shared" ref="C13:D13" si="2">C14+C15</f>
        <v>33977352.32</v>
      </c>
      <c r="D13" s="40">
        <f t="shared" si="2"/>
        <v>33977352.32</v>
      </c>
    </row>
    <row r="14" spans="1:11" x14ac:dyDescent="0.25">
      <c r="A14" s="53" t="s">
        <v>172</v>
      </c>
      <c r="B14" s="23">
        <v>65746930.659999996</v>
      </c>
      <c r="C14" s="23">
        <v>33977352.32</v>
      </c>
      <c r="D14" s="23">
        <v>33977352.32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" si="3">C18+C19</f>
        <v>0</v>
      </c>
      <c r="D17" s="40">
        <f>D18+D19</f>
        <v>0</v>
      </c>
    </row>
    <row r="18" spans="1:4" x14ac:dyDescent="0.25">
      <c r="A18" s="53" t="s">
        <v>175</v>
      </c>
      <c r="B18" s="119">
        <v>0</v>
      </c>
      <c r="C18" s="23">
        <v>0</v>
      </c>
      <c r="D18" s="23">
        <v>0</v>
      </c>
    </row>
    <row r="19" spans="1:4" ht="14.25" x14ac:dyDescent="0.45">
      <c r="A19" s="53" t="s">
        <v>176</v>
      </c>
      <c r="B19" s="119">
        <v>0</v>
      </c>
      <c r="C19" s="23">
        <v>0</v>
      </c>
      <c r="D19" s="117">
        <v>0</v>
      </c>
    </row>
    <row r="20" spans="1:4" ht="14.25" x14ac:dyDescent="0.4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0</v>
      </c>
      <c r="C21" s="40">
        <f t="shared" ref="C21:D21" si="4">C8-C13+C17</f>
        <v>1511379.3000000045</v>
      </c>
      <c r="D21" s="40">
        <f t="shared" si="4"/>
        <v>1511379.3000000045</v>
      </c>
    </row>
    <row r="22" spans="1:4" ht="14.25" x14ac:dyDescent="0.45">
      <c r="A22" s="55"/>
      <c r="B22" s="12"/>
      <c r="C22" s="12"/>
      <c r="D22" s="12"/>
    </row>
    <row r="23" spans="1:4" ht="14.25" x14ac:dyDescent="0.45">
      <c r="A23" s="55" t="s">
        <v>178</v>
      </c>
      <c r="B23" s="40">
        <f>B21-B11</f>
        <v>0</v>
      </c>
      <c r="C23" s="40">
        <f t="shared" ref="C23:D23" si="5">C21-C11</f>
        <v>1511379.3000000045</v>
      </c>
      <c r="D23" s="40">
        <f t="shared" si="5"/>
        <v>1511379.3000000045</v>
      </c>
    </row>
    <row r="24" spans="1:4" ht="14.25" x14ac:dyDescent="0.45">
      <c r="A24" s="55"/>
      <c r="B24" s="17"/>
      <c r="C24" s="17"/>
      <c r="D24" s="17"/>
    </row>
    <row r="25" spans="1:4" ht="14.25" x14ac:dyDescent="0.45">
      <c r="A25" s="120" t="s">
        <v>179</v>
      </c>
      <c r="B25" s="40">
        <f>B23-B17</f>
        <v>0</v>
      </c>
      <c r="C25" s="40">
        <f t="shared" ref="C25" si="6">C23-C17</f>
        <v>1511379.3000000045</v>
      </c>
      <c r="D25" s="40">
        <f>D23-D17</f>
        <v>1511379.3000000045</v>
      </c>
    </row>
    <row r="26" spans="1:4" ht="14.25" x14ac:dyDescent="0.45">
      <c r="A26" s="121"/>
      <c r="B26" s="13"/>
      <c r="C26" s="13"/>
      <c r="D26" s="13"/>
    </row>
    <row r="27" spans="1:4" ht="14.25" x14ac:dyDescent="0.45">
      <c r="A27" s="90"/>
    </row>
    <row r="28" spans="1:4" ht="30" customHeight="1" x14ac:dyDescent="0.4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7">C30+C31</f>
        <v>0</v>
      </c>
      <c r="D29" s="61">
        <f t="shared" si="7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0</v>
      </c>
      <c r="C33" s="61">
        <f t="shared" ref="C33:D33" si="8">C25+C29</f>
        <v>1511379.3000000045</v>
      </c>
      <c r="D33" s="61">
        <f t="shared" si="8"/>
        <v>1511379.3000000045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9">C38+C39</f>
        <v>0</v>
      </c>
      <c r="D37" s="61">
        <f t="shared" si="9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10">C41+C42</f>
        <v>0</v>
      </c>
      <c r="D40" s="61">
        <f t="shared" si="10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1">C37-C40</f>
        <v>0</v>
      </c>
      <c r="D44" s="61">
        <f t="shared" si="11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65746930.659999996</v>
      </c>
      <c r="C48" s="124">
        <f>C9</f>
        <v>35488731.620000005</v>
      </c>
      <c r="D48" s="124">
        <f t="shared" ref="D48" si="12">D9</f>
        <v>35488731.620000005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3">C50-C51</f>
        <v>0</v>
      </c>
      <c r="D49" s="61">
        <f t="shared" si="13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65746930.659999996</v>
      </c>
      <c r="C53" s="60">
        <f t="shared" ref="C53:D53" si="14">C14</f>
        <v>33977352.32</v>
      </c>
      <c r="D53" s="60">
        <f t="shared" si="14"/>
        <v>33977352.32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f t="shared" ref="C55:D55" si="15">C18</f>
        <v>0</v>
      </c>
      <c r="D55" s="60">
        <f t="shared" si="15"/>
        <v>0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0</v>
      </c>
      <c r="C57" s="61">
        <f>C48+C49-C53+C55</f>
        <v>1511379.3000000045</v>
      </c>
      <c r="D57" s="61">
        <f t="shared" ref="D57" si="16">D48+D49-D53+D55</f>
        <v>1511379.3000000045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0</v>
      </c>
      <c r="C59" s="61">
        <f t="shared" ref="C59:D59" si="17">C57-C49</f>
        <v>1511379.3000000045</v>
      </c>
      <c r="D59" s="61">
        <f t="shared" si="17"/>
        <v>1511379.3000000045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8">C10</f>
        <v>0</v>
      </c>
      <c r="D63" s="122">
        <f t="shared" si="18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9">C65-C66</f>
        <v>0</v>
      </c>
      <c r="D64" s="40">
        <f t="shared" si="19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20">C15</f>
        <v>0</v>
      </c>
      <c r="D68" s="23">
        <f t="shared" si="20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f t="shared" ref="C70:D70" si="21">C19</f>
        <v>0</v>
      </c>
      <c r="D70" s="23">
        <f t="shared" si="21"/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22">C63+C64-C68+C70</f>
        <v>0</v>
      </c>
      <c r="D72" s="40">
        <f t="shared" si="22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3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65746930.659999996</v>
      </c>
      <c r="Q2" s="18">
        <f>'Formato 4'!C8</f>
        <v>35488731.620000005</v>
      </c>
      <c r="R2" s="18">
        <f>'Formato 4'!D8</f>
        <v>35488731.620000005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65746930.659999996</v>
      </c>
      <c r="Q3" s="18">
        <f>'Formato 4'!C9</f>
        <v>35488731.620000005</v>
      </c>
      <c r="R3" s="18">
        <f>'Formato 4'!D9</f>
        <v>35488731.620000005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65746930.659999996</v>
      </c>
      <c r="Q6" s="18">
        <f>'Formato 4'!C13</f>
        <v>33977352.32</v>
      </c>
      <c r="R6" s="18">
        <f>'Formato 4'!D13</f>
        <v>33977352.32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65746930.659999996</v>
      </c>
      <c r="Q7" s="18">
        <f>'Formato 4'!C14</f>
        <v>33977352.32</v>
      </c>
      <c r="R7" s="18">
        <f>'Formato 4'!D14</f>
        <v>33977352.32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0</v>
      </c>
      <c r="R9" s="18">
        <f>'Formato 4'!D17</f>
        <v>0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0</v>
      </c>
      <c r="R10" s="18">
        <f>'Formato 4'!D18</f>
        <v>0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0</v>
      </c>
      <c r="Q12" s="18">
        <f>'Formato 4'!C21</f>
        <v>1511379.3000000045</v>
      </c>
      <c r="R12" s="18">
        <f>'Formato 4'!D21</f>
        <v>1511379.3000000045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0</v>
      </c>
      <c r="Q13" s="18">
        <f>'Formato 4'!C23</f>
        <v>1511379.3000000045</v>
      </c>
      <c r="R13" s="18">
        <f>'Formato 4'!D23</f>
        <v>1511379.3000000045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0</v>
      </c>
      <c r="Q14" s="18">
        <f>'Formato 4'!C25</f>
        <v>1511379.3000000045</v>
      </c>
      <c r="R14" s="18">
        <f>'Formato 4'!D25</f>
        <v>1511379.3000000045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0</v>
      </c>
      <c r="Q18">
        <f>'Formato 4'!C33</f>
        <v>1511379.3000000045</v>
      </c>
      <c r="R18">
        <f>'Formato 4'!D33</f>
        <v>1511379.3000000045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65746930.659999996</v>
      </c>
      <c r="Q26">
        <f>'Formato 4'!C48</f>
        <v>35488731.620000005</v>
      </c>
      <c r="R26">
        <f>'Formato 4'!D48</f>
        <v>35488731.620000005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65746930.659999996</v>
      </c>
      <c r="Q30">
        <f>'Formato 4'!C53</f>
        <v>33977352.32</v>
      </c>
      <c r="R30">
        <f>'Formato 4'!D53</f>
        <v>33977352.32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0</v>
      </c>
      <c r="R31">
        <f>'Formato 4'!D55</f>
        <v>0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ht="14.25" x14ac:dyDescent="0.4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ht="14.25" x14ac:dyDescent="0.4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ht="14.25" x14ac:dyDescent="0.4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ht="14.25" x14ac:dyDescent="0.4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pageSetUpPr fitToPage="1"/>
  </sheetPr>
  <dimension ref="A1:H76"/>
  <sheetViews>
    <sheetView showGridLines="0" zoomScale="85" zoomScaleNormal="85" workbookViewId="0">
      <selection activeCell="D32" sqref="D32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2" t="s">
        <v>206</v>
      </c>
      <c r="B1" s="172"/>
      <c r="C1" s="172"/>
      <c r="D1" s="172"/>
      <c r="E1" s="172"/>
      <c r="F1" s="172"/>
      <c r="G1" s="172"/>
    </row>
    <row r="2" spans="1:8" ht="14.25" x14ac:dyDescent="0.45">
      <c r="A2" s="154" t="str">
        <f>ENTE_PUBLICO_A</f>
        <v>ORGANISMO, Gobierno del Estado de Guanajuato (a)</v>
      </c>
      <c r="B2" s="155"/>
      <c r="C2" s="155"/>
      <c r="D2" s="155"/>
      <c r="E2" s="155"/>
      <c r="F2" s="155"/>
      <c r="G2" s="156"/>
    </row>
    <row r="3" spans="1:8" x14ac:dyDescent="0.25">
      <c r="A3" s="157" t="s">
        <v>207</v>
      </c>
      <c r="B3" s="158"/>
      <c r="C3" s="158"/>
      <c r="D3" s="158"/>
      <c r="E3" s="158"/>
      <c r="F3" s="158"/>
      <c r="G3" s="159"/>
    </row>
    <row r="4" spans="1:8" ht="14.25" x14ac:dyDescent="0.45">
      <c r="A4" s="160" t="str">
        <f>TRIMESTRE</f>
        <v>Del 1 de enero al 30 de junio de 2019 (b)</v>
      </c>
      <c r="B4" s="161"/>
      <c r="C4" s="161"/>
      <c r="D4" s="161"/>
      <c r="E4" s="161"/>
      <c r="F4" s="161"/>
      <c r="G4" s="162"/>
    </row>
    <row r="5" spans="1:8" ht="14.25" x14ac:dyDescent="0.45">
      <c r="A5" s="163" t="s">
        <v>118</v>
      </c>
      <c r="B5" s="164"/>
      <c r="C5" s="164"/>
      <c r="D5" s="164"/>
      <c r="E5" s="164"/>
      <c r="F5" s="164"/>
      <c r="G5" s="165"/>
    </row>
    <row r="6" spans="1:8" x14ac:dyDescent="0.25">
      <c r="A6" s="169" t="s">
        <v>214</v>
      </c>
      <c r="B6" s="171" t="s">
        <v>208</v>
      </c>
      <c r="C6" s="171"/>
      <c r="D6" s="171"/>
      <c r="E6" s="171"/>
      <c r="F6" s="171"/>
      <c r="G6" s="171" t="s">
        <v>209</v>
      </c>
    </row>
    <row r="7" spans="1:8" ht="30" x14ac:dyDescent="0.25">
      <c r="A7" s="170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1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5" si="0">F10-B10</f>
        <v>0</v>
      </c>
    </row>
    <row r="11" spans="1:8" ht="14.25" x14ac:dyDescent="0.4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x14ac:dyDescent="0.25">
      <c r="A13" s="53" t="s">
        <v>220</v>
      </c>
      <c r="B13" s="60">
        <v>24000</v>
      </c>
      <c r="C13" s="60">
        <v>43692.72</v>
      </c>
      <c r="D13" s="60">
        <v>67692.72</v>
      </c>
      <c r="E13" s="60">
        <v>68670.070000000007</v>
      </c>
      <c r="F13" s="60">
        <v>68670.070000000007</v>
      </c>
      <c r="G13" s="60">
        <f>F13-B13</f>
        <v>44670.070000000007</v>
      </c>
    </row>
    <row r="14" spans="1:8" ht="14.25" x14ac:dyDescent="0.45">
      <c r="A14" s="53" t="s">
        <v>221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f t="shared" si="0"/>
        <v>0</v>
      </c>
    </row>
    <row r="15" spans="1:8" x14ac:dyDescent="0.25">
      <c r="A15" s="53" t="s">
        <v>222</v>
      </c>
      <c r="B15" s="60">
        <v>50376638.996000014</v>
      </c>
      <c r="C15" s="60">
        <v>1763370.9439999834</v>
      </c>
      <c r="D15" s="60">
        <v>52140009.939999998</v>
      </c>
      <c r="E15" s="60">
        <v>28650447.550000001</v>
      </c>
      <c r="F15" s="60">
        <v>28650447.550000001</v>
      </c>
      <c r="G15" s="60">
        <f t="shared" si="0"/>
        <v>-21726191.446000014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ht="14.25" x14ac:dyDescent="0.4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2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2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2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ht="14.25" x14ac:dyDescent="0.4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3">SUM(C29:C33)</f>
        <v>0</v>
      </c>
      <c r="D28" s="60">
        <f t="shared" si="3"/>
        <v>0</v>
      </c>
      <c r="E28" s="60">
        <f t="shared" si="3"/>
        <v>0</v>
      </c>
      <c r="F28" s="60">
        <f t="shared" si="3"/>
        <v>0</v>
      </c>
      <c r="G28" s="60">
        <f t="shared" si="3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4" si="4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4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4"/>
        <v>0</v>
      </c>
    </row>
    <row r="34" spans="1:8" x14ac:dyDescent="0.25">
      <c r="A34" s="53" t="s">
        <v>240</v>
      </c>
      <c r="B34" s="60">
        <v>14039228</v>
      </c>
      <c r="C34" s="60">
        <v>-500000</v>
      </c>
      <c r="D34" s="60">
        <f>B34+C34</f>
        <v>13539228</v>
      </c>
      <c r="E34" s="60">
        <v>6769614</v>
      </c>
      <c r="F34" s="60">
        <v>6769614</v>
      </c>
      <c r="G34" s="60">
        <f t="shared" si="4"/>
        <v>-7269614</v>
      </c>
    </row>
    <row r="35" spans="1:8" x14ac:dyDescent="0.25">
      <c r="A35" s="53" t="s">
        <v>241</v>
      </c>
      <c r="B35" s="60">
        <f>B36</f>
        <v>0</v>
      </c>
      <c r="C35" s="60">
        <f t="shared" ref="C35:F35" si="5">C36</f>
        <v>0</v>
      </c>
      <c r="D35" s="60">
        <f t="shared" si="5"/>
        <v>0</v>
      </c>
      <c r="E35" s="60">
        <f t="shared" si="5"/>
        <v>0</v>
      </c>
      <c r="F35" s="60">
        <f t="shared" si="5"/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f>B38+B39</f>
        <v>0</v>
      </c>
      <c r="C37" s="60">
        <f t="shared" ref="C37:G37" si="6">C38+C39</f>
        <v>0</v>
      </c>
      <c r="D37" s="60">
        <f t="shared" si="6"/>
        <v>0</v>
      </c>
      <c r="E37" s="60">
        <f t="shared" si="6"/>
        <v>0</v>
      </c>
      <c r="F37" s="60">
        <f t="shared" si="6"/>
        <v>0</v>
      </c>
      <c r="G37" s="60">
        <f t="shared" si="6"/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64439866.996000014</v>
      </c>
      <c r="C41" s="61">
        <f t="shared" ref="C41:E41" si="7">SUM(C9,C10,C11,C12,C13,C14,C15,C16,C28,C34,C35,C37)</f>
        <v>1307063.6639999833</v>
      </c>
      <c r="D41" s="61">
        <f t="shared" si="7"/>
        <v>65746930.659999996</v>
      </c>
      <c r="E41" s="61">
        <f t="shared" si="7"/>
        <v>35488731.620000005</v>
      </c>
      <c r="F41" s="61">
        <f>SUM(F9,F10,F11,F12,F13,F14,F15,F16,F28,F34,F35,F37)</f>
        <v>35488731.620000005</v>
      </c>
      <c r="G41" s="61">
        <f>SUM(G9,G10,G11,G12,G13,G14,G15,G16,G28,G34,G35,G37)</f>
        <v>-28951135.376000013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0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8">SUM(C46:C53)</f>
        <v>0</v>
      </c>
      <c r="D45" s="60">
        <f t="shared" si="8"/>
        <v>0</v>
      </c>
      <c r="E45" s="60">
        <f t="shared" si="8"/>
        <v>0</v>
      </c>
      <c r="F45" s="60">
        <f t="shared" si="8"/>
        <v>0</v>
      </c>
      <c r="G45" s="60">
        <f t="shared" si="8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9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9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9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9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9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9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9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10">SUM(C55:C58)</f>
        <v>0</v>
      </c>
      <c r="D54" s="60">
        <f t="shared" si="10"/>
        <v>0</v>
      </c>
      <c r="E54" s="60">
        <f t="shared" si="10"/>
        <v>0</v>
      </c>
      <c r="F54" s="60">
        <f t="shared" si="10"/>
        <v>0</v>
      </c>
      <c r="G54" s="60">
        <f t="shared" si="10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11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11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11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2">SUM(C60:C61)</f>
        <v>0</v>
      </c>
      <c r="D59" s="60">
        <f t="shared" si="12"/>
        <v>0</v>
      </c>
      <c r="E59" s="60">
        <f t="shared" si="12"/>
        <v>0</v>
      </c>
      <c r="F59" s="60">
        <f t="shared" si="12"/>
        <v>0</v>
      </c>
      <c r="G59" s="60">
        <f t="shared" si="12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3">C45+C54+C59+C62+C63</f>
        <v>0</v>
      </c>
      <c r="D65" s="61">
        <f t="shared" si="13"/>
        <v>0</v>
      </c>
      <c r="E65" s="61">
        <f t="shared" si="13"/>
        <v>0</v>
      </c>
      <c r="F65" s="61">
        <f t="shared" si="13"/>
        <v>0</v>
      </c>
      <c r="G65" s="61">
        <f t="shared" si="13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1">
        <f>B68</f>
        <v>0</v>
      </c>
      <c r="C67" s="61">
        <f t="shared" ref="C67:G67" si="14">C68</f>
        <v>0</v>
      </c>
      <c r="D67" s="61">
        <f t="shared" si="14"/>
        <v>0</v>
      </c>
      <c r="E67" s="61">
        <f t="shared" si="14"/>
        <v>0</v>
      </c>
      <c r="F67" s="61">
        <f t="shared" si="14"/>
        <v>0</v>
      </c>
      <c r="G67" s="61">
        <f t="shared" si="14"/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64439866.996000014</v>
      </c>
      <c r="C70" s="61">
        <f t="shared" ref="C70:G70" si="15">C41+C65+C67</f>
        <v>1307063.6639999833</v>
      </c>
      <c r="D70" s="61">
        <f t="shared" si="15"/>
        <v>65746930.659999996</v>
      </c>
      <c r="E70" s="61">
        <f t="shared" si="15"/>
        <v>35488731.620000005</v>
      </c>
      <c r="F70" s="61">
        <f t="shared" si="15"/>
        <v>35488731.620000005</v>
      </c>
      <c r="G70" s="61">
        <f t="shared" si="15"/>
        <v>-28951135.376000013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6">C73+C74</f>
        <v>0</v>
      </c>
      <c r="D75" s="61">
        <f t="shared" si="16"/>
        <v>0</v>
      </c>
      <c r="E75" s="61">
        <f t="shared" si="16"/>
        <v>0</v>
      </c>
      <c r="F75" s="61">
        <f t="shared" si="16"/>
        <v>0</v>
      </c>
      <c r="G75" s="61">
        <f t="shared" si="16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1" fitToHeight="3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24000</v>
      </c>
      <c r="Q7" s="18">
        <f>'Formato 5'!C13</f>
        <v>43692.72</v>
      </c>
      <c r="R7" s="18">
        <f>'Formato 5'!D13</f>
        <v>67692.72</v>
      </c>
      <c r="S7" s="18">
        <f>'Formato 5'!E13</f>
        <v>68670.070000000007</v>
      </c>
      <c r="T7" s="18">
        <f>'Formato 5'!F13</f>
        <v>68670.070000000007</v>
      </c>
      <c r="U7" s="18">
        <f>'Formato 5'!G13</f>
        <v>44670.070000000007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50376638.996000014</v>
      </c>
      <c r="Q9" s="18">
        <f>'Formato 5'!C15</f>
        <v>1763370.9439999834</v>
      </c>
      <c r="R9" s="18">
        <f>'Formato 5'!D15</f>
        <v>52140009.939999998</v>
      </c>
      <c r="S9" s="18">
        <f>'Formato 5'!E15</f>
        <v>28650447.550000001</v>
      </c>
      <c r="T9" s="18">
        <f>'Formato 5'!F15</f>
        <v>28650447.550000001</v>
      </c>
      <c r="U9" s="18">
        <f>'Formato 5'!G15</f>
        <v>-21726191.446000014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ht="14.25" x14ac:dyDescent="0.4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14039228</v>
      </c>
      <c r="Q28" s="18">
        <f>'Formato 5'!C34</f>
        <v>-500000</v>
      </c>
      <c r="R28" s="18">
        <f>'Formato 5'!D34</f>
        <v>13539228</v>
      </c>
      <c r="S28" s="18">
        <f>'Formato 5'!E34</f>
        <v>6769614</v>
      </c>
      <c r="T28" s="18">
        <f>'Formato 5'!F34</f>
        <v>6769614</v>
      </c>
      <c r="U28" s="18">
        <f>'Formato 5'!G34</f>
        <v>-7269614</v>
      </c>
    </row>
    <row r="29" spans="1:21" ht="14.25" x14ac:dyDescent="0.4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ht="14.25" x14ac:dyDescent="0.4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0</v>
      </c>
      <c r="R31" s="18">
        <f>'Formato 5'!D37</f>
        <v>0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0</v>
      </c>
      <c r="R33" s="18">
        <f>'Formato 5'!D39</f>
        <v>0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64439866.996000014</v>
      </c>
      <c r="Q34">
        <f>'Formato 5'!C41</f>
        <v>1307063.6639999833</v>
      </c>
      <c r="R34">
        <f>'Formato 5'!D41</f>
        <v>65746930.659999996</v>
      </c>
      <c r="S34">
        <f>'Formato 5'!E41</f>
        <v>35488731.620000005</v>
      </c>
      <c r="T34">
        <f>'Formato 5'!F41</f>
        <v>35488731.620000005</v>
      </c>
      <c r="U34">
        <f>'Formato 5'!G41</f>
        <v>-28951135.376000013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0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pageSetUpPr fitToPage="1"/>
  </sheetPr>
  <dimension ref="A1:XFC161"/>
  <sheetViews>
    <sheetView topLeftCell="A7" zoomScale="90" zoomScaleNormal="90" zoomScalePageLayoutView="90" workbookViewId="0">
      <selection activeCell="D32" sqref="D32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3" t="s">
        <v>3286</v>
      </c>
      <c r="B1" s="172"/>
      <c r="C1" s="172"/>
      <c r="D1" s="172"/>
      <c r="E1" s="172"/>
      <c r="F1" s="172"/>
      <c r="G1" s="172"/>
    </row>
    <row r="2" spans="1:7" ht="14.25" x14ac:dyDescent="0.45">
      <c r="A2" s="176" t="str">
        <f>ENTE_PUBLICO_A</f>
        <v>ORGANISMO, Gobierno del Estado de Guanajuato (a)</v>
      </c>
      <c r="B2" s="176"/>
      <c r="C2" s="176"/>
      <c r="D2" s="176"/>
      <c r="E2" s="176"/>
      <c r="F2" s="176"/>
      <c r="G2" s="176"/>
    </row>
    <row r="3" spans="1:7" x14ac:dyDescent="0.25">
      <c r="A3" s="177" t="s">
        <v>277</v>
      </c>
      <c r="B3" s="177"/>
      <c r="C3" s="177"/>
      <c r="D3" s="177"/>
      <c r="E3" s="177"/>
      <c r="F3" s="177"/>
      <c r="G3" s="177"/>
    </row>
    <row r="4" spans="1:7" x14ac:dyDescent="0.25">
      <c r="A4" s="177" t="s">
        <v>278</v>
      </c>
      <c r="B4" s="177"/>
      <c r="C4" s="177"/>
      <c r="D4" s="177"/>
      <c r="E4" s="177"/>
      <c r="F4" s="177"/>
      <c r="G4" s="177"/>
    </row>
    <row r="5" spans="1:7" ht="14.25" x14ac:dyDescent="0.45">
      <c r="A5" s="178" t="str">
        <f>TRIMESTRE</f>
        <v>Del 1 de enero al 30 de junio de 2019 (b)</v>
      </c>
      <c r="B5" s="178"/>
      <c r="C5" s="178"/>
      <c r="D5" s="178"/>
      <c r="E5" s="178"/>
      <c r="F5" s="178"/>
      <c r="G5" s="178"/>
    </row>
    <row r="6" spans="1:7" ht="14.25" x14ac:dyDescent="0.45">
      <c r="A6" s="170" t="s">
        <v>118</v>
      </c>
      <c r="B6" s="170"/>
      <c r="C6" s="170"/>
      <c r="D6" s="170"/>
      <c r="E6" s="170"/>
      <c r="F6" s="170"/>
      <c r="G6" s="170"/>
    </row>
    <row r="7" spans="1:7" ht="15" customHeight="1" x14ac:dyDescent="0.25">
      <c r="A7" s="174" t="s">
        <v>0</v>
      </c>
      <c r="B7" s="174" t="s">
        <v>279</v>
      </c>
      <c r="C7" s="174"/>
      <c r="D7" s="174"/>
      <c r="E7" s="174"/>
      <c r="F7" s="174"/>
      <c r="G7" s="175" t="s">
        <v>280</v>
      </c>
    </row>
    <row r="8" spans="1:7" ht="30" x14ac:dyDescent="0.25">
      <c r="A8" s="174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4"/>
    </row>
    <row r="9" spans="1:7" ht="14.25" x14ac:dyDescent="0.45">
      <c r="A9" s="82" t="s">
        <v>285</v>
      </c>
      <c r="B9" s="79">
        <f>SUM(B10,B18,B28,B38,B48,B58,B62,B71,B75)</f>
        <v>64439867</v>
      </c>
      <c r="C9" s="79">
        <f t="shared" ref="C9:G9" si="0">SUM(C10,C18,C28,C38,C48,C58,C62,C71,C75)</f>
        <v>1307063.6640426917</v>
      </c>
      <c r="D9" s="79">
        <f t="shared" si="0"/>
        <v>65746930.664042696</v>
      </c>
      <c r="E9" s="79">
        <f t="shared" si="0"/>
        <v>33977352.32</v>
      </c>
      <c r="F9" s="79">
        <f t="shared" si="0"/>
        <v>33977352.32</v>
      </c>
      <c r="G9" s="79">
        <f t="shared" si="0"/>
        <v>31769578.344042692</v>
      </c>
    </row>
    <row r="10" spans="1:7" ht="14.25" x14ac:dyDescent="0.45">
      <c r="A10" s="83" t="s">
        <v>286</v>
      </c>
      <c r="B10" s="80">
        <f t="shared" ref="B10:F10" si="1">SUM(B11:B17)</f>
        <v>32553433.910000004</v>
      </c>
      <c r="C10" s="80">
        <f t="shared" si="1"/>
        <v>-371389.50011164573</v>
      </c>
      <c r="D10" s="80">
        <f t="shared" si="1"/>
        <v>32182044.409888353</v>
      </c>
      <c r="E10" s="80">
        <f t="shared" si="1"/>
        <v>15920198.999999998</v>
      </c>
      <c r="F10" s="80">
        <f t="shared" si="1"/>
        <v>15920198.999999998</v>
      </c>
      <c r="G10" s="80">
        <f>SUM(G11:G17)</f>
        <v>16261845.409888353</v>
      </c>
    </row>
    <row r="11" spans="1:7" x14ac:dyDescent="0.25">
      <c r="A11" s="84" t="s">
        <v>287</v>
      </c>
      <c r="B11" s="80">
        <v>15890168.280000001</v>
      </c>
      <c r="C11" s="80">
        <v>-164681.39627500251</v>
      </c>
      <c r="D11" s="80">
        <v>15725486.883724999</v>
      </c>
      <c r="E11" s="80">
        <v>7438589.9199999999</v>
      </c>
      <c r="F11" s="80">
        <v>7438589.9199999999</v>
      </c>
      <c r="G11" s="80">
        <f>D11-E11</f>
        <v>8286896.9637249988</v>
      </c>
    </row>
    <row r="12" spans="1:7" x14ac:dyDescent="0.25">
      <c r="A12" s="84" t="s">
        <v>288</v>
      </c>
      <c r="B12" s="80">
        <v>1075662.23</v>
      </c>
      <c r="C12" s="80">
        <v>665.205767812673</v>
      </c>
      <c r="D12" s="80">
        <v>1076327.4357678127</v>
      </c>
      <c r="E12" s="80">
        <v>673262.55</v>
      </c>
      <c r="F12" s="80">
        <v>673262.55</v>
      </c>
      <c r="G12" s="80">
        <f>D12-E12</f>
        <v>403064.88576781261</v>
      </c>
    </row>
    <row r="13" spans="1:7" x14ac:dyDescent="0.25">
      <c r="A13" s="84" t="s">
        <v>289</v>
      </c>
      <c r="B13" s="80">
        <v>4444213.7300000004</v>
      </c>
      <c r="C13" s="80">
        <v>91041.841874731705</v>
      </c>
      <c r="D13" s="80">
        <v>4535255.5718747322</v>
      </c>
      <c r="E13" s="80">
        <v>2601826.5799999991</v>
      </c>
      <c r="F13" s="80">
        <v>2601826.5799999991</v>
      </c>
      <c r="G13" s="80">
        <f t="shared" ref="G13:G17" si="2">D13-E13</f>
        <v>1933428.991874733</v>
      </c>
    </row>
    <row r="14" spans="1:7" x14ac:dyDescent="0.25">
      <c r="A14" s="84" t="s">
        <v>290</v>
      </c>
      <c r="B14" s="80">
        <v>5015713.9100000011</v>
      </c>
      <c r="C14" s="80">
        <v>-245396.14756449964</v>
      </c>
      <c r="D14" s="80">
        <v>4770317.7624355014</v>
      </c>
      <c r="E14" s="80">
        <v>2185873.3200000003</v>
      </c>
      <c r="F14" s="80">
        <v>2185873.3200000003</v>
      </c>
      <c r="G14" s="80">
        <f>D14-E14</f>
        <v>2584444.4424355011</v>
      </c>
    </row>
    <row r="15" spans="1:7" x14ac:dyDescent="0.25">
      <c r="A15" s="84" t="s">
        <v>291</v>
      </c>
      <c r="B15" s="80">
        <v>5746311.6599999983</v>
      </c>
      <c r="C15" s="80">
        <v>-36739.759364088066</v>
      </c>
      <c r="D15" s="80">
        <v>5709571.9006359102</v>
      </c>
      <c r="E15" s="80">
        <v>2844701.44</v>
      </c>
      <c r="F15" s="80">
        <v>2844701.44</v>
      </c>
      <c r="G15" s="80">
        <f t="shared" si="2"/>
        <v>2864870.4606359103</v>
      </c>
    </row>
    <row r="16" spans="1:7" x14ac:dyDescent="0.25">
      <c r="A16" s="84" t="s">
        <v>292</v>
      </c>
      <c r="B16" s="80">
        <v>381364.1</v>
      </c>
      <c r="C16" s="80">
        <v>-16279.244550599891</v>
      </c>
      <c r="D16" s="80">
        <v>365084.85544940009</v>
      </c>
      <c r="E16" s="80">
        <v>175945.19</v>
      </c>
      <c r="F16" s="80">
        <v>175945.19</v>
      </c>
      <c r="G16" s="80">
        <f t="shared" si="2"/>
        <v>189139.66544940008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f t="shared" si="2"/>
        <v>0</v>
      </c>
    </row>
    <row r="18" spans="1:7" ht="14.25" x14ac:dyDescent="0.45">
      <c r="A18" s="83" t="s">
        <v>294</v>
      </c>
      <c r="B18" s="80">
        <f>SUM(B19:B27)</f>
        <v>18237751.699999999</v>
      </c>
      <c r="C18" s="80">
        <f t="shared" ref="C18:F18" si="3">SUM(C19:C27)</f>
        <v>149700.07021693772</v>
      </c>
      <c r="D18" s="80">
        <f t="shared" si="3"/>
        <v>18387451.770216938</v>
      </c>
      <c r="E18" s="80">
        <f t="shared" si="3"/>
        <v>9606131.0499999989</v>
      </c>
      <c r="F18" s="80">
        <f t="shared" si="3"/>
        <v>9606131.0499999989</v>
      </c>
      <c r="G18" s="80">
        <f>SUM(G19:G27)</f>
        <v>8781320.7202169374</v>
      </c>
    </row>
    <row r="19" spans="1:7" x14ac:dyDescent="0.25">
      <c r="A19" s="84" t="s">
        <v>295</v>
      </c>
      <c r="B19" s="80">
        <v>579218.29</v>
      </c>
      <c r="C19" s="80">
        <v>159693.66221693624</v>
      </c>
      <c r="D19" s="80">
        <v>738911.95221693628</v>
      </c>
      <c r="E19" s="80">
        <v>403821.99000000005</v>
      </c>
      <c r="F19" s="80">
        <v>403821.99000000005</v>
      </c>
      <c r="G19" s="80">
        <f>D19-E19</f>
        <v>335089.96221693623</v>
      </c>
    </row>
    <row r="20" spans="1:7" x14ac:dyDescent="0.25">
      <c r="A20" s="84" t="s">
        <v>296</v>
      </c>
      <c r="B20" s="80">
        <v>11557000</v>
      </c>
      <c r="C20" s="80">
        <v>-145428.31999999844</v>
      </c>
      <c r="D20" s="80">
        <v>11411571.680000002</v>
      </c>
      <c r="E20" s="80">
        <v>5661357.46</v>
      </c>
      <c r="F20" s="80">
        <v>5661357.46</v>
      </c>
      <c r="G20" s="80">
        <f t="shared" ref="G20:G27" si="4">D20-E20</f>
        <v>5750214.2200000016</v>
      </c>
    </row>
    <row r="21" spans="1:7" x14ac:dyDescent="0.25">
      <c r="A21" s="84" t="s">
        <v>297</v>
      </c>
      <c r="B21" s="80">
        <v>4882852.09</v>
      </c>
      <c r="C21" s="80">
        <v>-20761.660000000149</v>
      </c>
      <c r="D21" s="80">
        <v>4862090.43</v>
      </c>
      <c r="E21" s="80">
        <v>2627538.8199999998</v>
      </c>
      <c r="F21" s="80">
        <v>2627538.8199999998</v>
      </c>
      <c r="G21" s="80">
        <f t="shared" si="4"/>
        <v>2234551.61</v>
      </c>
    </row>
    <row r="22" spans="1:7" x14ac:dyDescent="0.25">
      <c r="A22" s="84" t="s">
        <v>298</v>
      </c>
      <c r="B22" s="80"/>
      <c r="C22" s="80"/>
      <c r="D22" s="80"/>
      <c r="E22" s="80"/>
      <c r="F22" s="80"/>
      <c r="G22" s="80">
        <f t="shared" si="4"/>
        <v>0</v>
      </c>
    </row>
    <row r="23" spans="1:7" x14ac:dyDescent="0.25">
      <c r="A23" s="84" t="s">
        <v>299</v>
      </c>
      <c r="B23" s="80">
        <v>223000</v>
      </c>
      <c r="C23" s="80">
        <v>50039.460000000021</v>
      </c>
      <c r="D23" s="80">
        <v>273039.46000000002</v>
      </c>
      <c r="E23" s="80">
        <v>152590.23000000001</v>
      </c>
      <c r="F23" s="80">
        <v>152590.23000000001</v>
      </c>
      <c r="G23" s="80">
        <f t="shared" si="4"/>
        <v>120449.23000000001</v>
      </c>
    </row>
    <row r="24" spans="1:7" x14ac:dyDescent="0.25">
      <c r="A24" s="84" t="s">
        <v>300</v>
      </c>
      <c r="B24" s="80">
        <v>652181.31999999995</v>
      </c>
      <c r="C24" s="80">
        <v>26631.788000000059</v>
      </c>
      <c r="D24" s="80">
        <v>678813.10800000001</v>
      </c>
      <c r="E24" s="80">
        <v>379013.28</v>
      </c>
      <c r="F24" s="80">
        <v>379013.28</v>
      </c>
      <c r="G24" s="80">
        <f t="shared" si="4"/>
        <v>299799.82799999998</v>
      </c>
    </row>
    <row r="25" spans="1:7" x14ac:dyDescent="0.25">
      <c r="A25" s="84" t="s">
        <v>301</v>
      </c>
      <c r="B25" s="80">
        <v>219500</v>
      </c>
      <c r="C25" s="80">
        <v>52079.200000000012</v>
      </c>
      <c r="D25" s="80">
        <v>271579.2</v>
      </c>
      <c r="E25" s="80">
        <v>257079.2</v>
      </c>
      <c r="F25" s="80">
        <v>257079.2</v>
      </c>
      <c r="G25" s="80">
        <f t="shared" si="4"/>
        <v>14500</v>
      </c>
    </row>
    <row r="26" spans="1:7" x14ac:dyDescent="0.25">
      <c r="A26" s="84" t="s">
        <v>302</v>
      </c>
      <c r="B26" s="80"/>
      <c r="C26" s="80"/>
      <c r="D26" s="80"/>
      <c r="E26" s="80"/>
      <c r="F26" s="80"/>
      <c r="G26" s="80">
        <f t="shared" si="4"/>
        <v>0</v>
      </c>
    </row>
    <row r="27" spans="1:7" x14ac:dyDescent="0.25">
      <c r="A27" s="84" t="s">
        <v>303</v>
      </c>
      <c r="B27" s="80">
        <v>124000</v>
      </c>
      <c r="C27" s="80">
        <v>27445.939999999973</v>
      </c>
      <c r="D27" s="80">
        <v>151445.93999999997</v>
      </c>
      <c r="E27" s="80">
        <v>124730.07</v>
      </c>
      <c r="F27" s="80">
        <v>124730.07</v>
      </c>
      <c r="G27" s="80">
        <f t="shared" si="4"/>
        <v>26715.869999999966</v>
      </c>
    </row>
    <row r="28" spans="1:7" x14ac:dyDescent="0.25">
      <c r="A28" s="83" t="s">
        <v>304</v>
      </c>
      <c r="B28" s="80">
        <f>SUM(B29:B37)</f>
        <v>12318106.390000002</v>
      </c>
      <c r="C28" s="80">
        <f t="shared" ref="C28:G28" si="5">SUM(C29:C37)</f>
        <v>1738924.5339373997</v>
      </c>
      <c r="D28" s="80">
        <f t="shared" si="5"/>
        <v>14057030.923937401</v>
      </c>
      <c r="E28" s="80">
        <f t="shared" si="5"/>
        <v>7505618.709999999</v>
      </c>
      <c r="F28" s="80">
        <f t="shared" si="5"/>
        <v>7505618.709999999</v>
      </c>
      <c r="G28" s="80">
        <f t="shared" si="5"/>
        <v>6551412.2139374008</v>
      </c>
    </row>
    <row r="29" spans="1:7" x14ac:dyDescent="0.25">
      <c r="A29" s="84" t="s">
        <v>305</v>
      </c>
      <c r="B29" s="80">
        <v>1536200</v>
      </c>
      <c r="C29" s="80">
        <v>260069.01000000024</v>
      </c>
      <c r="D29" s="80">
        <v>1796269.0100000002</v>
      </c>
      <c r="E29" s="80">
        <v>988974.45</v>
      </c>
      <c r="F29" s="80">
        <v>988974.45</v>
      </c>
      <c r="G29" s="80">
        <f>D29-E29</f>
        <v>807294.56000000029</v>
      </c>
    </row>
    <row r="30" spans="1:7" x14ac:dyDescent="0.25">
      <c r="A30" s="84" t="s">
        <v>306</v>
      </c>
      <c r="B30" s="80">
        <v>357931.7</v>
      </c>
      <c r="C30" s="80">
        <v>25626.599999999977</v>
      </c>
      <c r="D30" s="80">
        <v>383558.3</v>
      </c>
      <c r="E30" s="80">
        <v>306712.44999999995</v>
      </c>
      <c r="F30" s="80">
        <v>306712.44999999995</v>
      </c>
      <c r="G30" s="80">
        <f t="shared" ref="G30:G37" si="6">D30-E30</f>
        <v>76845.850000000035</v>
      </c>
    </row>
    <row r="31" spans="1:7" x14ac:dyDescent="0.25">
      <c r="A31" s="84" t="s">
        <v>307</v>
      </c>
      <c r="B31" s="80">
        <v>291082</v>
      </c>
      <c r="C31" s="80">
        <v>125780.58999999997</v>
      </c>
      <c r="D31" s="80">
        <v>416862.58999999997</v>
      </c>
      <c r="E31" s="80">
        <v>285016.99</v>
      </c>
      <c r="F31" s="80">
        <v>285016.99</v>
      </c>
      <c r="G31" s="80">
        <f t="shared" si="6"/>
        <v>131845.59999999998</v>
      </c>
    </row>
    <row r="32" spans="1:7" x14ac:dyDescent="0.25">
      <c r="A32" s="84" t="s">
        <v>308</v>
      </c>
      <c r="B32" s="80">
        <v>734994.59000000008</v>
      </c>
      <c r="C32" s="80">
        <v>454042.48553739954</v>
      </c>
      <c r="D32" s="80">
        <v>1189037.0755373996</v>
      </c>
      <c r="E32" s="80">
        <v>547482.87</v>
      </c>
      <c r="F32" s="80">
        <v>547482.87</v>
      </c>
      <c r="G32" s="80">
        <f t="shared" si="6"/>
        <v>641554.20553739963</v>
      </c>
    </row>
    <row r="33" spans="1:7" x14ac:dyDescent="0.25">
      <c r="A33" s="84" t="s">
        <v>309</v>
      </c>
      <c r="B33" s="80">
        <v>3060050.27</v>
      </c>
      <c r="C33" s="80">
        <v>1290850.2500000005</v>
      </c>
      <c r="D33" s="80">
        <v>4350900.5200000005</v>
      </c>
      <c r="E33" s="80">
        <v>2296225.8199999998</v>
      </c>
      <c r="F33" s="80">
        <v>2296225.8199999998</v>
      </c>
      <c r="G33" s="80">
        <f t="shared" si="6"/>
        <v>2054674.7000000007</v>
      </c>
    </row>
    <row r="34" spans="1:7" x14ac:dyDescent="0.25">
      <c r="A34" s="84" t="s">
        <v>310</v>
      </c>
      <c r="B34" s="80">
        <v>2679234.2700000005</v>
      </c>
      <c r="C34" s="80">
        <v>-53208.530000000261</v>
      </c>
      <c r="D34" s="80">
        <v>2626025.7400000002</v>
      </c>
      <c r="E34" s="80">
        <v>643328.60000000009</v>
      </c>
      <c r="F34" s="80">
        <v>643328.60000000009</v>
      </c>
      <c r="G34" s="80">
        <f t="shared" si="6"/>
        <v>1982697.1400000001</v>
      </c>
    </row>
    <row r="35" spans="1:7" x14ac:dyDescent="0.25">
      <c r="A35" s="84" t="s">
        <v>311</v>
      </c>
      <c r="B35" s="80">
        <v>228211.18</v>
      </c>
      <c r="C35" s="80">
        <v>-62265.429999999993</v>
      </c>
      <c r="D35" s="80">
        <v>165945.75</v>
      </c>
      <c r="E35" s="80">
        <v>74590.279999999984</v>
      </c>
      <c r="F35" s="80">
        <v>74590.279999999984</v>
      </c>
      <c r="G35" s="80">
        <f t="shared" si="6"/>
        <v>91355.470000000016</v>
      </c>
    </row>
    <row r="36" spans="1:7" x14ac:dyDescent="0.25">
      <c r="A36" s="84" t="s">
        <v>312</v>
      </c>
      <c r="B36" s="80">
        <v>2899839.06</v>
      </c>
      <c r="C36" s="80">
        <v>-292870.5</v>
      </c>
      <c r="D36" s="80">
        <v>2606968.56</v>
      </c>
      <c r="E36" s="80">
        <v>2071368.4799999997</v>
      </c>
      <c r="F36" s="80">
        <v>2071368.4799999997</v>
      </c>
      <c r="G36" s="80">
        <f t="shared" si="6"/>
        <v>535600.08000000031</v>
      </c>
    </row>
    <row r="37" spans="1:7" x14ac:dyDescent="0.25">
      <c r="A37" s="84" t="s">
        <v>313</v>
      </c>
      <c r="B37" s="80">
        <v>530563.32000000007</v>
      </c>
      <c r="C37" s="80">
        <v>-9099.9416000001365</v>
      </c>
      <c r="D37" s="80">
        <v>521463.37839999993</v>
      </c>
      <c r="E37" s="80">
        <v>291918.77</v>
      </c>
      <c r="F37" s="80">
        <v>291918.77</v>
      </c>
      <c r="G37" s="80">
        <f t="shared" si="6"/>
        <v>229544.60839999991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830575</v>
      </c>
      <c r="C48" s="80">
        <f t="shared" ref="C48:G48" si="9">SUM(C49:C57)</f>
        <v>-222649.28999999998</v>
      </c>
      <c r="D48" s="80">
        <f t="shared" si="9"/>
        <v>607925.71</v>
      </c>
      <c r="E48" s="80">
        <f t="shared" si="9"/>
        <v>432925.71</v>
      </c>
      <c r="F48" s="80">
        <f t="shared" si="9"/>
        <v>432925.71</v>
      </c>
      <c r="G48" s="80">
        <f t="shared" si="9"/>
        <v>175000</v>
      </c>
    </row>
    <row r="49" spans="1:7" x14ac:dyDescent="0.25">
      <c r="A49" s="84" t="s">
        <v>325</v>
      </c>
      <c r="B49" s="80">
        <v>100350</v>
      </c>
      <c r="C49" s="80">
        <v>-56193.759999999995</v>
      </c>
      <c r="D49" s="80">
        <v>44156.240000000005</v>
      </c>
      <c r="E49" s="80">
        <v>19156.239999999998</v>
      </c>
      <c r="F49" s="80">
        <v>19156.239999999998</v>
      </c>
      <c r="G49" s="80">
        <f>D49-E49</f>
        <v>25000.000000000007</v>
      </c>
    </row>
    <row r="50" spans="1:7" x14ac:dyDescent="0.25">
      <c r="A50" s="84" t="s">
        <v>326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f t="shared" ref="G50:G57" si="10">D50-E50</f>
        <v>0</v>
      </c>
    </row>
    <row r="51" spans="1:7" x14ac:dyDescent="0.25">
      <c r="A51" s="84" t="s">
        <v>327</v>
      </c>
      <c r="B51" s="80">
        <v>40000</v>
      </c>
      <c r="C51" s="80">
        <v>-40000</v>
      </c>
      <c r="D51" s="80">
        <v>0</v>
      </c>
      <c r="E51" s="80">
        <v>0</v>
      </c>
      <c r="F51" s="80">
        <v>0</v>
      </c>
      <c r="G51" s="80">
        <f t="shared" si="10"/>
        <v>0</v>
      </c>
    </row>
    <row r="52" spans="1:7" x14ac:dyDescent="0.25">
      <c r="A52" s="84" t="s">
        <v>328</v>
      </c>
      <c r="B52" s="80">
        <v>0</v>
      </c>
      <c r="C52" s="80">
        <v>0</v>
      </c>
      <c r="D52" s="80">
        <v>0</v>
      </c>
      <c r="E52" s="80">
        <v>0</v>
      </c>
      <c r="F52" s="80">
        <v>0</v>
      </c>
      <c r="G52" s="80">
        <f t="shared" si="10"/>
        <v>0</v>
      </c>
    </row>
    <row r="53" spans="1:7" x14ac:dyDescent="0.25">
      <c r="A53" s="84" t="s">
        <v>329</v>
      </c>
      <c r="B53" s="80">
        <v>0</v>
      </c>
      <c r="C53" s="80">
        <v>0</v>
      </c>
      <c r="D53" s="80">
        <v>0</v>
      </c>
      <c r="E53" s="80">
        <v>0</v>
      </c>
      <c r="F53" s="80">
        <v>0</v>
      </c>
      <c r="G53" s="80">
        <f t="shared" si="10"/>
        <v>0</v>
      </c>
    </row>
    <row r="54" spans="1:7" x14ac:dyDescent="0.25">
      <c r="A54" s="84" t="s">
        <v>330</v>
      </c>
      <c r="B54" s="80">
        <v>290225</v>
      </c>
      <c r="C54" s="80">
        <v>-113353.53</v>
      </c>
      <c r="D54" s="80">
        <v>176871.47</v>
      </c>
      <c r="E54" s="80">
        <v>26871.47</v>
      </c>
      <c r="F54" s="80">
        <v>26871.47</v>
      </c>
      <c r="G54" s="80">
        <f t="shared" si="10"/>
        <v>150000</v>
      </c>
    </row>
    <row r="55" spans="1:7" x14ac:dyDescent="0.25">
      <c r="A55" s="84" t="s">
        <v>331</v>
      </c>
      <c r="B55" s="80">
        <v>400000</v>
      </c>
      <c r="C55" s="80">
        <v>-13102</v>
      </c>
      <c r="D55" s="80">
        <v>386898</v>
      </c>
      <c r="E55" s="80">
        <v>386898</v>
      </c>
      <c r="F55" s="80">
        <v>386898</v>
      </c>
      <c r="G55" s="80">
        <f t="shared" si="10"/>
        <v>0</v>
      </c>
    </row>
    <row r="56" spans="1:7" x14ac:dyDescent="0.25">
      <c r="A56" s="84" t="s">
        <v>332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f t="shared" si="10"/>
        <v>0</v>
      </c>
    </row>
    <row r="57" spans="1:7" x14ac:dyDescent="0.25">
      <c r="A57" s="84" t="s">
        <v>333</v>
      </c>
      <c r="B57" s="80">
        <v>0</v>
      </c>
      <c r="C57" s="80">
        <v>0</v>
      </c>
      <c r="D57" s="80">
        <v>0</v>
      </c>
      <c r="E57" s="80">
        <v>0</v>
      </c>
      <c r="F57" s="80">
        <v>0</v>
      </c>
      <c r="G57" s="80">
        <f t="shared" si="10"/>
        <v>0</v>
      </c>
    </row>
    <row r="58" spans="1:7" x14ac:dyDescent="0.25">
      <c r="A58" s="83" t="s">
        <v>334</v>
      </c>
      <c r="B58" s="80">
        <f>SUM(B59:B61)</f>
        <v>500000</v>
      </c>
      <c r="C58" s="80">
        <f t="shared" ref="C58:G58" si="11">SUM(C59:C61)</f>
        <v>12477.849999999977</v>
      </c>
      <c r="D58" s="80">
        <f t="shared" si="11"/>
        <v>512477.85</v>
      </c>
      <c r="E58" s="80">
        <f t="shared" si="11"/>
        <v>512477.85</v>
      </c>
      <c r="F58" s="80">
        <f t="shared" si="11"/>
        <v>512477.85</v>
      </c>
      <c r="G58" s="80">
        <f t="shared" si="11"/>
        <v>0</v>
      </c>
    </row>
    <row r="59" spans="1:7" x14ac:dyDescent="0.25">
      <c r="A59" s="84" t="s">
        <v>335</v>
      </c>
      <c r="B59" s="80">
        <v>500000</v>
      </c>
      <c r="C59" s="80">
        <v>12477.849999999977</v>
      </c>
      <c r="D59" s="80">
        <v>512477.85</v>
      </c>
      <c r="E59" s="80">
        <v>512477.85</v>
      </c>
      <c r="F59" s="80">
        <v>512477.85</v>
      </c>
      <c r="G59" s="80">
        <f>D59-E59</f>
        <v>0</v>
      </c>
    </row>
    <row r="60" spans="1:7" x14ac:dyDescent="0.25">
      <c r="A60" s="84" t="s">
        <v>336</v>
      </c>
      <c r="B60" s="80">
        <v>0</v>
      </c>
      <c r="C60" s="80">
        <v>0</v>
      </c>
      <c r="D60" s="80">
        <v>0</v>
      </c>
      <c r="E60" s="80">
        <v>0</v>
      </c>
      <c r="F60" s="80">
        <v>0</v>
      </c>
      <c r="G60" s="80">
        <f t="shared" ref="G60:G61" si="12">D60-E60</f>
        <v>0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si="12"/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3">SUM(C63:C67,C69:C70)</f>
        <v>0</v>
      </c>
      <c r="D62" s="80">
        <f t="shared" si="13"/>
        <v>0</v>
      </c>
      <c r="E62" s="80">
        <f t="shared" si="13"/>
        <v>0</v>
      </c>
      <c r="F62" s="80">
        <f t="shared" si="13"/>
        <v>0</v>
      </c>
      <c r="G62" s="80">
        <f t="shared" si="13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f>D63-E63</f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f t="shared" ref="G64:G70" si="14">D64-E64</f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f t="shared" si="14"/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f t="shared" si="14"/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f t="shared" si="14"/>
        <v>0</v>
      </c>
    </row>
    <row r="68" spans="1:7" x14ac:dyDescent="0.25">
      <c r="A68" s="84" t="s">
        <v>3302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f t="shared" si="14"/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f t="shared" si="14"/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f t="shared" si="14"/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5">SUM(C72:C74)</f>
        <v>0</v>
      </c>
      <c r="D71" s="80">
        <f t="shared" si="15"/>
        <v>0</v>
      </c>
      <c r="E71" s="80">
        <f t="shared" si="15"/>
        <v>0</v>
      </c>
      <c r="F71" s="80">
        <f t="shared" si="15"/>
        <v>0</v>
      </c>
      <c r="G71" s="80">
        <f t="shared" si="15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f>D72-E72</f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f t="shared" ref="G73:G74" si="16">D73-E73</f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f t="shared" si="16"/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7">SUM(C76:C82)</f>
        <v>0</v>
      </c>
      <c r="D75" s="80">
        <f t="shared" si="17"/>
        <v>0</v>
      </c>
      <c r="E75" s="80">
        <f t="shared" si="17"/>
        <v>0</v>
      </c>
      <c r="F75" s="80">
        <f t="shared" si="17"/>
        <v>0</v>
      </c>
      <c r="G75" s="80">
        <f t="shared" si="17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8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8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8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8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8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8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19">SUM(C85,C93,C103,C113,C123,C133,C137,C146,C150)</f>
        <v>0</v>
      </c>
      <c r="D84" s="79">
        <f t="shared" si="19"/>
        <v>0</v>
      </c>
      <c r="E84" s="79">
        <f t="shared" si="19"/>
        <v>0</v>
      </c>
      <c r="F84" s="79">
        <f t="shared" si="19"/>
        <v>0</v>
      </c>
      <c r="G84" s="79">
        <f t="shared" si="19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20">SUM(C86:C92)</f>
        <v>0</v>
      </c>
      <c r="D85" s="80">
        <f t="shared" si="20"/>
        <v>0</v>
      </c>
      <c r="E85" s="80">
        <f t="shared" si="20"/>
        <v>0</v>
      </c>
      <c r="F85" s="80">
        <f t="shared" si="20"/>
        <v>0</v>
      </c>
      <c r="G85" s="80">
        <f t="shared" si="20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f>D86-E86</f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f t="shared" ref="G87:G92" si="21">D87-E87</f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f t="shared" si="21"/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f t="shared" si="21"/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f t="shared" si="21"/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f t="shared" si="21"/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f t="shared" si="21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2">SUM(C94:C102)</f>
        <v>0</v>
      </c>
      <c r="D93" s="80">
        <f t="shared" si="22"/>
        <v>0</v>
      </c>
      <c r="E93" s="80">
        <f t="shared" si="22"/>
        <v>0</v>
      </c>
      <c r="F93" s="80">
        <f t="shared" si="22"/>
        <v>0</v>
      </c>
      <c r="G93" s="80">
        <f t="shared" si="22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f>D94-E94</f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f t="shared" ref="G95:G102" si="23">D95-E95</f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f t="shared" si="23"/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f t="shared" si="23"/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f t="shared" si="23"/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f t="shared" si="23"/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f t="shared" si="23"/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f t="shared" si="23"/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f t="shared" si="23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4">SUM(D104:D112)</f>
        <v>0</v>
      </c>
      <c r="E103" s="80">
        <f t="shared" si="24"/>
        <v>0</v>
      </c>
      <c r="F103" s="80">
        <f t="shared" si="24"/>
        <v>0</v>
      </c>
      <c r="G103" s="80">
        <f t="shared" si="24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f>D104-E104</f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f t="shared" ref="G105:G112" si="25">D105-E105</f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f t="shared" si="25"/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f t="shared" si="25"/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f t="shared" si="25"/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f t="shared" si="25"/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f t="shared" si="25"/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f t="shared" si="25"/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f t="shared" si="25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6">SUM(C114:C122)</f>
        <v>0</v>
      </c>
      <c r="D113" s="80">
        <f t="shared" si="26"/>
        <v>0</v>
      </c>
      <c r="E113" s="80">
        <f t="shared" si="26"/>
        <v>0</v>
      </c>
      <c r="F113" s="80">
        <f t="shared" si="26"/>
        <v>0</v>
      </c>
      <c r="G113" s="80">
        <f t="shared" si="26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f>D114-E114</f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f t="shared" ref="G115:G122" si="27">D115-E115</f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f t="shared" si="27"/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f t="shared" si="27"/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f t="shared" si="27"/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f t="shared" si="27"/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f t="shared" si="27"/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f t="shared" si="27"/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f t="shared" si="27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8">SUM(C124:C132)</f>
        <v>0</v>
      </c>
      <c r="D123" s="80">
        <f t="shared" si="28"/>
        <v>0</v>
      </c>
      <c r="E123" s="80">
        <f t="shared" si="28"/>
        <v>0</v>
      </c>
      <c r="F123" s="80">
        <f t="shared" si="28"/>
        <v>0</v>
      </c>
      <c r="G123" s="80">
        <f t="shared" si="28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f>D124-E124</f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f t="shared" ref="G125:G132" si="29">D125-E125</f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f t="shared" si="29"/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f t="shared" si="29"/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f t="shared" si="29"/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f t="shared" si="29"/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f t="shared" si="29"/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f t="shared" si="29"/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f t="shared" si="29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30">SUM(C134:C136)</f>
        <v>0</v>
      </c>
      <c r="D133" s="80">
        <f t="shared" si="30"/>
        <v>0</v>
      </c>
      <c r="E133" s="80">
        <f t="shared" si="30"/>
        <v>0</v>
      </c>
      <c r="F133" s="80">
        <f t="shared" si="30"/>
        <v>0</v>
      </c>
      <c r="G133" s="80">
        <f t="shared" si="30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f>D134-E134</f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f t="shared" ref="G135:G136" si="31">D135-E135</f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f t="shared" si="31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2">SUM(C138:C142,C144:C145)</f>
        <v>0</v>
      </c>
      <c r="D137" s="80">
        <f t="shared" si="32"/>
        <v>0</v>
      </c>
      <c r="E137" s="80">
        <f t="shared" si="32"/>
        <v>0</v>
      </c>
      <c r="F137" s="80">
        <f t="shared" si="32"/>
        <v>0</v>
      </c>
      <c r="G137" s="80">
        <f t="shared" si="32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f>D138-E138</f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f t="shared" ref="G139:G145" si="33">D139-E139</f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f t="shared" si="33"/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f t="shared" si="33"/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f t="shared" si="33"/>
        <v>0</v>
      </c>
    </row>
    <row r="143" spans="1:7" x14ac:dyDescent="0.25">
      <c r="A143" s="84" t="s">
        <v>3302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f t="shared" si="33"/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f t="shared" si="33"/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f t="shared" si="33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4">SUM(C147:C149)</f>
        <v>0</v>
      </c>
      <c r="D146" s="80">
        <f t="shared" si="34"/>
        <v>0</v>
      </c>
      <c r="E146" s="80">
        <f t="shared" si="34"/>
        <v>0</v>
      </c>
      <c r="F146" s="80">
        <f t="shared" si="34"/>
        <v>0</v>
      </c>
      <c r="G146" s="80">
        <f t="shared" si="34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f>D147-E147</f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f t="shared" ref="G148:G149" si="35">D148-E148</f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f t="shared" si="35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6">SUM(C151:C157)</f>
        <v>0</v>
      </c>
      <c r="D150" s="80">
        <f t="shared" si="36"/>
        <v>0</v>
      </c>
      <c r="E150" s="80">
        <f t="shared" si="36"/>
        <v>0</v>
      </c>
      <c r="F150" s="80">
        <f t="shared" si="36"/>
        <v>0</v>
      </c>
      <c r="G150" s="80">
        <f t="shared" si="36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f>D151-E151</f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f t="shared" ref="G152:G157" si="37">D152-E152</f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f t="shared" si="37"/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f t="shared" si="37"/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f t="shared" si="37"/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f t="shared" si="37"/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f t="shared" si="37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64439867</v>
      </c>
      <c r="C159" s="79">
        <f t="shared" ref="C159:G159" si="38">C9+C84</f>
        <v>1307063.6640426917</v>
      </c>
      <c r="D159" s="79">
        <f t="shared" si="38"/>
        <v>65746930.664042696</v>
      </c>
      <c r="E159" s="79">
        <f t="shared" si="38"/>
        <v>33977352.32</v>
      </c>
      <c r="F159" s="79">
        <f t="shared" si="38"/>
        <v>33977352.32</v>
      </c>
      <c r="G159" s="79">
        <f t="shared" si="38"/>
        <v>31769578.344042692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scale="46" fitToHeight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64439867</v>
      </c>
      <c r="Q2" s="18">
        <f>'Formato 6 a)'!C9</f>
        <v>1307063.6640426917</v>
      </c>
      <c r="R2" s="18">
        <f>'Formato 6 a)'!D9</f>
        <v>65746930.664042696</v>
      </c>
      <c r="S2" s="18">
        <f>'Formato 6 a)'!E9</f>
        <v>33977352.32</v>
      </c>
      <c r="T2" s="18">
        <f>'Formato 6 a)'!F9</f>
        <v>33977352.32</v>
      </c>
      <c r="U2" s="18">
        <f>'Formato 6 a)'!G9</f>
        <v>31769578.344042692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32553433.910000004</v>
      </c>
      <c r="Q3" s="18">
        <f>'Formato 6 a)'!C10</f>
        <v>-371389.50011164573</v>
      </c>
      <c r="R3" s="18">
        <f>'Formato 6 a)'!D10</f>
        <v>32182044.409888353</v>
      </c>
      <c r="S3" s="18">
        <f>'Formato 6 a)'!E10</f>
        <v>15920198.999999998</v>
      </c>
      <c r="T3" s="18">
        <f>'Formato 6 a)'!F10</f>
        <v>15920198.999999998</v>
      </c>
      <c r="U3" s="18">
        <f>'Formato 6 a)'!G10</f>
        <v>16261845.409888353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15890168.280000001</v>
      </c>
      <c r="Q4" s="18">
        <f>'Formato 6 a)'!C11</f>
        <v>-164681.39627500251</v>
      </c>
      <c r="R4" s="18">
        <f>'Formato 6 a)'!D11</f>
        <v>15725486.883724999</v>
      </c>
      <c r="S4" s="18">
        <f>'Formato 6 a)'!E11</f>
        <v>7438589.9199999999</v>
      </c>
      <c r="T4" s="18">
        <f>'Formato 6 a)'!F11</f>
        <v>7438589.9199999999</v>
      </c>
      <c r="U4" s="18">
        <f>'Formato 6 a)'!G11</f>
        <v>8286896.9637249988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1075662.23</v>
      </c>
      <c r="Q5" s="18">
        <f>'Formato 6 a)'!C12</f>
        <v>665.205767812673</v>
      </c>
      <c r="R5" s="18">
        <f>'Formato 6 a)'!D12</f>
        <v>1076327.4357678127</v>
      </c>
      <c r="S5" s="18">
        <f>'Formato 6 a)'!E12</f>
        <v>673262.55</v>
      </c>
      <c r="T5" s="18">
        <f>'Formato 6 a)'!F12</f>
        <v>673262.55</v>
      </c>
      <c r="U5" s="18">
        <f>'Formato 6 a)'!G12</f>
        <v>403064.88576781261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4444213.7300000004</v>
      </c>
      <c r="Q6" s="18">
        <f>'Formato 6 a)'!C13</f>
        <v>91041.841874731705</v>
      </c>
      <c r="R6" s="18">
        <f>'Formato 6 a)'!D13</f>
        <v>4535255.5718747322</v>
      </c>
      <c r="S6" s="18">
        <f>'Formato 6 a)'!E13</f>
        <v>2601826.5799999991</v>
      </c>
      <c r="T6" s="18">
        <f>'Formato 6 a)'!F13</f>
        <v>2601826.5799999991</v>
      </c>
      <c r="U6" s="18">
        <f>'Formato 6 a)'!G13</f>
        <v>1933428.991874733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5015713.9100000011</v>
      </c>
      <c r="Q7" s="18">
        <f>'Formato 6 a)'!C14</f>
        <v>-245396.14756449964</v>
      </c>
      <c r="R7" s="18">
        <f>'Formato 6 a)'!D14</f>
        <v>4770317.7624355014</v>
      </c>
      <c r="S7" s="18">
        <f>'Formato 6 a)'!E14</f>
        <v>2185873.3200000003</v>
      </c>
      <c r="T7" s="18">
        <f>'Formato 6 a)'!F14</f>
        <v>2185873.3200000003</v>
      </c>
      <c r="U7" s="18">
        <f>'Formato 6 a)'!G14</f>
        <v>2584444.4424355011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5746311.6599999983</v>
      </c>
      <c r="Q8" s="18">
        <f>'Formato 6 a)'!C15</f>
        <v>-36739.759364088066</v>
      </c>
      <c r="R8" s="18">
        <f>'Formato 6 a)'!D15</f>
        <v>5709571.9006359102</v>
      </c>
      <c r="S8" s="18">
        <f>'Formato 6 a)'!E15</f>
        <v>2844701.44</v>
      </c>
      <c r="T8" s="18">
        <f>'Formato 6 a)'!F15</f>
        <v>2844701.44</v>
      </c>
      <c r="U8" s="18">
        <f>'Formato 6 a)'!G15</f>
        <v>2864870.4606359103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381364.1</v>
      </c>
      <c r="Q9" s="18">
        <f>'Formato 6 a)'!C16</f>
        <v>-16279.244550599891</v>
      </c>
      <c r="R9" s="18">
        <f>'Formato 6 a)'!D16</f>
        <v>365084.85544940009</v>
      </c>
      <c r="S9" s="18">
        <f>'Formato 6 a)'!E16</f>
        <v>175945.19</v>
      </c>
      <c r="T9" s="18">
        <f>'Formato 6 a)'!F16</f>
        <v>175945.19</v>
      </c>
      <c r="U9" s="18">
        <f>'Formato 6 a)'!G16</f>
        <v>189139.66544940008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18237751.699999999</v>
      </c>
      <c r="Q11" s="18">
        <f>'Formato 6 a)'!C18</f>
        <v>149700.07021693772</v>
      </c>
      <c r="R11" s="18">
        <f>'Formato 6 a)'!D18</f>
        <v>18387451.770216938</v>
      </c>
      <c r="S11" s="18">
        <f>'Formato 6 a)'!E18</f>
        <v>9606131.0499999989</v>
      </c>
      <c r="T11" s="18">
        <f>'Formato 6 a)'!F18</f>
        <v>9606131.0499999989</v>
      </c>
      <c r="U11" s="18">
        <f>'Formato 6 a)'!G18</f>
        <v>8781320.7202169374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579218.29</v>
      </c>
      <c r="Q12" s="18">
        <f>'Formato 6 a)'!C19</f>
        <v>159693.66221693624</v>
      </c>
      <c r="R12" s="18">
        <f>'Formato 6 a)'!D19</f>
        <v>738911.95221693628</v>
      </c>
      <c r="S12" s="18">
        <f>'Formato 6 a)'!E19</f>
        <v>403821.99000000005</v>
      </c>
      <c r="T12" s="18">
        <f>'Formato 6 a)'!F19</f>
        <v>403821.99000000005</v>
      </c>
      <c r="U12" s="18">
        <f>'Formato 6 a)'!G19</f>
        <v>335089.96221693623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11557000</v>
      </c>
      <c r="Q13" s="18">
        <f>'Formato 6 a)'!C20</f>
        <v>-145428.31999999844</v>
      </c>
      <c r="R13" s="18">
        <f>'Formato 6 a)'!D20</f>
        <v>11411571.680000002</v>
      </c>
      <c r="S13" s="18">
        <f>'Formato 6 a)'!E20</f>
        <v>5661357.46</v>
      </c>
      <c r="T13" s="18">
        <f>'Formato 6 a)'!F20</f>
        <v>5661357.46</v>
      </c>
      <c r="U13" s="18">
        <f>'Formato 6 a)'!G20</f>
        <v>5750214.2200000016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4882852.09</v>
      </c>
      <c r="Q14" s="18">
        <f>'Formato 6 a)'!C21</f>
        <v>-20761.660000000149</v>
      </c>
      <c r="R14" s="18">
        <f>'Formato 6 a)'!D21</f>
        <v>4862090.43</v>
      </c>
      <c r="S14" s="18">
        <f>'Formato 6 a)'!E21</f>
        <v>2627538.8199999998</v>
      </c>
      <c r="T14" s="18">
        <f>'Formato 6 a)'!F21</f>
        <v>2627538.8199999998</v>
      </c>
      <c r="U14" s="18">
        <f>'Formato 6 a)'!G21</f>
        <v>2234551.61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0</v>
      </c>
      <c r="Q15" s="18">
        <f>'Formato 6 a)'!C22</f>
        <v>0</v>
      </c>
      <c r="R15" s="18">
        <f>'Formato 6 a)'!D22</f>
        <v>0</v>
      </c>
      <c r="S15" s="18">
        <f>'Formato 6 a)'!E22</f>
        <v>0</v>
      </c>
      <c r="T15" s="18">
        <f>'Formato 6 a)'!F22</f>
        <v>0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223000</v>
      </c>
      <c r="Q16" s="18">
        <f>'Formato 6 a)'!C23</f>
        <v>50039.460000000021</v>
      </c>
      <c r="R16" s="18">
        <f>'Formato 6 a)'!D23</f>
        <v>273039.46000000002</v>
      </c>
      <c r="S16" s="18">
        <f>'Formato 6 a)'!E23</f>
        <v>152590.23000000001</v>
      </c>
      <c r="T16" s="18">
        <f>'Formato 6 a)'!F23</f>
        <v>152590.23000000001</v>
      </c>
      <c r="U16" s="18">
        <f>'Formato 6 a)'!G23</f>
        <v>120449.23000000001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652181.31999999995</v>
      </c>
      <c r="Q17" s="18">
        <f>'Formato 6 a)'!C24</f>
        <v>26631.788000000059</v>
      </c>
      <c r="R17" s="18">
        <f>'Formato 6 a)'!D24</f>
        <v>678813.10800000001</v>
      </c>
      <c r="S17" s="18">
        <f>'Formato 6 a)'!E24</f>
        <v>379013.28</v>
      </c>
      <c r="T17" s="18">
        <f>'Formato 6 a)'!F24</f>
        <v>379013.28</v>
      </c>
      <c r="U17" s="18">
        <f>'Formato 6 a)'!G24</f>
        <v>299799.82799999998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219500</v>
      </c>
      <c r="Q18" s="18">
        <f>'Formato 6 a)'!C25</f>
        <v>52079.200000000012</v>
      </c>
      <c r="R18" s="18">
        <f>'Formato 6 a)'!D25</f>
        <v>271579.2</v>
      </c>
      <c r="S18" s="18">
        <f>'Formato 6 a)'!E25</f>
        <v>257079.2</v>
      </c>
      <c r="T18" s="18">
        <f>'Formato 6 a)'!F25</f>
        <v>257079.2</v>
      </c>
      <c r="U18" s="18">
        <f>'Formato 6 a)'!G25</f>
        <v>14500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124000</v>
      </c>
      <c r="Q20" s="18">
        <f>'Formato 6 a)'!C27</f>
        <v>27445.939999999973</v>
      </c>
      <c r="R20" s="18">
        <f>'Formato 6 a)'!D27</f>
        <v>151445.93999999997</v>
      </c>
      <c r="S20" s="18">
        <f>'Formato 6 a)'!E27</f>
        <v>124730.07</v>
      </c>
      <c r="T20" s="18">
        <f>'Formato 6 a)'!F27</f>
        <v>124730.07</v>
      </c>
      <c r="U20" s="18">
        <f>'Formato 6 a)'!G27</f>
        <v>26715.869999999966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12318106.390000002</v>
      </c>
      <c r="Q21" s="18">
        <f>'Formato 6 a)'!C28</f>
        <v>1738924.5339373997</v>
      </c>
      <c r="R21" s="18">
        <f>'Formato 6 a)'!D28</f>
        <v>14057030.923937401</v>
      </c>
      <c r="S21" s="18">
        <f>'Formato 6 a)'!E28</f>
        <v>7505618.709999999</v>
      </c>
      <c r="T21" s="18">
        <f>'Formato 6 a)'!F28</f>
        <v>7505618.709999999</v>
      </c>
      <c r="U21" s="18">
        <f>'Formato 6 a)'!G28</f>
        <v>6551412.2139374008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1536200</v>
      </c>
      <c r="Q22" s="18">
        <f>'Formato 6 a)'!C29</f>
        <v>260069.01000000024</v>
      </c>
      <c r="R22" s="18">
        <f>'Formato 6 a)'!D29</f>
        <v>1796269.0100000002</v>
      </c>
      <c r="S22" s="18">
        <f>'Formato 6 a)'!E29</f>
        <v>988974.45</v>
      </c>
      <c r="T22" s="18">
        <f>'Formato 6 a)'!F29</f>
        <v>988974.45</v>
      </c>
      <c r="U22" s="18">
        <f>'Formato 6 a)'!G29</f>
        <v>807294.56000000029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357931.7</v>
      </c>
      <c r="Q23" s="18">
        <f>'Formato 6 a)'!C30</f>
        <v>25626.599999999977</v>
      </c>
      <c r="R23" s="18">
        <f>'Formato 6 a)'!D30</f>
        <v>383558.3</v>
      </c>
      <c r="S23" s="18">
        <f>'Formato 6 a)'!E30</f>
        <v>306712.44999999995</v>
      </c>
      <c r="T23" s="18">
        <f>'Formato 6 a)'!F30</f>
        <v>306712.44999999995</v>
      </c>
      <c r="U23" s="18">
        <f>'Formato 6 a)'!G30</f>
        <v>76845.850000000035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291082</v>
      </c>
      <c r="Q24" s="18">
        <f>'Formato 6 a)'!C31</f>
        <v>125780.58999999997</v>
      </c>
      <c r="R24" s="18">
        <f>'Formato 6 a)'!D31</f>
        <v>416862.58999999997</v>
      </c>
      <c r="S24" s="18">
        <f>'Formato 6 a)'!E31</f>
        <v>285016.99</v>
      </c>
      <c r="T24" s="18">
        <f>'Formato 6 a)'!F31</f>
        <v>285016.99</v>
      </c>
      <c r="U24" s="18">
        <f>'Formato 6 a)'!G31</f>
        <v>131845.59999999998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734994.59000000008</v>
      </c>
      <c r="Q25" s="18">
        <f>'Formato 6 a)'!C32</f>
        <v>454042.48553739954</v>
      </c>
      <c r="R25" s="18">
        <f>'Formato 6 a)'!D32</f>
        <v>1189037.0755373996</v>
      </c>
      <c r="S25" s="18">
        <f>'Formato 6 a)'!E32</f>
        <v>547482.87</v>
      </c>
      <c r="T25" s="18">
        <f>'Formato 6 a)'!F32</f>
        <v>547482.87</v>
      </c>
      <c r="U25" s="18">
        <f>'Formato 6 a)'!G32</f>
        <v>641554.20553739963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3060050.27</v>
      </c>
      <c r="Q26" s="18">
        <f>'Formato 6 a)'!C33</f>
        <v>1290850.2500000005</v>
      </c>
      <c r="R26" s="18">
        <f>'Formato 6 a)'!D33</f>
        <v>4350900.5200000005</v>
      </c>
      <c r="S26" s="18">
        <f>'Formato 6 a)'!E33</f>
        <v>2296225.8199999998</v>
      </c>
      <c r="T26" s="18">
        <f>'Formato 6 a)'!F33</f>
        <v>2296225.8199999998</v>
      </c>
      <c r="U26" s="18">
        <f>'Formato 6 a)'!G33</f>
        <v>2054674.7000000007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2679234.2700000005</v>
      </c>
      <c r="Q27" s="18">
        <f>'Formato 6 a)'!C34</f>
        <v>-53208.530000000261</v>
      </c>
      <c r="R27" s="18">
        <f>'Formato 6 a)'!D34</f>
        <v>2626025.7400000002</v>
      </c>
      <c r="S27" s="18">
        <f>'Formato 6 a)'!E34</f>
        <v>643328.60000000009</v>
      </c>
      <c r="T27" s="18">
        <f>'Formato 6 a)'!F34</f>
        <v>643328.60000000009</v>
      </c>
      <c r="U27" s="18">
        <f>'Formato 6 a)'!G34</f>
        <v>1982697.1400000001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228211.18</v>
      </c>
      <c r="Q28" s="18">
        <f>'Formato 6 a)'!C35</f>
        <v>-62265.429999999993</v>
      </c>
      <c r="R28" s="18">
        <f>'Formato 6 a)'!D35</f>
        <v>165945.75</v>
      </c>
      <c r="S28" s="18">
        <f>'Formato 6 a)'!E35</f>
        <v>74590.279999999984</v>
      </c>
      <c r="T28" s="18">
        <f>'Formato 6 a)'!F35</f>
        <v>74590.279999999984</v>
      </c>
      <c r="U28" s="18">
        <f>'Formato 6 a)'!G35</f>
        <v>91355.470000000016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2899839.06</v>
      </c>
      <c r="Q29" s="18">
        <f>'Formato 6 a)'!C36</f>
        <v>-292870.5</v>
      </c>
      <c r="R29" s="18">
        <f>'Formato 6 a)'!D36</f>
        <v>2606968.56</v>
      </c>
      <c r="S29" s="18">
        <f>'Formato 6 a)'!E36</f>
        <v>2071368.4799999997</v>
      </c>
      <c r="T29" s="18">
        <f>'Formato 6 a)'!F36</f>
        <v>2071368.4799999997</v>
      </c>
      <c r="U29" s="18">
        <f>'Formato 6 a)'!G36</f>
        <v>535600.08000000031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530563.32000000007</v>
      </c>
      <c r="Q30" s="18">
        <f>'Formato 6 a)'!C37</f>
        <v>-9099.9416000001365</v>
      </c>
      <c r="R30" s="18">
        <f>'Formato 6 a)'!D37</f>
        <v>521463.37839999993</v>
      </c>
      <c r="S30" s="18">
        <f>'Formato 6 a)'!E37</f>
        <v>291918.77</v>
      </c>
      <c r="T30" s="18">
        <f>'Formato 6 a)'!F37</f>
        <v>291918.77</v>
      </c>
      <c r="U30" s="18">
        <f>'Formato 6 a)'!G37</f>
        <v>229544.60839999991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830575</v>
      </c>
      <c r="Q41" s="18">
        <f>'Formato 6 a)'!C48</f>
        <v>-222649.28999999998</v>
      </c>
      <c r="R41" s="18">
        <f>'Formato 6 a)'!D48</f>
        <v>607925.71</v>
      </c>
      <c r="S41" s="18">
        <f>'Formato 6 a)'!E48</f>
        <v>432925.71</v>
      </c>
      <c r="T41" s="18">
        <f>'Formato 6 a)'!F48</f>
        <v>432925.71</v>
      </c>
      <c r="U41" s="18">
        <f>'Formato 6 a)'!G48</f>
        <v>175000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100350</v>
      </c>
      <c r="Q42" s="18">
        <f>'Formato 6 a)'!C49</f>
        <v>-56193.759999999995</v>
      </c>
      <c r="R42" s="18">
        <f>'Formato 6 a)'!D49</f>
        <v>44156.240000000005</v>
      </c>
      <c r="S42" s="18">
        <f>'Formato 6 a)'!E49</f>
        <v>19156.239999999998</v>
      </c>
      <c r="T42" s="18">
        <f>'Formato 6 a)'!F49</f>
        <v>19156.239999999998</v>
      </c>
      <c r="U42" s="18">
        <f>'Formato 6 a)'!G49</f>
        <v>25000.000000000007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40000</v>
      </c>
      <c r="Q44" s="18">
        <f>'Formato 6 a)'!C51</f>
        <v>-40000</v>
      </c>
      <c r="R44" s="18">
        <f>'Formato 6 a)'!D51</f>
        <v>0</v>
      </c>
      <c r="S44" s="18">
        <f>'Formato 6 a)'!E51</f>
        <v>0</v>
      </c>
      <c r="T44" s="18">
        <f>'Formato 6 a)'!F51</f>
        <v>0</v>
      </c>
      <c r="U44" s="18">
        <f>'Formato 6 a)'!G51</f>
        <v>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0</v>
      </c>
      <c r="Q45" s="18">
        <f>'Formato 6 a)'!C52</f>
        <v>0</v>
      </c>
      <c r="R45" s="18">
        <f>'Formato 6 a)'!D52</f>
        <v>0</v>
      </c>
      <c r="S45" s="18">
        <f>'Formato 6 a)'!E52</f>
        <v>0</v>
      </c>
      <c r="T45" s="18">
        <f>'Formato 6 a)'!F52</f>
        <v>0</v>
      </c>
      <c r="U45" s="18">
        <f>'Formato 6 a)'!G52</f>
        <v>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290225</v>
      </c>
      <c r="Q47" s="18">
        <f>'Formato 6 a)'!C54</f>
        <v>-113353.53</v>
      </c>
      <c r="R47" s="18">
        <f>'Formato 6 a)'!D54</f>
        <v>176871.47</v>
      </c>
      <c r="S47" s="18">
        <f>'Formato 6 a)'!E54</f>
        <v>26871.47</v>
      </c>
      <c r="T47" s="18">
        <f>'Formato 6 a)'!F54</f>
        <v>26871.47</v>
      </c>
      <c r="U47" s="18">
        <f>'Formato 6 a)'!G54</f>
        <v>150000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400000</v>
      </c>
      <c r="Q48" s="18">
        <f>'Formato 6 a)'!C55</f>
        <v>-13102</v>
      </c>
      <c r="R48" s="18">
        <f>'Formato 6 a)'!D55</f>
        <v>386898</v>
      </c>
      <c r="S48" s="18">
        <f>'Formato 6 a)'!E55</f>
        <v>386898</v>
      </c>
      <c r="T48" s="18">
        <f>'Formato 6 a)'!F55</f>
        <v>386898</v>
      </c>
      <c r="U48" s="18">
        <f>'Formato 6 a)'!G55</f>
        <v>0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500000</v>
      </c>
      <c r="Q51" s="18">
        <f>'Formato 6 a)'!C58</f>
        <v>12477.849999999977</v>
      </c>
      <c r="R51" s="18">
        <f>'Formato 6 a)'!D58</f>
        <v>512477.85</v>
      </c>
      <c r="S51" s="18">
        <f>'Formato 6 a)'!E58</f>
        <v>512477.85</v>
      </c>
      <c r="T51" s="18">
        <f>'Formato 6 a)'!F58</f>
        <v>512477.85</v>
      </c>
      <c r="U51" s="18">
        <f>'Formato 6 a)'!G58</f>
        <v>0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500000</v>
      </c>
      <c r="Q52" s="18">
        <f>'Formato 6 a)'!C59</f>
        <v>12477.849999999977</v>
      </c>
      <c r="R52" s="18">
        <f>'Formato 6 a)'!D59</f>
        <v>512477.85</v>
      </c>
      <c r="S52" s="18">
        <f>'Formato 6 a)'!E59</f>
        <v>512477.85</v>
      </c>
      <c r="T52" s="18">
        <f>'Formato 6 a)'!F59</f>
        <v>512477.85</v>
      </c>
      <c r="U52" s="18">
        <f>'Formato 6 a)'!G59</f>
        <v>0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0</v>
      </c>
      <c r="R53" s="18">
        <f>'Formato 6 a)'!D60</f>
        <v>0</v>
      </c>
      <c r="S53" s="18">
        <f>'Formato 6 a)'!E60</f>
        <v>0</v>
      </c>
      <c r="T53" s="18">
        <f>'Formato 6 a)'!F60</f>
        <v>0</v>
      </c>
      <c r="U53" s="18">
        <f>'Formato 6 a)'!G60</f>
        <v>0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ht="14.25" x14ac:dyDescent="0.4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ht="14.25" x14ac:dyDescent="0.4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ht="14.25" x14ac:dyDescent="0.4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ht="14.25" x14ac:dyDescent="0.4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ht="14.25" x14ac:dyDescent="0.4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ht="14.25" x14ac:dyDescent="0.4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ht="14.25" x14ac:dyDescent="0.4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64439867</v>
      </c>
      <c r="Q150">
        <f>'Formato 6 a)'!C159</f>
        <v>1307063.6640426917</v>
      </c>
      <c r="R150">
        <f>'Formato 6 a)'!D159</f>
        <v>65746930.664042696</v>
      </c>
      <c r="S150">
        <f>'Formato 6 a)'!E159</f>
        <v>33977352.32</v>
      </c>
      <c r="T150">
        <f>'Formato 6 a)'!F159</f>
        <v>33977352.32</v>
      </c>
      <c r="U150">
        <f>'Formato 6 a)'!G159</f>
        <v>31769578.344042692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pageSetUpPr fitToPage="1"/>
  </sheetPr>
  <dimension ref="A1:G31"/>
  <sheetViews>
    <sheetView showGridLines="0" zoomScale="90" zoomScaleNormal="90" workbookViewId="0">
      <selection activeCell="D32" sqref="D32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3" t="s">
        <v>3291</v>
      </c>
      <c r="B1" s="173"/>
      <c r="C1" s="173"/>
      <c r="D1" s="173"/>
      <c r="E1" s="173"/>
      <c r="F1" s="173"/>
      <c r="G1" s="173"/>
    </row>
    <row r="2" spans="1:7" ht="14.25" x14ac:dyDescent="0.45">
      <c r="A2" s="154" t="str">
        <f>ENTE_PUBLICO_A</f>
        <v>ORGANISMO, Gobierno del Estado de Guanajuato (a)</v>
      </c>
      <c r="B2" s="155"/>
      <c r="C2" s="155"/>
      <c r="D2" s="155"/>
      <c r="E2" s="155"/>
      <c r="F2" s="155"/>
      <c r="G2" s="156"/>
    </row>
    <row r="3" spans="1:7" x14ac:dyDescent="0.25">
      <c r="A3" s="157" t="s">
        <v>277</v>
      </c>
      <c r="B3" s="158"/>
      <c r="C3" s="158"/>
      <c r="D3" s="158"/>
      <c r="E3" s="158"/>
      <c r="F3" s="158"/>
      <c r="G3" s="159"/>
    </row>
    <row r="4" spans="1:7" x14ac:dyDescent="0.25">
      <c r="A4" s="157" t="s">
        <v>431</v>
      </c>
      <c r="B4" s="158"/>
      <c r="C4" s="158"/>
      <c r="D4" s="158"/>
      <c r="E4" s="158"/>
      <c r="F4" s="158"/>
      <c r="G4" s="159"/>
    </row>
    <row r="5" spans="1:7" ht="14.25" x14ac:dyDescent="0.45">
      <c r="A5" s="160" t="str">
        <f>TRIMESTRE</f>
        <v>Del 1 de enero al 30 de junio de 2019 (b)</v>
      </c>
      <c r="B5" s="161"/>
      <c r="C5" s="161"/>
      <c r="D5" s="161"/>
      <c r="E5" s="161"/>
      <c r="F5" s="161"/>
      <c r="G5" s="162"/>
    </row>
    <row r="6" spans="1:7" ht="14.25" x14ac:dyDescent="0.45">
      <c r="A6" s="163" t="s">
        <v>118</v>
      </c>
      <c r="B6" s="164"/>
      <c r="C6" s="164"/>
      <c r="D6" s="164"/>
      <c r="E6" s="164"/>
      <c r="F6" s="164"/>
      <c r="G6" s="165"/>
    </row>
    <row r="7" spans="1:7" x14ac:dyDescent="0.25">
      <c r="A7" s="169" t="s">
        <v>0</v>
      </c>
      <c r="B7" s="171" t="s">
        <v>279</v>
      </c>
      <c r="C7" s="171"/>
      <c r="D7" s="171"/>
      <c r="E7" s="171"/>
      <c r="F7" s="171"/>
      <c r="G7" s="175" t="s">
        <v>280</v>
      </c>
    </row>
    <row r="8" spans="1:7" ht="30" x14ac:dyDescent="0.25">
      <c r="A8" s="170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4"/>
    </row>
    <row r="9" spans="1:7" ht="14.25" x14ac:dyDescent="0.45">
      <c r="A9" s="52" t="s">
        <v>440</v>
      </c>
      <c r="B9" s="59">
        <f>SUM(B10:GASTO_NE_FIN_01)</f>
        <v>64439867</v>
      </c>
      <c r="C9" s="59">
        <f>SUM(C10:GASTO_NE_FIN_02)</f>
        <v>1307063.6640427026</v>
      </c>
      <c r="D9" s="59">
        <f>SUM(D10:GASTO_NE_FIN_03)</f>
        <v>65746930.664042704</v>
      </c>
      <c r="E9" s="59">
        <f>SUM(E10:GASTO_NE_FIN_04)</f>
        <v>33977352.32</v>
      </c>
      <c r="F9" s="59">
        <f>SUM(F10:GASTO_NE_FIN_05)</f>
        <v>33977352.32</v>
      </c>
      <c r="G9" s="59">
        <f>SUM(G10:GASTO_NE_FIN_06)</f>
        <v>31769578.344042704</v>
      </c>
    </row>
    <row r="10" spans="1:7" s="24" customFormat="1" x14ac:dyDescent="0.25">
      <c r="A10" s="144" t="s">
        <v>3303</v>
      </c>
      <c r="B10" s="149">
        <v>18199588.73</v>
      </c>
      <c r="C10" s="149">
        <v>-206438.31510889903</v>
      </c>
      <c r="D10" s="149">
        <v>17993150.414891101</v>
      </c>
      <c r="E10" s="149">
        <v>9302693.5700000003</v>
      </c>
      <c r="F10" s="149">
        <v>9302693.5700000003</v>
      </c>
      <c r="G10" s="77">
        <f>D10-E10</f>
        <v>8690456.8448911011</v>
      </c>
    </row>
    <row r="11" spans="1:7" s="24" customFormat="1" x14ac:dyDescent="0.25">
      <c r="A11" s="144" t="s">
        <v>3304</v>
      </c>
      <c r="B11" s="149">
        <v>10590889.220000001</v>
      </c>
      <c r="C11" s="149">
        <v>-72201.570987248793</v>
      </c>
      <c r="D11" s="149">
        <v>10518687.649012752</v>
      </c>
      <c r="E11" s="149">
        <v>5627435.5800000001</v>
      </c>
      <c r="F11" s="149">
        <v>5627435.5800000001</v>
      </c>
      <c r="G11" s="77">
        <f t="shared" ref="G11:G17" si="0">D11-E11</f>
        <v>4891252.0690127518</v>
      </c>
    </row>
    <row r="12" spans="1:7" s="24" customFormat="1" x14ac:dyDescent="0.25">
      <c r="A12" s="144" t="s">
        <v>3305</v>
      </c>
      <c r="B12" s="149">
        <v>3823591.97</v>
      </c>
      <c r="C12" s="149">
        <v>-681857.94584199879</v>
      </c>
      <c r="D12" s="149">
        <v>3141734.0241580014</v>
      </c>
      <c r="E12" s="149">
        <v>2264676.87</v>
      </c>
      <c r="F12" s="149">
        <v>2264676.87</v>
      </c>
      <c r="G12" s="77">
        <f t="shared" si="0"/>
        <v>877057.1541580013</v>
      </c>
    </row>
    <row r="13" spans="1:7" s="24" customFormat="1" x14ac:dyDescent="0.25">
      <c r="A13" s="144" t="s">
        <v>3306</v>
      </c>
      <c r="B13" s="149">
        <v>23207590.800000001</v>
      </c>
      <c r="C13" s="149">
        <v>2335097.074154336</v>
      </c>
      <c r="D13" s="149">
        <v>25542687.874154337</v>
      </c>
      <c r="E13" s="149">
        <v>12560364.02</v>
      </c>
      <c r="F13" s="149">
        <v>12560364.02</v>
      </c>
      <c r="G13" s="77">
        <f t="shared" si="0"/>
        <v>12982323.854154337</v>
      </c>
    </row>
    <row r="14" spans="1:7" s="24" customFormat="1" x14ac:dyDescent="0.25">
      <c r="A14" s="144" t="s">
        <v>3307</v>
      </c>
      <c r="B14" s="149">
        <v>5707811.7999999998</v>
      </c>
      <c r="C14" s="149">
        <v>72583.352864061482</v>
      </c>
      <c r="D14" s="149">
        <v>5780395.1528640613</v>
      </c>
      <c r="E14" s="149">
        <v>2842175.03</v>
      </c>
      <c r="F14" s="149">
        <v>2842175.03</v>
      </c>
      <c r="G14" s="77">
        <f t="shared" si="0"/>
        <v>2938220.1228640615</v>
      </c>
    </row>
    <row r="15" spans="1:7" s="24" customFormat="1" x14ac:dyDescent="0.25">
      <c r="A15" s="144" t="s">
        <v>3308</v>
      </c>
      <c r="B15" s="149">
        <v>1516480.78</v>
      </c>
      <c r="C15" s="149">
        <v>11835.474636517931</v>
      </c>
      <c r="D15" s="149">
        <v>1528316.254636518</v>
      </c>
      <c r="E15" s="149">
        <v>854009.73</v>
      </c>
      <c r="F15" s="149">
        <v>854009.73</v>
      </c>
      <c r="G15" s="77">
        <f t="shared" si="0"/>
        <v>674306.52463651798</v>
      </c>
    </row>
    <row r="16" spans="1:7" s="24" customFormat="1" x14ac:dyDescent="0.25">
      <c r="A16" s="144" t="s">
        <v>3309</v>
      </c>
      <c r="B16" s="149">
        <v>1393913.7</v>
      </c>
      <c r="C16" s="149">
        <v>-151954.40567406616</v>
      </c>
      <c r="D16" s="149">
        <v>1241959.2943259338</v>
      </c>
      <c r="E16" s="149">
        <v>525997.52</v>
      </c>
      <c r="F16" s="149">
        <v>525997.52</v>
      </c>
      <c r="G16" s="77">
        <f t="shared" si="0"/>
        <v>715961.77432593377</v>
      </c>
    </row>
    <row r="17" spans="1:7" s="24" customFormat="1" ht="14.25" x14ac:dyDescent="0.45">
      <c r="A17" s="144"/>
      <c r="B17" s="60"/>
      <c r="C17" s="60"/>
      <c r="D17" s="60"/>
      <c r="E17" s="60"/>
      <c r="F17" s="60"/>
      <c r="G17" s="77">
        <f t="shared" si="0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ht="14.25" x14ac:dyDescent="0.4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1">D21-E21</f>
        <v>0</v>
      </c>
    </row>
    <row r="22" spans="1:7" s="24" customFormat="1" ht="14.25" x14ac:dyDescent="0.4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s="24" customFormat="1" ht="14.25" x14ac:dyDescent="0.4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s="24" customFormat="1" ht="14.25" x14ac:dyDescent="0.4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s="24" customFormat="1" ht="14.25" x14ac:dyDescent="0.4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s="24" customFormat="1" ht="14.25" x14ac:dyDescent="0.4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s="24" customFormat="1" ht="14.25" x14ac:dyDescent="0.4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ht="14.25" x14ac:dyDescent="0.45">
      <c r="A28" s="76" t="s">
        <v>686</v>
      </c>
      <c r="B28" s="54"/>
      <c r="C28" s="54"/>
      <c r="D28" s="54"/>
      <c r="E28" s="54"/>
      <c r="F28" s="54"/>
      <c r="G28" s="54"/>
    </row>
    <row r="29" spans="1:7" ht="14.25" x14ac:dyDescent="0.45">
      <c r="A29" s="55" t="s">
        <v>360</v>
      </c>
      <c r="B29" s="61">
        <f>GASTO_NE_T1+GASTO_E_T1</f>
        <v>64439867</v>
      </c>
      <c r="C29" s="61">
        <f>GASTO_NE_T2+GASTO_E_T2</f>
        <v>1307063.6640427026</v>
      </c>
      <c r="D29" s="61">
        <f>GASTO_NE_T3+GASTO_E_T3</f>
        <v>65746930.664042704</v>
      </c>
      <c r="E29" s="61">
        <f>GASTO_NE_T4+GASTO_E_T4</f>
        <v>33977352.32</v>
      </c>
      <c r="F29" s="61">
        <f>GASTO_NE_T5+GASTO_E_T5</f>
        <v>33977352.32</v>
      </c>
      <c r="G29" s="61">
        <f>GASTO_NE_T6+GASTO_E_T6</f>
        <v>31769578.344042704</v>
      </c>
    </row>
    <row r="30" spans="1:7" ht="14.25" x14ac:dyDescent="0.4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64439867</v>
      </c>
      <c r="Q2" s="18">
        <f>GASTO_NE_T2</f>
        <v>1307063.6640427026</v>
      </c>
      <c r="R2" s="18">
        <f>GASTO_NE_T3</f>
        <v>65746930.664042704</v>
      </c>
      <c r="S2" s="18">
        <f>GASTO_NE_T4</f>
        <v>33977352.32</v>
      </c>
      <c r="T2" s="18">
        <f>GASTO_NE_T5</f>
        <v>33977352.32</v>
      </c>
      <c r="U2" s="18">
        <f>GASTO_NE_T6</f>
        <v>31769578.344042704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64439867</v>
      </c>
      <c r="Q4" s="18">
        <f>TOTAL_E_T2</f>
        <v>1307063.6640427026</v>
      </c>
      <c r="R4" s="18">
        <f>TOTAL_E_T3</f>
        <v>65746930.664042704</v>
      </c>
      <c r="S4" s="18">
        <f>TOTAL_E_T4</f>
        <v>33977352.32</v>
      </c>
      <c r="T4" s="18">
        <f>TOTAL_E_T5</f>
        <v>33977352.32</v>
      </c>
      <c r="U4" s="18">
        <f>TOTAL_E_T6</f>
        <v>31769578.344042704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ht="14.25" x14ac:dyDescent="0.45">
      <c r="A23" s="3"/>
      <c r="P23" s="18"/>
      <c r="Q23" s="18"/>
      <c r="R23" s="18"/>
      <c r="S23" s="18"/>
      <c r="T23" s="18"/>
      <c r="U23" s="18"/>
    </row>
    <row r="24" spans="1:21" ht="14.25" x14ac:dyDescent="0.45">
      <c r="A24" s="3"/>
      <c r="P24" s="18"/>
      <c r="Q24" s="18"/>
      <c r="R24" s="18"/>
      <c r="S24" s="18"/>
      <c r="T24" s="18"/>
      <c r="U24" s="18"/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ht="14.25" x14ac:dyDescent="0.4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XFC78"/>
  <sheetViews>
    <sheetView showGridLines="0" zoomScale="90" zoomScaleNormal="90" workbookViewId="0">
      <selection activeCell="D32" sqref="D32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79" t="s">
        <v>3290</v>
      </c>
      <c r="B1" s="180"/>
      <c r="C1" s="180"/>
      <c r="D1" s="180"/>
      <c r="E1" s="180"/>
      <c r="F1" s="180"/>
      <c r="G1" s="180"/>
    </row>
    <row r="2" spans="1:7" ht="14.25" x14ac:dyDescent="0.45">
      <c r="A2" s="154" t="str">
        <f>ENTE_PUBLICO_A</f>
        <v>ORGANISMO, Gobierno del Estado de Guanajuato (a)</v>
      </c>
      <c r="B2" s="155"/>
      <c r="C2" s="155"/>
      <c r="D2" s="155"/>
      <c r="E2" s="155"/>
      <c r="F2" s="155"/>
      <c r="G2" s="156"/>
    </row>
    <row r="3" spans="1:7" x14ac:dyDescent="0.25">
      <c r="A3" s="157" t="s">
        <v>396</v>
      </c>
      <c r="B3" s="158"/>
      <c r="C3" s="158"/>
      <c r="D3" s="158"/>
      <c r="E3" s="158"/>
      <c r="F3" s="158"/>
      <c r="G3" s="159"/>
    </row>
    <row r="4" spans="1:7" x14ac:dyDescent="0.25">
      <c r="A4" s="157" t="s">
        <v>397</v>
      </c>
      <c r="B4" s="158"/>
      <c r="C4" s="158"/>
      <c r="D4" s="158"/>
      <c r="E4" s="158"/>
      <c r="F4" s="158"/>
      <c r="G4" s="159"/>
    </row>
    <row r="5" spans="1:7" ht="14.25" x14ac:dyDescent="0.45">
      <c r="A5" s="160" t="str">
        <f>TRIMESTRE</f>
        <v>Del 1 de enero al 30 de junio de 2019 (b)</v>
      </c>
      <c r="B5" s="161"/>
      <c r="C5" s="161"/>
      <c r="D5" s="161"/>
      <c r="E5" s="161"/>
      <c r="F5" s="161"/>
      <c r="G5" s="162"/>
    </row>
    <row r="6" spans="1:7" ht="14.25" x14ac:dyDescent="0.45">
      <c r="A6" s="163" t="s">
        <v>118</v>
      </c>
      <c r="B6" s="164"/>
      <c r="C6" s="164"/>
      <c r="D6" s="164"/>
      <c r="E6" s="164"/>
      <c r="F6" s="164"/>
      <c r="G6" s="165"/>
    </row>
    <row r="7" spans="1:7" x14ac:dyDescent="0.25">
      <c r="A7" s="158" t="s">
        <v>0</v>
      </c>
      <c r="B7" s="163" t="s">
        <v>279</v>
      </c>
      <c r="C7" s="164"/>
      <c r="D7" s="164"/>
      <c r="E7" s="164"/>
      <c r="F7" s="165"/>
      <c r="G7" s="175" t="s">
        <v>3287</v>
      </c>
    </row>
    <row r="8" spans="1:7" ht="30.75" customHeight="1" x14ac:dyDescent="0.25">
      <c r="A8" s="158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4"/>
    </row>
    <row r="9" spans="1:7" ht="14.25" x14ac:dyDescent="0.45">
      <c r="A9" s="52" t="s">
        <v>363</v>
      </c>
      <c r="B9" s="70">
        <f>SUM(B10,B19,B27,B37)</f>
        <v>64439867</v>
      </c>
      <c r="C9" s="70">
        <f t="shared" ref="C9:G9" si="0">SUM(C10,C19,C27,C37)</f>
        <v>1307063.6640427026</v>
      </c>
      <c r="D9" s="70">
        <f t="shared" si="0"/>
        <v>65746930.664042704</v>
      </c>
      <c r="E9" s="70">
        <f t="shared" si="0"/>
        <v>33977352.32</v>
      </c>
      <c r="F9" s="70">
        <f t="shared" si="0"/>
        <v>33977352.32</v>
      </c>
      <c r="G9" s="70">
        <f t="shared" si="0"/>
        <v>31769578.344042704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ht="14.25" x14ac:dyDescent="0.4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ht="14.25" x14ac:dyDescent="0.4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ht="14.25" x14ac:dyDescent="0.4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ht="14.25" x14ac:dyDescent="0.4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ht="14.25" x14ac:dyDescent="0.4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64439867</v>
      </c>
      <c r="C19" s="71">
        <f t="shared" ref="C19:F19" si="3">SUM(C20:C26)</f>
        <v>1307063.6640427026</v>
      </c>
      <c r="D19" s="71">
        <f t="shared" si="3"/>
        <v>65746930.664042704</v>
      </c>
      <c r="E19" s="71">
        <f t="shared" si="3"/>
        <v>33977352.32</v>
      </c>
      <c r="F19" s="71">
        <f t="shared" si="3"/>
        <v>33977352.32</v>
      </c>
      <c r="G19" s="71">
        <f>SUM(G20:G26)</f>
        <v>31769578.344042704</v>
      </c>
    </row>
    <row r="20" spans="1:7" x14ac:dyDescent="0.25">
      <c r="A20" s="63" t="s">
        <v>374</v>
      </c>
      <c r="B20" s="72">
        <v>64439867</v>
      </c>
      <c r="C20" s="72">
        <v>1307063.6640427026</v>
      </c>
      <c r="D20" s="72">
        <v>65746930.664042704</v>
      </c>
      <c r="E20" s="72">
        <v>33977352.32</v>
      </c>
      <c r="F20" s="72">
        <v>33977352.32</v>
      </c>
      <c r="G20" s="72">
        <f>D20-E20</f>
        <v>31769578.344042704</v>
      </c>
    </row>
    <row r="21" spans="1:7" ht="14.25" x14ac:dyDescent="0.4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ht="14.25" x14ac:dyDescent="0.4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ht="14.25" x14ac:dyDescent="0.45">
      <c r="A26" s="63" t="s">
        <v>380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ht="14.25" x14ac:dyDescent="0.4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3300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64439867</v>
      </c>
      <c r="C77" s="73">
        <f t="shared" ref="C77:F77" si="18">C43+C9</f>
        <v>1307063.6640427026</v>
      </c>
      <c r="D77" s="73">
        <f t="shared" si="18"/>
        <v>65746930.664042704</v>
      </c>
      <c r="E77" s="73">
        <f t="shared" si="18"/>
        <v>33977352.32</v>
      </c>
      <c r="F77" s="73">
        <f t="shared" si="18"/>
        <v>33977352.32</v>
      </c>
      <c r="G77" s="73">
        <f>G43+G9</f>
        <v>31769578.344042704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6" fitToHeight="3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64439867</v>
      </c>
      <c r="Q2" s="18">
        <f>'Formato 6 c)'!C9</f>
        <v>1307063.6640427026</v>
      </c>
      <c r="R2" s="18">
        <f>'Formato 6 c)'!D9</f>
        <v>65746930.664042704</v>
      </c>
      <c r="S2" s="18">
        <f>'Formato 6 c)'!E9</f>
        <v>33977352.32</v>
      </c>
      <c r="T2" s="18">
        <f>'Formato 6 c)'!F9</f>
        <v>33977352.32</v>
      </c>
      <c r="U2" s="18">
        <f>'Formato 6 c)'!G9</f>
        <v>31769578.344042704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64439867</v>
      </c>
      <c r="Q12" s="18">
        <f>'Formato 6 c)'!C19</f>
        <v>1307063.6640427026</v>
      </c>
      <c r="R12" s="18">
        <f>'Formato 6 c)'!D19</f>
        <v>65746930.664042704</v>
      </c>
      <c r="S12" s="18">
        <f>'Formato 6 c)'!E19</f>
        <v>33977352.32</v>
      </c>
      <c r="T12" s="18">
        <f>'Formato 6 c)'!F19</f>
        <v>33977352.32</v>
      </c>
      <c r="U12" s="18">
        <f>'Formato 6 c)'!G19</f>
        <v>31769578.344042704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64439867</v>
      </c>
      <c r="Q13" s="18">
        <f>'Formato 6 c)'!C20</f>
        <v>1307063.6640427026</v>
      </c>
      <c r="R13" s="18">
        <f>'Formato 6 c)'!D20</f>
        <v>65746930.664042704</v>
      </c>
      <c r="S13" s="18">
        <f>'Formato 6 c)'!E20</f>
        <v>33977352.32</v>
      </c>
      <c r="T13" s="18">
        <f>'Formato 6 c)'!F20</f>
        <v>33977352.32</v>
      </c>
      <c r="U13" s="18">
        <f>'Formato 6 c)'!G20</f>
        <v>31769578.344042704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ht="14.25" x14ac:dyDescent="0.4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ht="14.25" x14ac:dyDescent="0.4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ht="14.25" x14ac:dyDescent="0.4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ht="14.25" x14ac:dyDescent="0.4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64439867</v>
      </c>
      <c r="Q68" s="18">
        <f>'Formato 6 c)'!C77</f>
        <v>1307063.6640427026</v>
      </c>
      <c r="R68" s="18">
        <f>'Formato 6 c)'!D77</f>
        <v>65746930.664042704</v>
      </c>
      <c r="S68" s="18">
        <f>'Formato 6 c)'!E77</f>
        <v>33977352.32</v>
      </c>
      <c r="T68" s="18">
        <f>'Formato 6 c)'!F77</f>
        <v>33977352.32</v>
      </c>
      <c r="U68" s="18">
        <f>'Formato 6 c)'!G77</f>
        <v>31769578.344042704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ORGANISMO, Gobierno del Estado de Guanajuato</v>
      </c>
    </row>
    <row r="7" spans="2:3" ht="14.25" x14ac:dyDescent="0.45">
      <c r="C7" t="str">
        <f>CONCATENATE(ENTE_PUBLICO," (a)")</f>
        <v>ORGANISMO,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2019</v>
      </c>
    </row>
    <row r="14" spans="2:3" ht="14.25" x14ac:dyDescent="0.45">
      <c r="B14" t="s">
        <v>793</v>
      </c>
      <c r="C14" s="24" t="s">
        <v>3310</v>
      </c>
    </row>
    <row r="15" spans="2:3" ht="14.25" x14ac:dyDescent="0.45">
      <c r="C15" s="24">
        <v>2</v>
      </c>
    </row>
    <row r="16" spans="2:3" ht="14.25" x14ac:dyDescent="0.45">
      <c r="C16" s="24" t="s">
        <v>3311</v>
      </c>
    </row>
    <row r="18" spans="4:9" ht="120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30 de junio de 2019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30 de junio de 2019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30 de junio de 2019 (m = g – l)</v>
      </c>
    </row>
    <row r="20" spans="4:9" ht="57" x14ac:dyDescent="0.45">
      <c r="D20" s="21" t="str">
        <f>CONCATENATE(ANIO_INFORME, " (d)")</f>
        <v>2019 (d)</v>
      </c>
      <c r="E20" s="22" t="str">
        <f>CONCATENATE("31 de diciembre de ",ANIO_INFORME-1, " (e)")</f>
        <v>31 de diciembre de 2018 (e)</v>
      </c>
      <c r="F20" s="31" t="str">
        <f>CONCATENATE("Saldo al 31 de diciembre de ",ANIO_INFORME-1, " (d)")</f>
        <v>Saldo al 31 de diciembre de 2018 (d)</v>
      </c>
    </row>
    <row r="23" spans="4:9" ht="14.25" x14ac:dyDescent="0.45">
      <c r="D23" s="33">
        <f>ANIO_INFORME + 1</f>
        <v>2020</v>
      </c>
      <c r="E23" s="34" t="str">
        <f>CONCATENATE(ANIO_INFORME + 2, " (d)")</f>
        <v>2021 (d)</v>
      </c>
      <c r="F23" s="34" t="str">
        <f>CONCATENATE(ANIO_INFORME + 3, " (d)")</f>
        <v>2022 (d)</v>
      </c>
      <c r="G23" s="34" t="str">
        <f>CONCATENATE(ANIO_INFORME + 4, " (d)")</f>
        <v>2023 (d)</v>
      </c>
      <c r="H23" s="34" t="str">
        <f>CONCATENATE(ANIO_INFORME + 5, " (d)")</f>
        <v>2024 (d)</v>
      </c>
      <c r="I23" s="34" t="str">
        <f>CONCATENATE(ANIO_INFORME + 6, " (d)")</f>
        <v>2025 (d)</v>
      </c>
    </row>
    <row r="25" spans="4:9" x14ac:dyDescent="0.25">
      <c r="D25" s="35" t="str">
        <f>CONCATENATE(ANIO_INFORME - 5, " ",CHAR(185)," (c)")</f>
        <v>2014 ¹ (c)</v>
      </c>
      <c r="E25" s="35" t="str">
        <f>CONCATENATE(ANIO_INFORME - 4, " ",CHAR(185)," (c)")</f>
        <v>2015 ¹ (c)</v>
      </c>
      <c r="F25" s="35" t="str">
        <f>CONCATENATE(ANIO_INFORME - 3, " ",CHAR(185)," (c)")</f>
        <v>2016 ¹ (c)</v>
      </c>
      <c r="G25" s="35" t="str">
        <f>CONCATENATE(ANIO_INFORME - 2, " ",CHAR(185)," (c)")</f>
        <v>2017 ¹ (c)</v>
      </c>
      <c r="H25" s="35" t="str">
        <f>CONCATENATE(ANIO_INFORME - 1, " ",CHAR(185)," (c)")</f>
        <v>2018 ¹ (c)</v>
      </c>
      <c r="I25" s="33">
        <f>ANIO_INFORME</f>
        <v>2019</v>
      </c>
    </row>
    <row r="26" spans="4:9" ht="14.25" x14ac:dyDescent="0.45">
      <c r="D26" s="92"/>
    </row>
    <row r="29" spans="4:9" ht="14.25" x14ac:dyDescent="0.45">
      <c r="D29" t="s">
        <v>3143</v>
      </c>
      <c r="E29" t="s">
        <v>3144</v>
      </c>
    </row>
    <row r="30" spans="4:9" ht="14.25" x14ac:dyDescent="0.45">
      <c r="D30" s="140">
        <v>-1.7976931348623099E+100</v>
      </c>
      <c r="E30" s="140">
        <v>1.7976931348623099E+100</v>
      </c>
    </row>
    <row r="32" spans="4:9" ht="14.25" x14ac:dyDescent="0.45">
      <c r="D32" t="s">
        <v>3145</v>
      </c>
      <c r="E32" t="s">
        <v>3146</v>
      </c>
    </row>
    <row r="33" spans="4:5" ht="14.25" x14ac:dyDescent="0.4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G34"/>
  <sheetViews>
    <sheetView showGridLines="0" zoomScale="90" zoomScaleNormal="90" workbookViewId="0">
      <selection activeCell="D32" sqref="D32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3" t="s">
        <v>3288</v>
      </c>
      <c r="B1" s="172"/>
      <c r="C1" s="172"/>
      <c r="D1" s="172"/>
      <c r="E1" s="172"/>
      <c r="F1" s="172"/>
      <c r="G1" s="172"/>
    </row>
    <row r="2" spans="1:7" ht="14.25" x14ac:dyDescent="0.45">
      <c r="A2" s="154" t="str">
        <f>ENTE_PUBLICO_A</f>
        <v>ORGANISMO, Gobierno del Estado de Guanajuato (a)</v>
      </c>
      <c r="B2" s="155"/>
      <c r="C2" s="155"/>
      <c r="D2" s="155"/>
      <c r="E2" s="155"/>
      <c r="F2" s="155"/>
      <c r="G2" s="156"/>
    </row>
    <row r="3" spans="1:7" x14ac:dyDescent="0.25">
      <c r="A3" s="160" t="s">
        <v>277</v>
      </c>
      <c r="B3" s="161"/>
      <c r="C3" s="161"/>
      <c r="D3" s="161"/>
      <c r="E3" s="161"/>
      <c r="F3" s="161"/>
      <c r="G3" s="162"/>
    </row>
    <row r="4" spans="1:7" x14ac:dyDescent="0.25">
      <c r="A4" s="160" t="s">
        <v>399</v>
      </c>
      <c r="B4" s="161"/>
      <c r="C4" s="161"/>
      <c r="D4" s="161"/>
      <c r="E4" s="161"/>
      <c r="F4" s="161"/>
      <c r="G4" s="162"/>
    </row>
    <row r="5" spans="1:7" ht="14.25" x14ac:dyDescent="0.45">
      <c r="A5" s="160" t="str">
        <f>TRIMESTRE</f>
        <v>Del 1 de enero al 30 de junio de 2019 (b)</v>
      </c>
      <c r="B5" s="161"/>
      <c r="C5" s="161"/>
      <c r="D5" s="161"/>
      <c r="E5" s="161"/>
      <c r="F5" s="161"/>
      <c r="G5" s="162"/>
    </row>
    <row r="6" spans="1:7" ht="14.25" x14ac:dyDescent="0.45">
      <c r="A6" s="163" t="s">
        <v>118</v>
      </c>
      <c r="B6" s="164"/>
      <c r="C6" s="164"/>
      <c r="D6" s="164"/>
      <c r="E6" s="164"/>
      <c r="F6" s="164"/>
      <c r="G6" s="165"/>
    </row>
    <row r="7" spans="1:7" x14ac:dyDescent="0.25">
      <c r="A7" s="169" t="s">
        <v>361</v>
      </c>
      <c r="B7" s="174" t="s">
        <v>279</v>
      </c>
      <c r="C7" s="174"/>
      <c r="D7" s="174"/>
      <c r="E7" s="174"/>
      <c r="F7" s="174"/>
      <c r="G7" s="174" t="s">
        <v>280</v>
      </c>
    </row>
    <row r="8" spans="1:7" ht="29.25" customHeight="1" x14ac:dyDescent="0.25">
      <c r="A8" s="170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1"/>
    </row>
    <row r="9" spans="1:7" ht="14.25" x14ac:dyDescent="0.45">
      <c r="A9" s="52" t="s">
        <v>400</v>
      </c>
      <c r="B9" s="66">
        <f>SUM(B10,B11,B12,B15,B16,B19)</f>
        <v>32553433.910000004</v>
      </c>
      <c r="C9" s="66">
        <f t="shared" ref="C9:F9" si="0">SUM(C10,C11,C12,C15,C16,C19)</f>
        <v>-371389.50011164573</v>
      </c>
      <c r="D9" s="66">
        <f t="shared" si="0"/>
        <v>32182044.409888353</v>
      </c>
      <c r="E9" s="66">
        <f t="shared" si="0"/>
        <v>15920198.999999998</v>
      </c>
      <c r="F9" s="66">
        <f t="shared" si="0"/>
        <v>15920198.999999998</v>
      </c>
      <c r="G9" s="66">
        <f>SUM(G10,G11,G12,G15,G16,G19)</f>
        <v>16261845.409888355</v>
      </c>
    </row>
    <row r="10" spans="1:7" ht="14.25" x14ac:dyDescent="0.45">
      <c r="A10" s="53" t="s">
        <v>401</v>
      </c>
      <c r="B10" s="67">
        <f>'Formato 6 a)'!B10</f>
        <v>32553433.910000004</v>
      </c>
      <c r="C10" s="67">
        <f>'Formato 6 a)'!C10</f>
        <v>-371389.50011164573</v>
      </c>
      <c r="D10" s="67">
        <f>'Formato 6 a)'!D10</f>
        <v>32182044.409888353</v>
      </c>
      <c r="E10" s="67">
        <f>'Formato 6 a)'!E10</f>
        <v>15920198.999999998</v>
      </c>
      <c r="F10" s="67">
        <f>'Formato 6 a)'!F10</f>
        <v>15920198.999999998</v>
      </c>
      <c r="G10" s="67">
        <f>D10-E10</f>
        <v>16261845.409888355</v>
      </c>
    </row>
    <row r="11" spans="1:7" ht="14.25" x14ac:dyDescent="0.4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ht="14.25" x14ac:dyDescent="0.4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ht="14.25" x14ac:dyDescent="0.4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ht="14.25" x14ac:dyDescent="0.4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ht="14.25" x14ac:dyDescent="0.4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ht="14.25" x14ac:dyDescent="0.4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ht="14.25" x14ac:dyDescent="0.4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ht="14.25" x14ac:dyDescent="0.4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ht="14.25" x14ac:dyDescent="0.4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ht="14.25" x14ac:dyDescent="0.4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ht="14.25" x14ac:dyDescent="0.4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ht="14.25" x14ac:dyDescent="0.4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32553433.910000004</v>
      </c>
      <c r="C33" s="66">
        <f t="shared" ref="C33:G33" si="9">C21+C9</f>
        <v>-371389.50011164573</v>
      </c>
      <c r="D33" s="66">
        <f t="shared" si="9"/>
        <v>32182044.409888353</v>
      </c>
      <c r="E33" s="66">
        <f t="shared" si="9"/>
        <v>15920198.999999998</v>
      </c>
      <c r="F33" s="66">
        <f t="shared" si="9"/>
        <v>15920198.999999998</v>
      </c>
      <c r="G33" s="66">
        <f t="shared" si="9"/>
        <v>16261845.409888355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paperSize="119" scale="5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32553433.910000004</v>
      </c>
      <c r="Q2" s="18">
        <f>'Formato 6 d)'!C9</f>
        <v>-371389.50011164573</v>
      </c>
      <c r="R2" s="18">
        <f>'Formato 6 d)'!D9</f>
        <v>32182044.409888353</v>
      </c>
      <c r="S2" s="18">
        <f>'Formato 6 d)'!E9</f>
        <v>15920198.999999998</v>
      </c>
      <c r="T2" s="18">
        <f>'Formato 6 d)'!F9</f>
        <v>15920198.999999998</v>
      </c>
      <c r="U2" s="18">
        <f>'Formato 6 d)'!G9</f>
        <v>16261845.409888355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32553433.910000004</v>
      </c>
      <c r="Q3" s="18">
        <f>'Formato 6 d)'!C10</f>
        <v>-371389.50011164573</v>
      </c>
      <c r="R3" s="18">
        <f>'Formato 6 d)'!D10</f>
        <v>32182044.409888353</v>
      </c>
      <c r="S3" s="18">
        <f>'Formato 6 d)'!E10</f>
        <v>15920198.999999998</v>
      </c>
      <c r="T3" s="18">
        <f>'Formato 6 d)'!F10</f>
        <v>15920198.999999998</v>
      </c>
      <c r="U3" s="18">
        <f>'Formato 6 d)'!G10</f>
        <v>16261845.409888355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ht="14.25" x14ac:dyDescent="0.4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ht="14.25" x14ac:dyDescent="0.4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32553433.910000004</v>
      </c>
      <c r="Q24" s="18">
        <f>'Formato 6 d)'!C33</f>
        <v>-371389.50011164573</v>
      </c>
      <c r="R24" s="18">
        <f>'Formato 6 d)'!D33</f>
        <v>32182044.409888353</v>
      </c>
      <c r="S24" s="18">
        <f>'Formato 6 d)'!E33</f>
        <v>15920198.999999998</v>
      </c>
      <c r="T24" s="18">
        <f>'Formato 6 d)'!F33</f>
        <v>15920198.999999998</v>
      </c>
      <c r="U24" s="18">
        <f>'Formato 6 d)'!G33</f>
        <v>16261845.409888355</v>
      </c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topLeftCell="A10" zoomScale="85" zoomScaleNormal="85" zoomScalePageLayoutView="90" workbookViewId="0">
      <selection activeCell="A2" sqref="A2:G2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72" t="s">
        <v>413</v>
      </c>
      <c r="B1" s="172"/>
      <c r="C1" s="172"/>
      <c r="D1" s="172"/>
      <c r="E1" s="172"/>
      <c r="F1" s="172"/>
      <c r="G1" s="172"/>
    </row>
    <row r="2" spans="1:7" ht="14.25" x14ac:dyDescent="0.45">
      <c r="A2" s="154" t="str">
        <f>ENTIDAD</f>
        <v>Municipio de León, Gobierno del Estado de Guanajuato</v>
      </c>
      <c r="B2" s="155"/>
      <c r="C2" s="155"/>
      <c r="D2" s="155"/>
      <c r="E2" s="155"/>
      <c r="F2" s="155"/>
      <c r="G2" s="156"/>
    </row>
    <row r="3" spans="1:7" ht="14.25" x14ac:dyDescent="0.45">
      <c r="A3" s="157" t="s">
        <v>414</v>
      </c>
      <c r="B3" s="158"/>
      <c r="C3" s="158"/>
      <c r="D3" s="158"/>
      <c r="E3" s="158"/>
      <c r="F3" s="158"/>
      <c r="G3" s="159"/>
    </row>
    <row r="4" spans="1:7" ht="14.25" x14ac:dyDescent="0.45">
      <c r="A4" s="157" t="s">
        <v>118</v>
      </c>
      <c r="B4" s="158"/>
      <c r="C4" s="158"/>
      <c r="D4" s="158"/>
      <c r="E4" s="158"/>
      <c r="F4" s="158"/>
      <c r="G4" s="159"/>
    </row>
    <row r="5" spans="1:7" ht="14.25" x14ac:dyDescent="0.45">
      <c r="A5" s="157" t="s">
        <v>415</v>
      </c>
      <c r="B5" s="158"/>
      <c r="C5" s="158"/>
      <c r="D5" s="158"/>
      <c r="E5" s="158"/>
      <c r="F5" s="158"/>
      <c r="G5" s="159"/>
    </row>
    <row r="6" spans="1:7" x14ac:dyDescent="0.25">
      <c r="A6" s="169" t="s">
        <v>3289</v>
      </c>
      <c r="B6" s="51">
        <f>ANIO1P</f>
        <v>2020</v>
      </c>
      <c r="C6" s="182" t="str">
        <f>ANIO2P</f>
        <v>2021 (d)</v>
      </c>
      <c r="D6" s="182" t="str">
        <f>ANIO3P</f>
        <v>2022 (d)</v>
      </c>
      <c r="E6" s="182" t="str">
        <f>ANIO4P</f>
        <v>2023 (d)</v>
      </c>
      <c r="F6" s="182" t="str">
        <f>ANIO5P</f>
        <v>2024 (d)</v>
      </c>
      <c r="G6" s="182" t="str">
        <f>ANIO6P</f>
        <v>2025 (d)</v>
      </c>
    </row>
    <row r="7" spans="1:7" ht="48" customHeight="1" x14ac:dyDescent="0.25">
      <c r="A7" s="170"/>
      <c r="B7" s="88" t="s">
        <v>3292</v>
      </c>
      <c r="C7" s="183"/>
      <c r="D7" s="183"/>
      <c r="E7" s="183"/>
      <c r="F7" s="183"/>
      <c r="G7" s="183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ht="14.25" x14ac:dyDescent="0.4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ht="14.25" x14ac:dyDescent="0.45">
      <c r="A33" s="54"/>
      <c r="B33" s="54"/>
      <c r="C33" s="54"/>
      <c r="D33" s="54"/>
      <c r="E33" s="54"/>
      <c r="F33" s="54"/>
      <c r="G33" s="54"/>
    </row>
    <row r="34" spans="1:7" ht="14.25" x14ac:dyDescent="0.4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ht="14.25" x14ac:dyDescent="0.4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ht="14.25" x14ac:dyDescent="0.4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ht="14.25" x14ac:dyDescent="0.4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ht="14.25" x14ac:dyDescent="0.4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72" t="s">
        <v>451</v>
      </c>
      <c r="B1" s="172"/>
      <c r="C1" s="172"/>
      <c r="D1" s="172"/>
      <c r="E1" s="172"/>
      <c r="F1" s="172"/>
      <c r="G1" s="172"/>
    </row>
    <row r="2" spans="1:7" customFormat="1" ht="14.25" x14ac:dyDescent="0.45">
      <c r="A2" s="154" t="str">
        <f>ENTIDAD</f>
        <v>Municipio de León, Gobierno del Estado de Guanajuato</v>
      </c>
      <c r="B2" s="155"/>
      <c r="C2" s="155"/>
      <c r="D2" s="155"/>
      <c r="E2" s="155"/>
      <c r="F2" s="155"/>
      <c r="G2" s="156"/>
    </row>
    <row r="3" spans="1:7" customFormat="1" ht="14.25" x14ac:dyDescent="0.45">
      <c r="A3" s="157" t="s">
        <v>452</v>
      </c>
      <c r="B3" s="158"/>
      <c r="C3" s="158"/>
      <c r="D3" s="158"/>
      <c r="E3" s="158"/>
      <c r="F3" s="158"/>
      <c r="G3" s="159"/>
    </row>
    <row r="4" spans="1:7" customFormat="1" ht="14.25" x14ac:dyDescent="0.45">
      <c r="A4" s="157" t="s">
        <v>118</v>
      </c>
      <c r="B4" s="158"/>
      <c r="C4" s="158"/>
      <c r="D4" s="158"/>
      <c r="E4" s="158"/>
      <c r="F4" s="158"/>
      <c r="G4" s="159"/>
    </row>
    <row r="5" spans="1:7" customFormat="1" ht="14.25" x14ac:dyDescent="0.45">
      <c r="A5" s="157" t="s">
        <v>415</v>
      </c>
      <c r="B5" s="158"/>
      <c r="C5" s="158"/>
      <c r="D5" s="158"/>
      <c r="E5" s="158"/>
      <c r="F5" s="158"/>
      <c r="G5" s="159"/>
    </row>
    <row r="6" spans="1:7" customFormat="1" x14ac:dyDescent="0.25">
      <c r="A6" s="184" t="s">
        <v>3142</v>
      </c>
      <c r="B6" s="51">
        <f>ANIO1P</f>
        <v>2020</v>
      </c>
      <c r="C6" s="182" t="str">
        <f>ANIO2P</f>
        <v>2021 (d)</v>
      </c>
      <c r="D6" s="182" t="str">
        <f>ANIO3P</f>
        <v>2022 (d)</v>
      </c>
      <c r="E6" s="182" t="str">
        <f>ANIO4P</f>
        <v>2023 (d)</v>
      </c>
      <c r="F6" s="182" t="str">
        <f>ANIO5P</f>
        <v>2024 (d)</v>
      </c>
      <c r="G6" s="182" t="str">
        <f>ANIO6P</f>
        <v>2025 (d)</v>
      </c>
    </row>
    <row r="7" spans="1:7" customFormat="1" ht="48" customHeight="1" x14ac:dyDescent="0.25">
      <c r="A7" s="185"/>
      <c r="B7" s="88" t="s">
        <v>3292</v>
      </c>
      <c r="C7" s="183"/>
      <c r="D7" s="183"/>
      <c r="E7" s="183"/>
      <c r="F7" s="183"/>
      <c r="G7" s="183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ht="14.25" x14ac:dyDescent="0.4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G6:G7"/>
    <mergeCell ref="A6:A7"/>
    <mergeCell ref="C6:C7"/>
    <mergeCell ref="D6:D7"/>
    <mergeCell ref="E6:E7"/>
    <mergeCell ref="F6:F7"/>
    <mergeCell ref="A1:G1"/>
    <mergeCell ref="A2:G2"/>
    <mergeCell ref="A3:G3"/>
    <mergeCell ref="A4:G4"/>
    <mergeCell ref="A5:G5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zoomScale="90" zoomScaleNormal="90" workbookViewId="0">
      <selection activeCell="A29" sqref="A2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2" t="s">
        <v>466</v>
      </c>
      <c r="B1" s="172"/>
      <c r="C1" s="172"/>
      <c r="D1" s="172"/>
      <c r="E1" s="172"/>
      <c r="F1" s="172"/>
      <c r="G1" s="172"/>
    </row>
    <row r="2" spans="1:7" ht="14.25" x14ac:dyDescent="0.45">
      <c r="A2" s="154" t="str">
        <f>ENTIDAD</f>
        <v>Municipio de León, Gobierno del Estado de Guanajuato</v>
      </c>
      <c r="B2" s="155"/>
      <c r="C2" s="155"/>
      <c r="D2" s="155"/>
      <c r="E2" s="155"/>
      <c r="F2" s="155"/>
      <c r="G2" s="156"/>
    </row>
    <row r="3" spans="1:7" ht="14.25" x14ac:dyDescent="0.45">
      <c r="A3" s="157" t="s">
        <v>467</v>
      </c>
      <c r="B3" s="158"/>
      <c r="C3" s="158"/>
      <c r="D3" s="158"/>
      <c r="E3" s="158"/>
      <c r="F3" s="158"/>
      <c r="G3" s="159"/>
    </row>
    <row r="4" spans="1:7" ht="14.25" x14ac:dyDescent="0.45">
      <c r="A4" s="163" t="s">
        <v>118</v>
      </c>
      <c r="B4" s="164"/>
      <c r="C4" s="164"/>
      <c r="D4" s="164"/>
      <c r="E4" s="164"/>
      <c r="F4" s="164"/>
      <c r="G4" s="165"/>
    </row>
    <row r="5" spans="1:7" x14ac:dyDescent="0.25">
      <c r="A5" s="189" t="s">
        <v>3289</v>
      </c>
      <c r="B5" s="187" t="str">
        <f>ANIO5R</f>
        <v>2014 ¹ (c)</v>
      </c>
      <c r="C5" s="187" t="str">
        <f>ANIO4R</f>
        <v>2015 ¹ (c)</v>
      </c>
      <c r="D5" s="187" t="str">
        <f>ANIO3R</f>
        <v>2016 ¹ (c)</v>
      </c>
      <c r="E5" s="187" t="str">
        <f>ANIO2R</f>
        <v>2017 ¹ (c)</v>
      </c>
      <c r="F5" s="187" t="str">
        <f>ANIO1R</f>
        <v>2018 ¹ (c)</v>
      </c>
      <c r="G5" s="51">
        <f>ANIO_INFORME</f>
        <v>2019</v>
      </c>
    </row>
    <row r="6" spans="1:7" ht="32.1" customHeight="1" x14ac:dyDescent="0.25">
      <c r="A6" s="190"/>
      <c r="B6" s="188"/>
      <c r="C6" s="188"/>
      <c r="D6" s="188"/>
      <c r="E6" s="188"/>
      <c r="F6" s="188"/>
      <c r="G6" s="88" t="s">
        <v>3295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3299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ht="14.25" x14ac:dyDescent="0.4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ht="14.25" x14ac:dyDescent="0.4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ht="14.25" x14ac:dyDescent="0.4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x14ac:dyDescent="0.25">
      <c r="A32" s="54"/>
      <c r="B32" s="54"/>
      <c r="C32" s="54"/>
      <c r="D32" s="54"/>
      <c r="E32" s="54"/>
      <c r="F32" s="54"/>
      <c r="G32" s="54"/>
    </row>
    <row r="33" spans="1:7" x14ac:dyDescent="0.2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86" t="s">
        <v>3293</v>
      </c>
      <c r="B39" s="186"/>
      <c r="C39" s="186"/>
      <c r="D39" s="186"/>
      <c r="E39" s="186"/>
      <c r="F39" s="186"/>
      <c r="G39" s="186"/>
    </row>
    <row r="40" spans="1:7" ht="15" customHeight="1" x14ac:dyDescent="0.25">
      <c r="A40" s="186" t="s">
        <v>3294</v>
      </c>
      <c r="B40" s="186"/>
      <c r="C40" s="186"/>
      <c r="D40" s="186"/>
      <c r="E40" s="186"/>
      <c r="F40" s="186"/>
      <c r="G40" s="186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ht="14.25" x14ac:dyDescent="0.4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ht="14.25" x14ac:dyDescent="0.4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ht="14.25" x14ac:dyDescent="0.4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ht="14.25" x14ac:dyDescent="0.4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zoomScale="90" zoomScaleNormal="90" workbookViewId="0">
      <selection sqref="A1:G1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2" t="s">
        <v>490</v>
      </c>
      <c r="B1" s="172"/>
      <c r="C1" s="172"/>
      <c r="D1" s="172"/>
      <c r="E1" s="172"/>
      <c r="F1" s="172"/>
      <c r="G1" s="172"/>
    </row>
    <row r="2" spans="1:7" ht="14.25" x14ac:dyDescent="0.45">
      <c r="A2" s="154" t="str">
        <f>ENTIDAD</f>
        <v>Municipio de León, Gobierno del Estado de Guanajuato</v>
      </c>
      <c r="B2" s="155"/>
      <c r="C2" s="155"/>
      <c r="D2" s="155"/>
      <c r="E2" s="155"/>
      <c r="F2" s="155"/>
      <c r="G2" s="156"/>
    </row>
    <row r="3" spans="1:7" ht="14.25" x14ac:dyDescent="0.45">
      <c r="A3" s="157" t="s">
        <v>491</v>
      </c>
      <c r="B3" s="158"/>
      <c r="C3" s="158"/>
      <c r="D3" s="158"/>
      <c r="E3" s="158"/>
      <c r="F3" s="158"/>
      <c r="G3" s="159"/>
    </row>
    <row r="4" spans="1:7" ht="14.25" x14ac:dyDescent="0.45">
      <c r="A4" s="163" t="s">
        <v>118</v>
      </c>
      <c r="B4" s="164"/>
      <c r="C4" s="164"/>
      <c r="D4" s="164"/>
      <c r="E4" s="164"/>
      <c r="F4" s="164"/>
      <c r="G4" s="165"/>
    </row>
    <row r="5" spans="1:7" x14ac:dyDescent="0.25">
      <c r="A5" s="191" t="s">
        <v>3142</v>
      </c>
      <c r="B5" s="187" t="str">
        <f>ANIO5R</f>
        <v>2014 ¹ (c)</v>
      </c>
      <c r="C5" s="187" t="str">
        <f>ANIO4R</f>
        <v>2015 ¹ (c)</v>
      </c>
      <c r="D5" s="187" t="str">
        <f>ANIO3R</f>
        <v>2016 ¹ (c)</v>
      </c>
      <c r="E5" s="187" t="str">
        <f>ANIO2R</f>
        <v>2017 ¹ (c)</v>
      </c>
      <c r="F5" s="187" t="str">
        <f>ANIO1R</f>
        <v>2018 ¹ (c)</v>
      </c>
      <c r="G5" s="51">
        <f>ANIO_INFORME</f>
        <v>2019</v>
      </c>
    </row>
    <row r="6" spans="1:7" ht="32.1" customHeight="1" x14ac:dyDescent="0.25">
      <c r="A6" s="192"/>
      <c r="B6" s="188"/>
      <c r="C6" s="188"/>
      <c r="D6" s="188"/>
      <c r="E6" s="188"/>
      <c r="F6" s="188"/>
      <c r="G6" s="88" t="s">
        <v>3296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ht="14.25" x14ac:dyDescent="0.45">
      <c r="A30" s="58"/>
      <c r="B30" s="58"/>
      <c r="C30" s="58"/>
      <c r="D30" s="58"/>
      <c r="E30" s="58"/>
      <c r="F30" s="58"/>
      <c r="G30" s="58"/>
    </row>
    <row r="31" spans="1:7" ht="14.25" x14ac:dyDescent="0.45">
      <c r="A31" s="90"/>
    </row>
    <row r="32" spans="1:7" ht="14.25" x14ac:dyDescent="0.45">
      <c r="A32" s="186" t="s">
        <v>3293</v>
      </c>
      <c r="B32" s="186"/>
      <c r="C32" s="186"/>
      <c r="D32" s="186"/>
      <c r="E32" s="186"/>
      <c r="F32" s="186"/>
      <c r="G32" s="186"/>
    </row>
    <row r="33" spans="1:7" x14ac:dyDescent="0.25">
      <c r="A33" s="186" t="s">
        <v>3294</v>
      </c>
      <c r="B33" s="186"/>
      <c r="C33" s="186"/>
      <c r="D33" s="186"/>
      <c r="E33" s="186"/>
      <c r="F33" s="186"/>
      <c r="G33" s="186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ht="14.25" x14ac:dyDescent="0.45">
      <c r="P23" s="18"/>
      <c r="Q23" s="18"/>
      <c r="R23" s="18"/>
      <c r="S23" s="18"/>
      <c r="T23" s="18"/>
      <c r="U23" s="18"/>
    </row>
    <row r="24" spans="1:21" ht="14.25" x14ac:dyDescent="0.45">
      <c r="P24" s="18"/>
      <c r="Q24" s="18"/>
      <c r="R24" s="18"/>
      <c r="S24" s="18"/>
      <c r="T24" s="18"/>
      <c r="U24" s="18"/>
    </row>
    <row r="25" spans="1:21" ht="14.25" x14ac:dyDescent="0.4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zoomScale="90" zoomScaleNormal="90" workbookViewId="0">
      <selection activeCell="A19" sqref="A19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66" t="s">
        <v>495</v>
      </c>
      <c r="B1" s="166"/>
      <c r="C1" s="166"/>
      <c r="D1" s="166"/>
      <c r="E1" s="166"/>
      <c r="F1" s="166"/>
      <c r="G1" s="111"/>
    </row>
    <row r="2" spans="1:7" ht="14.25" x14ac:dyDescent="0.45">
      <c r="A2" s="154" t="str">
        <f>ENTE_PUBLICO</f>
        <v>ORGANISMO, Gobierno del Estado de Guanajuato</v>
      </c>
      <c r="B2" s="155"/>
      <c r="C2" s="155"/>
      <c r="D2" s="155"/>
      <c r="E2" s="155"/>
      <c r="F2" s="156"/>
    </row>
    <row r="3" spans="1:7" ht="14.25" x14ac:dyDescent="0.45">
      <c r="A3" s="163" t="s">
        <v>496</v>
      </c>
      <c r="B3" s="164"/>
      <c r="C3" s="164"/>
      <c r="D3" s="164"/>
      <c r="E3" s="164"/>
      <c r="F3" s="165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ht="14.25" x14ac:dyDescent="0.45">
      <c r="A22" s="64" t="s">
        <v>515</v>
      </c>
      <c r="B22" s="146"/>
      <c r="C22" s="146"/>
      <c r="D22" s="146"/>
      <c r="E22" s="146"/>
      <c r="F22" s="146"/>
    </row>
    <row r="23" spans="1:6" ht="14.25" x14ac:dyDescent="0.4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ht="14.25" x14ac:dyDescent="0.45">
      <c r="A25" s="137" t="s">
        <v>518</v>
      </c>
      <c r="B25" s="147"/>
      <c r="C25" s="60"/>
      <c r="D25" s="60"/>
      <c r="E25" s="60"/>
      <c r="F25" s="60"/>
    </row>
    <row r="26" spans="1:6" ht="14.25" x14ac:dyDescent="0.45">
      <c r="A26" s="138"/>
      <c r="B26" s="54"/>
      <c r="C26" s="54"/>
      <c r="D26" s="54"/>
      <c r="E26" s="54"/>
      <c r="F26" s="54"/>
    </row>
    <row r="27" spans="1:6" ht="14.25" x14ac:dyDescent="0.45">
      <c r="A27" s="136" t="s">
        <v>519</v>
      </c>
      <c r="B27" s="54"/>
      <c r="C27" s="54"/>
      <c r="D27" s="54"/>
      <c r="E27" s="54"/>
      <c r="F27" s="54"/>
    </row>
    <row r="28" spans="1:6" ht="14.25" x14ac:dyDescent="0.45">
      <c r="A28" s="137" t="s">
        <v>520</v>
      </c>
      <c r="B28" s="60"/>
      <c r="C28" s="60"/>
      <c r="D28" s="60"/>
      <c r="E28" s="60"/>
      <c r="F28" s="60"/>
    </row>
    <row r="29" spans="1:6" ht="14.25" x14ac:dyDescent="0.4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ht="14.25" x14ac:dyDescent="0.4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ht="14.25" x14ac:dyDescent="0.4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ht="14.25" x14ac:dyDescent="0.4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ht="14.25" x14ac:dyDescent="0.4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ht="14.25" x14ac:dyDescent="0.4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ht="14.25" x14ac:dyDescent="0.4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topLeftCell="B7" zoomScale="90" zoomScaleNormal="90" workbookViewId="0">
      <selection activeCell="D32" sqref="D32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66" t="s">
        <v>545</v>
      </c>
      <c r="B1" s="166"/>
      <c r="C1" s="166"/>
      <c r="D1" s="166"/>
      <c r="E1" s="166"/>
      <c r="F1" s="166"/>
    </row>
    <row r="2" spans="1:6" ht="14.25" x14ac:dyDescent="0.45">
      <c r="A2" s="154" t="str">
        <f>ENTE_PUBLICO_A</f>
        <v>ORGANISMO, Gobierno del Estado de Guanajuato (a)</v>
      </c>
      <c r="B2" s="155"/>
      <c r="C2" s="155"/>
      <c r="D2" s="155"/>
      <c r="E2" s="155"/>
      <c r="F2" s="156"/>
    </row>
    <row r="3" spans="1:6" x14ac:dyDescent="0.25">
      <c r="A3" s="157" t="s">
        <v>117</v>
      </c>
      <c r="B3" s="158"/>
      <c r="C3" s="158"/>
      <c r="D3" s="158"/>
      <c r="E3" s="158"/>
      <c r="F3" s="159"/>
    </row>
    <row r="4" spans="1:6" ht="14.25" x14ac:dyDescent="0.45">
      <c r="A4" s="160" t="str">
        <f>PERIODO_INFORME</f>
        <v>Al 31 de diciembre de 2018 y al 30 de junio de 2019 (b)</v>
      </c>
      <c r="B4" s="161"/>
      <c r="C4" s="161"/>
      <c r="D4" s="161"/>
      <c r="E4" s="161"/>
      <c r="F4" s="162"/>
    </row>
    <row r="5" spans="1:6" ht="14.25" x14ac:dyDescent="0.45">
      <c r="A5" s="163" t="s">
        <v>118</v>
      </c>
      <c r="B5" s="164"/>
      <c r="C5" s="164"/>
      <c r="D5" s="164"/>
      <c r="E5" s="164"/>
      <c r="F5" s="165"/>
    </row>
    <row r="6" spans="1:6" s="3" customFormat="1" ht="28.5" x14ac:dyDescent="0.45">
      <c r="A6" s="133" t="s">
        <v>3285</v>
      </c>
      <c r="B6" s="134" t="str">
        <f>ANIO</f>
        <v>2019 (d)</v>
      </c>
      <c r="C6" s="131" t="str">
        <f>ULTIMO</f>
        <v>31 de diciembre de 2018 (e)</v>
      </c>
      <c r="D6" s="135" t="s">
        <v>0</v>
      </c>
      <c r="E6" s="134" t="str">
        <f>ANIO</f>
        <v>2019 (d)</v>
      </c>
      <c r="F6" s="131" t="str">
        <f>ULTIMO</f>
        <v>31 de diciembre de 2018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ht="14.25" x14ac:dyDescent="0.45">
      <c r="A9" s="95" t="s">
        <v>3</v>
      </c>
      <c r="B9" s="60">
        <f>SUM(B10:B16)</f>
        <v>5935328.6000000006</v>
      </c>
      <c r="C9" s="60">
        <f>SUM(C10:C16)</f>
        <v>3499419.31</v>
      </c>
      <c r="D9" s="100" t="s">
        <v>54</v>
      </c>
      <c r="E9" s="60">
        <f>SUM(E10:E18)</f>
        <v>4057865.5500000003</v>
      </c>
      <c r="F9" s="60">
        <f>SUM(F10:F18)</f>
        <v>4127444.1</v>
      </c>
    </row>
    <row r="10" spans="1:6" x14ac:dyDescent="0.25">
      <c r="A10" s="96" t="s">
        <v>4</v>
      </c>
      <c r="B10" s="60">
        <v>84999.66</v>
      </c>
      <c r="C10" s="60">
        <v>84999.66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744115.83</v>
      </c>
      <c r="C11" s="60">
        <v>981876.61</v>
      </c>
      <c r="D11" s="101" t="s">
        <v>56</v>
      </c>
      <c r="E11" s="60">
        <v>3891279.58</v>
      </c>
      <c r="F11" s="60">
        <v>3778459.43</v>
      </c>
    </row>
    <row r="12" spans="1:6" x14ac:dyDescent="0.25">
      <c r="A12" s="96" t="s">
        <v>6</v>
      </c>
      <c r="B12" s="77">
        <v>0</v>
      </c>
      <c r="C12" s="77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5106213.1100000003</v>
      </c>
      <c r="C13" s="60">
        <v>2432543.04</v>
      </c>
      <c r="D13" s="101" t="s">
        <v>58</v>
      </c>
      <c r="E13" s="60">
        <v>0</v>
      </c>
      <c r="F13" s="60">
        <v>0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166585.97</v>
      </c>
      <c r="F16" s="60">
        <v>348984.67</v>
      </c>
    </row>
    <row r="17" spans="1:6" x14ac:dyDescent="0.25">
      <c r="A17" s="95" t="s">
        <v>11</v>
      </c>
      <c r="B17" s="60">
        <f>SUM(B18:B24)</f>
        <v>41199.07</v>
      </c>
      <c r="C17" s="60">
        <f>SUM(C18:C24)</f>
        <v>42436.639999999999</v>
      </c>
      <c r="D17" s="101" t="s">
        <v>62</v>
      </c>
      <c r="E17" s="60">
        <v>0</v>
      </c>
      <c r="F17" s="60">
        <v>0</v>
      </c>
    </row>
    <row r="18" spans="1:6" x14ac:dyDescent="0.2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x14ac:dyDescent="0.2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41199.07</v>
      </c>
      <c r="C20" s="60">
        <v>42436.639999999999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f>SUM(C26:C30)</f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0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ht="14.25" x14ac:dyDescent="0.45">
      <c r="A30" s="97" t="s">
        <v>24</v>
      </c>
      <c r="B30" s="60">
        <v>0</v>
      </c>
      <c r="C30" s="60">
        <v>0</v>
      </c>
      <c r="D30" s="101" t="s">
        <v>75</v>
      </c>
      <c r="E30" s="60">
        <v>0</v>
      </c>
      <c r="F30" s="60">
        <v>0</v>
      </c>
    </row>
    <row r="31" spans="1:6" x14ac:dyDescent="0.25">
      <c r="A31" s="95" t="s">
        <v>25</v>
      </c>
      <c r="B31" s="60">
        <f>SUM(B32:B36)</f>
        <v>867746.61</v>
      </c>
      <c r="C31" s="60">
        <f>SUM(C32:C36)</f>
        <v>852087.53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867746.61</v>
      </c>
      <c r="C32" s="60">
        <v>852087.53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0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914305.73</v>
      </c>
      <c r="C37" s="60">
        <v>298683.88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1941045.69</v>
      </c>
      <c r="F38" s="60">
        <f>SUM(F39:F41)</f>
        <v>948174.72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1941045.69</v>
      </c>
      <c r="F40" s="60">
        <v>948174.72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B9+B17+B25+B31+B37+B41</f>
        <v>7758580.0100000016</v>
      </c>
      <c r="C47" s="61">
        <f>C9+C17+C25+C31+C37+C41</f>
        <v>4692627.3600000003</v>
      </c>
      <c r="D47" s="99" t="s">
        <v>91</v>
      </c>
      <c r="E47" s="61">
        <f>E9+E19+E23+E26+E27+E31+E38+E42</f>
        <v>5998911.2400000002</v>
      </c>
      <c r="F47" s="61">
        <f>F9+F19+F23+F26+F27+F31+F38+F42</f>
        <v>5075618.82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84779417.629999995</v>
      </c>
      <c r="C52" s="60">
        <v>84266939.780000001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31020557.300000001</v>
      </c>
      <c r="C53" s="60">
        <v>30539797.710000001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0</v>
      </c>
      <c r="C54" s="60">
        <v>0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-6422787.2199999997</v>
      </c>
      <c r="C55" s="60">
        <v>-6121187.0800000001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5998911.2400000002</v>
      </c>
      <c r="F59" s="61">
        <f>F47+F57</f>
        <v>5075618.82</v>
      </c>
    </row>
    <row r="60" spans="1:6" x14ac:dyDescent="0.25">
      <c r="A60" s="55" t="s">
        <v>50</v>
      </c>
      <c r="B60" s="61">
        <f>SUM(B50:B58)</f>
        <v>109377187.70999999</v>
      </c>
      <c r="C60" s="61">
        <f>SUM(C50:C58)</f>
        <v>108685550.41000001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117135767.72</v>
      </c>
      <c r="C62" s="61">
        <f>SUM(C47+C60)</f>
        <v>113378177.77000001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35773954.980000004</v>
      </c>
      <c r="F63" s="77">
        <f>SUM(F64:F66)</f>
        <v>35726121.100000001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24344925.59</v>
      </c>
      <c r="F66" s="77">
        <v>24297091.710000001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75362901.5</v>
      </c>
      <c r="F68" s="77">
        <f>SUM(F69:F73)</f>
        <v>72576437.849999994</v>
      </c>
    </row>
    <row r="69" spans="1:6" x14ac:dyDescent="0.25">
      <c r="A69" s="12"/>
      <c r="B69" s="54"/>
      <c r="C69" s="54"/>
      <c r="D69" s="103" t="s">
        <v>107</v>
      </c>
      <c r="E69" s="77">
        <v>2786463.6499999985</v>
      </c>
      <c r="F69" s="77">
        <v>16420367.929999992</v>
      </c>
    </row>
    <row r="70" spans="1:6" x14ac:dyDescent="0.25">
      <c r="A70" s="12"/>
      <c r="B70" s="54"/>
      <c r="C70" s="54"/>
      <c r="D70" s="103" t="s">
        <v>108</v>
      </c>
      <c r="E70" s="77">
        <v>72576437.849999994</v>
      </c>
      <c r="F70" s="77">
        <v>56156069.920000002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0</v>
      </c>
      <c r="F73" s="77">
        <v>0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111136856.48</v>
      </c>
      <c r="F79" s="61">
        <f>F63+F68+F75</f>
        <v>108302558.94999999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117135767.72</v>
      </c>
      <c r="F81" s="61">
        <f>F59+F79</f>
        <v>113378177.76999998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disablePrompts="1"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5935328.6000000006</v>
      </c>
      <c r="Q4" s="18">
        <f>'Formato 1'!C9</f>
        <v>3499419.31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84999.66</v>
      </c>
      <c r="Q5" s="18">
        <f>'Formato 1'!C10</f>
        <v>84999.66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744115.83</v>
      </c>
      <c r="Q6" s="18">
        <f>'Formato 1'!C11</f>
        <v>981876.61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5106213.1100000003</v>
      </c>
      <c r="Q8" s="18">
        <f>'Formato 1'!C13</f>
        <v>2432543.04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41199.07</v>
      </c>
      <c r="Q12" s="18">
        <f>'Formato 1'!C17</f>
        <v>42436.639999999999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41199.07</v>
      </c>
      <c r="Q15" s="18">
        <f>'Formato 1'!C20</f>
        <v>42436.639999999999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ht="14.25" x14ac:dyDescent="0.4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ht="14.25" x14ac:dyDescent="0.4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867746.61</v>
      </c>
      <c r="Q26" s="18">
        <f>'Formato 1'!C31</f>
        <v>852087.53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867746.61</v>
      </c>
      <c r="Q27" s="18">
        <f>'Formato 1'!C32</f>
        <v>852087.53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0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914305.73</v>
      </c>
      <c r="Q32" s="18">
        <f>'Formato 1'!C37</f>
        <v>298683.88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914305.73</v>
      </c>
      <c r="Q33" s="18">
        <f>'Formato 1'!C37</f>
        <v>298683.88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7758580.0100000016</v>
      </c>
      <c r="Q42" s="18">
        <f>'Formato 1'!C47</f>
        <v>4692627.3600000003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84779417.629999995</v>
      </c>
      <c r="Q46">
        <f>'Formato 1'!C52</f>
        <v>84266939.780000001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31020557.300000001</v>
      </c>
      <c r="Q47">
        <f>'Formato 1'!C53</f>
        <v>30539797.710000001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0</v>
      </c>
      <c r="Q48">
        <f>'Formato 1'!C54</f>
        <v>0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-6422787.2199999997</v>
      </c>
      <c r="Q49">
        <f>'Formato 1'!C55</f>
        <v>-6121187.0800000001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109377187.70999999</v>
      </c>
      <c r="Q53">
        <f>'Formato 1'!C60</f>
        <v>108685550.41000001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117135767.72</v>
      </c>
      <c r="Q54">
        <f>'Formato 1'!C62</f>
        <v>113378177.77000001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4057865.5500000003</v>
      </c>
      <c r="Q57">
        <f>'Formato 1'!F9</f>
        <v>4127444.1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3891279.58</v>
      </c>
      <c r="Q59">
        <f>'Formato 1'!F11</f>
        <v>3778459.43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0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166585.97</v>
      </c>
      <c r="Q64">
        <f>'Formato 1'!F16</f>
        <v>348984.67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0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0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1941045.69</v>
      </c>
      <c r="Q87">
        <f>'Formato 1'!F38</f>
        <v>948174.72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1941045.69</v>
      </c>
      <c r="Q89">
        <f>'Formato 1'!F40</f>
        <v>948174.72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5998911.2400000002</v>
      </c>
      <c r="Q95">
        <f>'Formato 1'!F47</f>
        <v>5075618.82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5998911.2400000002</v>
      </c>
      <c r="Q104">
        <f>'Formato 1'!F59</f>
        <v>5075618.82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35773954.980000004</v>
      </c>
      <c r="Q106">
        <f>'Formato 1'!F63</f>
        <v>35726121.100000001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24344925.59</v>
      </c>
      <c r="Q109">
        <f>'Formato 1'!F66</f>
        <v>24297091.710000001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75362901.5</v>
      </c>
      <c r="Q110">
        <f>'Formato 1'!F68</f>
        <v>72576437.849999994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2786463.6499999985</v>
      </c>
      <c r="Q111">
        <f>'Formato 1'!F69</f>
        <v>16420367.929999992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72576437.849999994</v>
      </c>
      <c r="Q112">
        <f>'Formato 1'!F70</f>
        <v>56156069.920000002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0</v>
      </c>
      <c r="Q115">
        <f>'Formato 1'!F73</f>
        <v>0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111136856.48</v>
      </c>
      <c r="Q119">
        <f>'Formato 1'!F79</f>
        <v>108302558.94999999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117135767.72</v>
      </c>
      <c r="Q120">
        <f>'Formato 1'!F81</f>
        <v>113378177.76999998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I47"/>
  <sheetViews>
    <sheetView showGridLines="0" zoomScale="90" zoomScaleNormal="90" workbookViewId="0">
      <selection activeCell="D32" sqref="D32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68" t="s">
        <v>544</v>
      </c>
      <c r="B1" s="168"/>
      <c r="C1" s="168"/>
      <c r="D1" s="168"/>
      <c r="E1" s="168"/>
      <c r="F1" s="168"/>
      <c r="G1" s="168"/>
      <c r="H1" s="168"/>
    </row>
    <row r="2" spans="1:9" ht="14.25" x14ac:dyDescent="0.45">
      <c r="A2" s="154" t="str">
        <f>ENTE_PUBLICO_A</f>
        <v>ORGANISMO, Gobierno del Estado de Guanajuato (a)</v>
      </c>
      <c r="B2" s="155"/>
      <c r="C2" s="155"/>
      <c r="D2" s="155"/>
      <c r="E2" s="155"/>
      <c r="F2" s="155"/>
      <c r="G2" s="155"/>
      <c r="H2" s="156"/>
    </row>
    <row r="3" spans="1:9" x14ac:dyDescent="0.25">
      <c r="A3" s="157" t="s">
        <v>120</v>
      </c>
      <c r="B3" s="158"/>
      <c r="C3" s="158"/>
      <c r="D3" s="158"/>
      <c r="E3" s="158"/>
      <c r="F3" s="158"/>
      <c r="G3" s="158"/>
      <c r="H3" s="159"/>
    </row>
    <row r="4" spans="1:9" ht="14.25" x14ac:dyDescent="0.45">
      <c r="A4" s="160" t="str">
        <f>PERIODO_INFORME</f>
        <v>Al 31 de diciembre de 2018 y al 30 de junio de 2019 (b)</v>
      </c>
      <c r="B4" s="161"/>
      <c r="C4" s="161"/>
      <c r="D4" s="161"/>
      <c r="E4" s="161"/>
      <c r="F4" s="161"/>
      <c r="G4" s="161"/>
      <c r="H4" s="162"/>
    </row>
    <row r="5" spans="1:9" ht="14.25" x14ac:dyDescent="0.45">
      <c r="A5" s="163" t="s">
        <v>118</v>
      </c>
      <c r="B5" s="164"/>
      <c r="C5" s="164"/>
      <c r="D5" s="164"/>
      <c r="E5" s="164"/>
      <c r="F5" s="164"/>
      <c r="G5" s="164"/>
      <c r="H5" s="165"/>
    </row>
    <row r="6" spans="1:9" ht="45" x14ac:dyDescent="0.25">
      <c r="A6" s="104" t="s">
        <v>121</v>
      </c>
      <c r="B6" s="105" t="str">
        <f>ULTIMO_SALDO</f>
        <v>Saldo al 31 de diciembre de 2018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</row>
    <row r="12" spans="1:9" ht="14.25" x14ac:dyDescent="0.4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</row>
    <row r="17" spans="1:8" ht="14.25" x14ac:dyDescent="0.45">
      <c r="A17" s="54"/>
      <c r="B17" s="12"/>
      <c r="C17" s="12"/>
      <c r="D17" s="12"/>
      <c r="E17" s="12"/>
      <c r="F17" s="12"/>
      <c r="G17" s="12"/>
      <c r="H17" s="12"/>
    </row>
    <row r="18" spans="1:8" x14ac:dyDescent="0.25">
      <c r="A18" s="106" t="s">
        <v>136</v>
      </c>
      <c r="B18" s="61">
        <v>5075618.82</v>
      </c>
      <c r="C18" s="132"/>
      <c r="D18" s="132"/>
      <c r="E18" s="132"/>
      <c r="F18" s="61">
        <v>5998911.2400000002</v>
      </c>
      <c r="G18" s="132"/>
      <c r="H18" s="132"/>
    </row>
    <row r="19" spans="1:8" ht="14.25" x14ac:dyDescent="0.4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f>B8+B18</f>
        <v>5075618.82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f t="shared" si="3"/>
        <v>5998911.2400000002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5.75" x14ac:dyDescent="0.45">
      <c r="A22" s="106" t="s">
        <v>3297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ht="14.25" x14ac:dyDescent="0.4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</row>
    <row r="24" spans="1:8" s="24" customFormat="1" ht="14.25" x14ac:dyDescent="0.4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</row>
    <row r="25" spans="1:8" s="24" customFormat="1" ht="14.25" x14ac:dyDescent="0.4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</row>
    <row r="26" spans="1:8" ht="14.25" x14ac:dyDescent="0.4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3298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</row>
    <row r="31" spans="1:8" ht="14.25" x14ac:dyDescent="0.4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67" t="s">
        <v>3301</v>
      </c>
      <c r="B33" s="167"/>
      <c r="C33" s="167"/>
      <c r="D33" s="167"/>
      <c r="E33" s="167"/>
      <c r="F33" s="167"/>
      <c r="G33" s="167"/>
      <c r="H33" s="167"/>
    </row>
    <row r="34" spans="1:8" ht="12" customHeight="1" x14ac:dyDescent="0.25">
      <c r="A34" s="167"/>
      <c r="B34" s="167"/>
      <c r="C34" s="167"/>
      <c r="D34" s="167"/>
      <c r="E34" s="167"/>
      <c r="F34" s="167"/>
      <c r="G34" s="167"/>
      <c r="H34" s="167"/>
    </row>
    <row r="35" spans="1:8" ht="12" customHeight="1" x14ac:dyDescent="0.25">
      <c r="A35" s="167"/>
      <c r="B35" s="167"/>
      <c r="C35" s="167"/>
      <c r="D35" s="167"/>
      <c r="E35" s="167"/>
      <c r="F35" s="167"/>
      <c r="G35" s="167"/>
      <c r="H35" s="167"/>
    </row>
    <row r="36" spans="1:8" ht="12" customHeight="1" x14ac:dyDescent="0.25">
      <c r="A36" s="167"/>
      <c r="B36" s="167"/>
      <c r="C36" s="167"/>
      <c r="D36" s="167"/>
      <c r="E36" s="167"/>
      <c r="F36" s="167"/>
      <c r="G36" s="167"/>
      <c r="H36" s="167"/>
    </row>
    <row r="37" spans="1:8" ht="12" customHeight="1" x14ac:dyDescent="0.25">
      <c r="A37" s="167"/>
      <c r="B37" s="167"/>
      <c r="C37" s="167"/>
      <c r="D37" s="167"/>
      <c r="E37" s="167"/>
      <c r="F37" s="167"/>
      <c r="G37" s="167"/>
      <c r="H37" s="167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5075618.82</v>
      </c>
      <c r="Q12" s="18"/>
      <c r="R12" s="18"/>
      <c r="S12" s="18"/>
      <c r="T12" s="18">
        <f>'Formato 2'!F18</f>
        <v>5998911.2400000002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5075618.82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5998911.2400000002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zoomScale="90" zoomScaleNormal="90" workbookViewId="0">
      <selection activeCell="A7" sqref="A7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66" t="s">
        <v>543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11"/>
    </row>
    <row r="2" spans="1:12" ht="14.25" x14ac:dyDescent="0.45">
      <c r="A2" s="154" t="str">
        <f>ENTE_PUBLICO_A</f>
        <v>ORGANISMO, Gobierno del Estado de Guanajuato (a)</v>
      </c>
      <c r="B2" s="155"/>
      <c r="C2" s="155"/>
      <c r="D2" s="155"/>
      <c r="E2" s="155"/>
      <c r="F2" s="155"/>
      <c r="G2" s="155"/>
      <c r="H2" s="155"/>
      <c r="I2" s="155"/>
      <c r="J2" s="155"/>
      <c r="K2" s="156"/>
    </row>
    <row r="3" spans="1:12" x14ac:dyDescent="0.25">
      <c r="A3" s="157" t="s">
        <v>146</v>
      </c>
      <c r="B3" s="158"/>
      <c r="C3" s="158"/>
      <c r="D3" s="158"/>
      <c r="E3" s="158"/>
      <c r="F3" s="158"/>
      <c r="G3" s="158"/>
      <c r="H3" s="158"/>
      <c r="I3" s="158"/>
      <c r="J3" s="158"/>
      <c r="K3" s="159"/>
    </row>
    <row r="4" spans="1:12" ht="14.25" x14ac:dyDescent="0.45">
      <c r="A4" s="160" t="str">
        <f>TRIMESTRE</f>
        <v>Del 1 de enero al 30 de junio de 2019 (b)</v>
      </c>
      <c r="B4" s="161"/>
      <c r="C4" s="161"/>
      <c r="D4" s="161"/>
      <c r="E4" s="161"/>
      <c r="F4" s="161"/>
      <c r="G4" s="161"/>
      <c r="H4" s="161"/>
      <c r="I4" s="161"/>
      <c r="J4" s="161"/>
      <c r="K4" s="162"/>
    </row>
    <row r="5" spans="1:12" ht="14.25" x14ac:dyDescent="0.45">
      <c r="A5" s="157" t="s">
        <v>118</v>
      </c>
      <c r="B5" s="158"/>
      <c r="C5" s="158"/>
      <c r="D5" s="158"/>
      <c r="E5" s="158"/>
      <c r="F5" s="158"/>
      <c r="G5" s="158"/>
      <c r="H5" s="158"/>
      <c r="I5" s="158"/>
      <c r="J5" s="158"/>
      <c r="K5" s="159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30 de junio de 2019 (k)</v>
      </c>
      <c r="J6" s="131" t="str">
        <f>MONTO2</f>
        <v>Monto pagado de la inversión actualizado al 30 de junio de 2019 (l)</v>
      </c>
      <c r="K6" s="131" t="str">
        <f>SALDO_PENDIENTE</f>
        <v>Saldo pendiente por pagar de la inversión al 30 de junio de 2019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ht="14.25" x14ac:dyDescent="0.4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ht="14.25" x14ac:dyDescent="0.4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2019-07-23T19:45:51Z</cp:lastPrinted>
  <dcterms:created xsi:type="dcterms:W3CDTF">2017-01-19T17:59:06Z</dcterms:created>
  <dcterms:modified xsi:type="dcterms:W3CDTF">2019-07-23T19:46:08Z</dcterms:modified>
</cp:coreProperties>
</file>