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51196F13-6AD0-C1B8-E2B4-A1F9AE17003E}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 activeTab="29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7" l="1"/>
  <c r="C21" i="4"/>
  <c r="B60" i="1"/>
  <c r="G60" i="6" l="1"/>
  <c r="B58" i="6"/>
  <c r="C58" i="6"/>
  <c r="D58" i="6"/>
  <c r="E58" i="6"/>
  <c r="F58" i="6"/>
  <c r="B48" i="6"/>
  <c r="C48" i="6"/>
  <c r="D48" i="6"/>
  <c r="E48" i="6"/>
  <c r="F48" i="6"/>
  <c r="G37" i="6"/>
  <c r="G36" i="6"/>
  <c r="G35" i="6"/>
  <c r="G34" i="6"/>
  <c r="G33" i="6"/>
  <c r="G32" i="6"/>
  <c r="G31" i="6"/>
  <c r="G30" i="6"/>
  <c r="G29" i="6"/>
  <c r="G10" i="6"/>
  <c r="G27" i="6"/>
  <c r="G26" i="6"/>
  <c r="G25" i="6"/>
  <c r="G24" i="6"/>
  <c r="G23" i="6"/>
  <c r="G22" i="6"/>
  <c r="G21" i="6"/>
  <c r="G20" i="6"/>
  <c r="G19" i="6"/>
  <c r="G16" i="6"/>
  <c r="G15" i="6"/>
  <c r="G14" i="6"/>
  <c r="G13" i="6"/>
  <c r="G12" i="6"/>
  <c r="G11" i="6"/>
  <c r="B10" i="6"/>
  <c r="C10" i="6"/>
  <c r="D10" i="6"/>
  <c r="E10" i="6"/>
  <c r="F10" i="6"/>
  <c r="G34" i="5"/>
  <c r="G15" i="5"/>
  <c r="D34" i="5"/>
  <c r="B41" i="5"/>
  <c r="G13" i="5"/>
  <c r="D13" i="5"/>
  <c r="D15" i="5"/>
  <c r="G10" i="7" l="1"/>
  <c r="G11" i="7"/>
  <c r="G12" i="7"/>
  <c r="G13" i="7"/>
  <c r="G14" i="7"/>
  <c r="G15" i="7"/>
  <c r="G16" i="7"/>
  <c r="G17" i="7"/>
  <c r="F42" i="1" l="1"/>
  <c r="F63" i="1"/>
  <c r="C137" i="6" l="1"/>
  <c r="D137" i="6"/>
  <c r="E137" i="6"/>
  <c r="F137" i="6"/>
  <c r="T129" i="24" s="1"/>
  <c r="B137" i="6"/>
  <c r="C62" i="6"/>
  <c r="Q55" i="24" s="1"/>
  <c r="D62" i="6"/>
  <c r="R55" i="24" s="1"/>
  <c r="E62" i="6"/>
  <c r="S55" i="24" s="1"/>
  <c r="F62" i="6"/>
  <c r="B62" i="6"/>
  <c r="B8" i="10"/>
  <c r="C6" i="23"/>
  <c r="C7" i="23" s="1"/>
  <c r="A2" i="8" s="1"/>
  <c r="B9" i="1"/>
  <c r="H25" i="23"/>
  <c r="G25" i="23"/>
  <c r="F25" i="23"/>
  <c r="E25" i="23"/>
  <c r="D25" i="23"/>
  <c r="G30" i="9"/>
  <c r="G28" i="9" s="1"/>
  <c r="U20" i="27" s="1"/>
  <c r="G31" i="9"/>
  <c r="U23" i="27" s="1"/>
  <c r="G29" i="9"/>
  <c r="G26" i="9"/>
  <c r="G27" i="9"/>
  <c r="G25" i="9"/>
  <c r="G23" i="9"/>
  <c r="G22" i="9"/>
  <c r="G19" i="9"/>
  <c r="G18" i="9"/>
  <c r="G17" i="9"/>
  <c r="G14" i="9"/>
  <c r="G15" i="9"/>
  <c r="G13" i="9"/>
  <c r="G11" i="9"/>
  <c r="G10" i="9"/>
  <c r="G73" i="8"/>
  <c r="G74" i="8"/>
  <c r="U66" i="26" s="1"/>
  <c r="G75" i="8"/>
  <c r="G72" i="8"/>
  <c r="G63" i="8"/>
  <c r="U55" i="26" s="1"/>
  <c r="G64" i="8"/>
  <c r="U56" i="26" s="1"/>
  <c r="G65" i="8"/>
  <c r="G66" i="8"/>
  <c r="G67" i="8"/>
  <c r="G68" i="8"/>
  <c r="U60" i="26" s="1"/>
  <c r="G69" i="8"/>
  <c r="G70" i="8"/>
  <c r="G62" i="8"/>
  <c r="G55" i="8"/>
  <c r="G56" i="8"/>
  <c r="G57" i="8"/>
  <c r="G58" i="8"/>
  <c r="G59" i="8"/>
  <c r="U51" i="26" s="1"/>
  <c r="G60" i="8"/>
  <c r="G54" i="8"/>
  <c r="G46" i="8"/>
  <c r="G47" i="8"/>
  <c r="G48" i="8"/>
  <c r="G49" i="8"/>
  <c r="G50" i="8"/>
  <c r="G51" i="8"/>
  <c r="U43" i="26" s="1"/>
  <c r="G52" i="8"/>
  <c r="G45" i="8"/>
  <c r="G39" i="8"/>
  <c r="U32" i="26" s="1"/>
  <c r="G40" i="8"/>
  <c r="G37" i="8" s="1"/>
  <c r="U30" i="26" s="1"/>
  <c r="G41" i="8"/>
  <c r="G38" i="8"/>
  <c r="G11" i="8"/>
  <c r="U4" i="26" s="1"/>
  <c r="G12" i="8"/>
  <c r="U5" i="26" s="1"/>
  <c r="G13" i="8"/>
  <c r="G14" i="8"/>
  <c r="G15" i="8"/>
  <c r="U8" i="26" s="1"/>
  <c r="G16" i="8"/>
  <c r="U9" i="26" s="1"/>
  <c r="G17" i="8"/>
  <c r="G18" i="8"/>
  <c r="G21" i="8"/>
  <c r="G22" i="8"/>
  <c r="G23" i="8"/>
  <c r="G24" i="8"/>
  <c r="U17" i="26" s="1"/>
  <c r="G25" i="8"/>
  <c r="G26" i="8"/>
  <c r="U19" i="26" s="1"/>
  <c r="G28" i="8"/>
  <c r="G29" i="8"/>
  <c r="G30" i="8"/>
  <c r="G31" i="8"/>
  <c r="U24" i="26" s="1"/>
  <c r="G32" i="8"/>
  <c r="G33" i="8"/>
  <c r="G34" i="8"/>
  <c r="G35" i="8"/>
  <c r="U28" i="26" s="1"/>
  <c r="G36" i="8"/>
  <c r="G21" i="7"/>
  <c r="G22" i="7"/>
  <c r="G23" i="7"/>
  <c r="G24" i="7"/>
  <c r="G25" i="7"/>
  <c r="G26" i="7"/>
  <c r="G27" i="7"/>
  <c r="G20" i="7"/>
  <c r="P3" i="24"/>
  <c r="B18" i="6"/>
  <c r="P11" i="24" s="1"/>
  <c r="B28" i="6"/>
  <c r="P21" i="24" s="1"/>
  <c r="B38" i="6"/>
  <c r="P41" i="24"/>
  <c r="P51" i="24"/>
  <c r="B71" i="6"/>
  <c r="B75" i="6"/>
  <c r="G152" i="6"/>
  <c r="G153" i="6"/>
  <c r="U145" i="24" s="1"/>
  <c r="G154" i="6"/>
  <c r="G155" i="6"/>
  <c r="U147" i="24" s="1"/>
  <c r="G156" i="6"/>
  <c r="U148" i="24" s="1"/>
  <c r="G157" i="6"/>
  <c r="U149" i="24" s="1"/>
  <c r="G151" i="6"/>
  <c r="G148" i="6"/>
  <c r="G149" i="6"/>
  <c r="G147" i="6"/>
  <c r="U139" i="24" s="1"/>
  <c r="G139" i="6"/>
  <c r="G140" i="6"/>
  <c r="G141" i="6"/>
  <c r="U133" i="24" s="1"/>
  <c r="G142" i="6"/>
  <c r="U134" i="24" s="1"/>
  <c r="G143" i="6"/>
  <c r="G144" i="6"/>
  <c r="G145" i="6"/>
  <c r="U137" i="24" s="1"/>
  <c r="G138" i="6"/>
  <c r="U130" i="24" s="1"/>
  <c r="G135" i="6"/>
  <c r="G136" i="6"/>
  <c r="G134" i="6"/>
  <c r="G125" i="6"/>
  <c r="U117" i="24" s="1"/>
  <c r="G126" i="6"/>
  <c r="G127" i="6"/>
  <c r="G128" i="6"/>
  <c r="G129" i="6"/>
  <c r="U121" i="24" s="1"/>
  <c r="G130" i="6"/>
  <c r="G131" i="6"/>
  <c r="G132" i="6"/>
  <c r="U124" i="24" s="1"/>
  <c r="G124" i="6"/>
  <c r="U116" i="24" s="1"/>
  <c r="G115" i="6"/>
  <c r="G116" i="6"/>
  <c r="G117" i="6"/>
  <c r="G118" i="6"/>
  <c r="G119" i="6"/>
  <c r="G120" i="6"/>
  <c r="G121" i="6"/>
  <c r="G122" i="6"/>
  <c r="G114" i="6"/>
  <c r="G105" i="6"/>
  <c r="G106" i="6"/>
  <c r="U98" i="24" s="1"/>
  <c r="G107" i="6"/>
  <c r="U99" i="24" s="1"/>
  <c r="G108" i="6"/>
  <c r="G109" i="6"/>
  <c r="G110" i="6"/>
  <c r="U102" i="24" s="1"/>
  <c r="G111" i="6"/>
  <c r="G112" i="6"/>
  <c r="G104" i="6"/>
  <c r="G95" i="6"/>
  <c r="U87" i="24" s="1"/>
  <c r="G96" i="6"/>
  <c r="U88" i="24" s="1"/>
  <c r="G97" i="6"/>
  <c r="G98" i="6"/>
  <c r="G99" i="6"/>
  <c r="U91" i="24" s="1"/>
  <c r="G100" i="6"/>
  <c r="U92" i="24" s="1"/>
  <c r="G101" i="6"/>
  <c r="G102" i="6"/>
  <c r="G94" i="6"/>
  <c r="G87" i="6"/>
  <c r="G88" i="6"/>
  <c r="G89" i="6"/>
  <c r="G90" i="6"/>
  <c r="G91" i="6"/>
  <c r="U83" i="24" s="1"/>
  <c r="G92" i="6"/>
  <c r="G86" i="6"/>
  <c r="G77" i="6"/>
  <c r="G78" i="6"/>
  <c r="U71" i="24" s="1"/>
  <c r="G79" i="6"/>
  <c r="G80" i="6"/>
  <c r="G81" i="6"/>
  <c r="U74" i="24" s="1"/>
  <c r="G82" i="6"/>
  <c r="U75" i="24" s="1"/>
  <c r="G76" i="6"/>
  <c r="G73" i="6"/>
  <c r="G74" i="6"/>
  <c r="G72" i="6"/>
  <c r="U65" i="24" s="1"/>
  <c r="G64" i="6"/>
  <c r="G65" i="6"/>
  <c r="G66" i="6"/>
  <c r="U59" i="24" s="1"/>
  <c r="G67" i="6"/>
  <c r="G68" i="6"/>
  <c r="G69" i="6"/>
  <c r="G70" i="6"/>
  <c r="U63" i="24" s="1"/>
  <c r="G63" i="6"/>
  <c r="U56" i="24" s="1"/>
  <c r="U53" i="24"/>
  <c r="G61" i="6"/>
  <c r="U54" i="24" s="1"/>
  <c r="G59" i="6"/>
  <c r="G50" i="6"/>
  <c r="U43" i="24" s="1"/>
  <c r="G51" i="6"/>
  <c r="G52" i="6"/>
  <c r="G53" i="6"/>
  <c r="G54" i="6"/>
  <c r="U47" i="24" s="1"/>
  <c r="G55" i="6"/>
  <c r="U48" i="24" s="1"/>
  <c r="G56" i="6"/>
  <c r="U49" i="24" s="1"/>
  <c r="G57" i="6"/>
  <c r="U50" i="24" s="1"/>
  <c r="G49" i="6"/>
  <c r="U42" i="24" s="1"/>
  <c r="G40" i="6"/>
  <c r="G41" i="6"/>
  <c r="G42" i="6"/>
  <c r="U35" i="24" s="1"/>
  <c r="G43" i="6"/>
  <c r="U36" i="24" s="1"/>
  <c r="G44" i="6"/>
  <c r="G45" i="6"/>
  <c r="G46" i="6"/>
  <c r="U39" i="24" s="1"/>
  <c r="G47" i="6"/>
  <c r="U40" i="24" s="1"/>
  <c r="G39" i="6"/>
  <c r="U25" i="24"/>
  <c r="U28" i="24"/>
  <c r="U29" i="24"/>
  <c r="U13" i="24"/>
  <c r="U14" i="24"/>
  <c r="U17" i="24"/>
  <c r="U18" i="24"/>
  <c r="U12" i="24"/>
  <c r="U4" i="24"/>
  <c r="B7" i="13"/>
  <c r="U6" i="24"/>
  <c r="U7" i="24"/>
  <c r="U8" i="24"/>
  <c r="U9" i="24"/>
  <c r="G17" i="6"/>
  <c r="G9" i="5"/>
  <c r="G10" i="5"/>
  <c r="G11" i="5"/>
  <c r="G12" i="5"/>
  <c r="U6" i="20" s="1"/>
  <c r="G14" i="5"/>
  <c r="U9" i="20"/>
  <c r="G17" i="5"/>
  <c r="U11" i="20" s="1"/>
  <c r="G18" i="5"/>
  <c r="G19" i="5"/>
  <c r="G20" i="5"/>
  <c r="U14" i="20" s="1"/>
  <c r="G21" i="5"/>
  <c r="U15" i="20" s="1"/>
  <c r="G22" i="5"/>
  <c r="G23" i="5"/>
  <c r="G24" i="5"/>
  <c r="U18" i="20" s="1"/>
  <c r="G25" i="5"/>
  <c r="U19" i="20" s="1"/>
  <c r="G26" i="5"/>
  <c r="G27" i="5"/>
  <c r="G29" i="5"/>
  <c r="G30" i="5"/>
  <c r="U24" i="20" s="1"/>
  <c r="G31" i="5"/>
  <c r="G32" i="5"/>
  <c r="G33" i="5"/>
  <c r="G36" i="5"/>
  <c r="G35" i="5" s="1"/>
  <c r="G38" i="5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B29" i="13" s="1"/>
  <c r="P22" i="31" s="1"/>
  <c r="P12" i="31"/>
  <c r="C18" i="13"/>
  <c r="Q12" i="31"/>
  <c r="D18" i="13"/>
  <c r="R12" i="31"/>
  <c r="E18" i="13"/>
  <c r="S12" i="31"/>
  <c r="F18" i="13"/>
  <c r="T12" i="3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C29" i="13"/>
  <c r="Q22" i="31" s="1"/>
  <c r="D7" i="13"/>
  <c r="E7" i="13"/>
  <c r="E29" i="13"/>
  <c r="S22" i="31" s="1"/>
  <c r="F7" i="13"/>
  <c r="F29" i="13" s="1"/>
  <c r="T22" i="31" s="1"/>
  <c r="G7" i="13"/>
  <c r="G29" i="13"/>
  <c r="U22" i="31" s="1"/>
  <c r="U2" i="31"/>
  <c r="Q2" i="3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/>
  <c r="E21" i="12"/>
  <c r="S15" i="30"/>
  <c r="F21" i="12"/>
  <c r="T15" i="30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/>
  <c r="D28" i="12"/>
  <c r="R21" i="30"/>
  <c r="E28" i="12"/>
  <c r="S21" i="30"/>
  <c r="F28" i="12"/>
  <c r="T21" i="30"/>
  <c r="G28" i="12"/>
  <c r="U21" i="30"/>
  <c r="P22" i="30"/>
  <c r="Q22" i="30"/>
  <c r="R22" i="30"/>
  <c r="S22" i="30"/>
  <c r="T22" i="30"/>
  <c r="U22" i="30"/>
  <c r="B7" i="12"/>
  <c r="B31" i="12"/>
  <c r="P23" i="30" s="1"/>
  <c r="C7" i="12"/>
  <c r="C31" i="12" s="1"/>
  <c r="Q23" i="30" s="1"/>
  <c r="D7" i="12"/>
  <c r="D31" i="12"/>
  <c r="R23" i="30" s="1"/>
  <c r="E7" i="12"/>
  <c r="F7" i="12"/>
  <c r="F31" i="12"/>
  <c r="T23" i="30" s="1"/>
  <c r="G7" i="12"/>
  <c r="G31" i="12" s="1"/>
  <c r="U23" i="30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R2" i="30"/>
  <c r="T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/>
  <c r="D19" i="11"/>
  <c r="R12" i="29"/>
  <c r="E19" i="11"/>
  <c r="S12" i="29"/>
  <c r="F19" i="11"/>
  <c r="T12" i="29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/>
  <c r="P22" i="29" s="1"/>
  <c r="C8" i="11"/>
  <c r="C30" i="11" s="1"/>
  <c r="Q22" i="29"/>
  <c r="D8" i="11"/>
  <c r="D30" i="11"/>
  <c r="R22" i="29" s="1"/>
  <c r="E8" i="11"/>
  <c r="F8" i="11"/>
  <c r="F30" i="11"/>
  <c r="T22" i="29" s="1"/>
  <c r="G8" i="11"/>
  <c r="G30" i="11" s="1"/>
  <c r="U22" i="29" s="1"/>
  <c r="R2" i="29"/>
  <c r="T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/>
  <c r="D8" i="10"/>
  <c r="R2" i="28"/>
  <c r="E8" i="10"/>
  <c r="S2" i="28"/>
  <c r="F8" i="10"/>
  <c r="T2" i="28"/>
  <c r="G8" i="10"/>
  <c r="U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 s="1"/>
  <c r="D22" i="10"/>
  <c r="R15" i="28"/>
  <c r="E22" i="10"/>
  <c r="S15" i="28" s="1"/>
  <c r="F22" i="10"/>
  <c r="T15" i="28"/>
  <c r="G22" i="10"/>
  <c r="U15" i="28" s="1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C32" i="10" s="1"/>
  <c r="Q23" i="28" s="1"/>
  <c r="Q21" i="28"/>
  <c r="D29" i="10"/>
  <c r="R21" i="28"/>
  <c r="E29" i="10"/>
  <c r="E32" i="10" s="1"/>
  <c r="S23" i="28" s="1"/>
  <c r="S21" i="28"/>
  <c r="F29" i="10"/>
  <c r="T21" i="28"/>
  <c r="G29" i="10"/>
  <c r="U21" i="28"/>
  <c r="Q22" i="28"/>
  <c r="R22" i="28"/>
  <c r="S22" i="28"/>
  <c r="T22" i="28"/>
  <c r="U22" i="28"/>
  <c r="D32" i="10"/>
  <c r="R23" i="28" s="1"/>
  <c r="F32" i="10"/>
  <c r="T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 s="1"/>
  <c r="E37" i="10"/>
  <c r="S27" i="28"/>
  <c r="F37" i="10"/>
  <c r="T27" i="28" s="1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 s="1"/>
  <c r="P16" i="28"/>
  <c r="P17" i="28"/>
  <c r="P18" i="28"/>
  <c r="P19" i="28"/>
  <c r="P20" i="28"/>
  <c r="B29" i="10"/>
  <c r="B32" i="10" s="1"/>
  <c r="P23" i="28" s="1"/>
  <c r="P21" i="28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E9" i="9" s="1"/>
  <c r="S2" i="27" s="1"/>
  <c r="E16" i="9"/>
  <c r="F12" i="9"/>
  <c r="F16" i="9"/>
  <c r="Q3" i="27"/>
  <c r="R3" i="27"/>
  <c r="S3" i="27"/>
  <c r="T3" i="27"/>
  <c r="U3" i="27"/>
  <c r="Q4" i="27"/>
  <c r="R4" i="27"/>
  <c r="S4" i="27"/>
  <c r="T4" i="27"/>
  <c r="U4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9" i="27"/>
  <c r="R9" i="27"/>
  <c r="S9" i="27"/>
  <c r="T9" i="27"/>
  <c r="Q10" i="27"/>
  <c r="R10" i="27"/>
  <c r="S10" i="27"/>
  <c r="T10" i="27"/>
  <c r="U10" i="27"/>
  <c r="Q11" i="27"/>
  <c r="R11" i="27"/>
  <c r="S11" i="27"/>
  <c r="T11" i="27"/>
  <c r="Q12" i="27"/>
  <c r="R12" i="27"/>
  <c r="S12" i="27"/>
  <c r="T12" i="27"/>
  <c r="U12" i="27"/>
  <c r="C24" i="9"/>
  <c r="C28" i="9"/>
  <c r="C21" i="9"/>
  <c r="Q13" i="27" s="1"/>
  <c r="D24" i="9"/>
  <c r="R16" i="27" s="1"/>
  <c r="D28" i="9"/>
  <c r="R20" i="27" s="1"/>
  <c r="D21" i="9"/>
  <c r="E24" i="9"/>
  <c r="E21" i="9" s="1"/>
  <c r="S13" i="27" s="1"/>
  <c r="E28" i="9"/>
  <c r="F24" i="9"/>
  <c r="F28" i="9"/>
  <c r="T20" i="27" s="1"/>
  <c r="F21" i="9"/>
  <c r="Q14" i="27"/>
  <c r="R14" i="27"/>
  <c r="S14" i="27"/>
  <c r="T14" i="27"/>
  <c r="U14" i="27"/>
  <c r="Q15" i="27"/>
  <c r="R15" i="27"/>
  <c r="S15" i="27"/>
  <c r="T15" i="27"/>
  <c r="U15" i="27"/>
  <c r="Q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Q20" i="27"/>
  <c r="S20" i="27"/>
  <c r="Q21" i="27"/>
  <c r="R21" i="27"/>
  <c r="S21" i="27"/>
  <c r="T21" i="27"/>
  <c r="U21" i="27"/>
  <c r="Q22" i="27"/>
  <c r="R22" i="27"/>
  <c r="S22" i="27"/>
  <c r="T22" i="27"/>
  <c r="Q23" i="27"/>
  <c r="R23" i="27"/>
  <c r="S23" i="27"/>
  <c r="T23" i="27"/>
  <c r="P3" i="27"/>
  <c r="P4" i="27"/>
  <c r="B12" i="9"/>
  <c r="P6" i="27"/>
  <c r="P7" i="27"/>
  <c r="P8" i="27"/>
  <c r="B16" i="9"/>
  <c r="P9" i="27" s="1"/>
  <c r="P10" i="27"/>
  <c r="P11" i="27"/>
  <c r="P12" i="27"/>
  <c r="B24" i="9"/>
  <c r="P16" i="27" s="1"/>
  <c r="B28" i="9"/>
  <c r="B21" i="9" s="1"/>
  <c r="P14" i="27"/>
  <c r="P15" i="27"/>
  <c r="P17" i="27"/>
  <c r="P18" i="27"/>
  <c r="P19" i="27"/>
  <c r="P20" i="27"/>
  <c r="P21" i="27"/>
  <c r="P22" i="27"/>
  <c r="P23" i="27"/>
  <c r="A5" i="27"/>
  <c r="A4" i="27"/>
  <c r="A3" i="27"/>
  <c r="A2" i="27"/>
  <c r="C10" i="8"/>
  <c r="Q3" i="26" s="1"/>
  <c r="C19" i="8"/>
  <c r="C27" i="8"/>
  <c r="C37" i="8"/>
  <c r="Q30" i="26" s="1"/>
  <c r="D10" i="8"/>
  <c r="D19" i="8"/>
  <c r="R12" i="26" s="1"/>
  <c r="D27" i="8"/>
  <c r="D37" i="8"/>
  <c r="R30" i="26" s="1"/>
  <c r="E10" i="8"/>
  <c r="S3" i="26" s="1"/>
  <c r="E19" i="8"/>
  <c r="E27" i="8"/>
  <c r="S20" i="26" s="1"/>
  <c r="E37" i="8"/>
  <c r="S30" i="26" s="1"/>
  <c r="F10" i="8"/>
  <c r="T3" i="26" s="1"/>
  <c r="F19" i="8"/>
  <c r="T12" i="26" s="1"/>
  <c r="F27" i="8"/>
  <c r="F37" i="8"/>
  <c r="T30" i="26" s="1"/>
  <c r="R3" i="26"/>
  <c r="Q4" i="26"/>
  <c r="R4" i="26"/>
  <c r="S4" i="26"/>
  <c r="T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2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Q18" i="26"/>
  <c r="R18" i="26"/>
  <c r="S18" i="26"/>
  <c r="T18" i="26"/>
  <c r="U18" i="26"/>
  <c r="Q19" i="26"/>
  <c r="R19" i="26"/>
  <c r="S19" i="26"/>
  <c r="T19" i="26"/>
  <c r="Q20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U29" i="26"/>
  <c r="Q31" i="26"/>
  <c r="R31" i="26"/>
  <c r="S31" i="26"/>
  <c r="T31" i="26"/>
  <c r="U31" i="26"/>
  <c r="Q32" i="26"/>
  <c r="R32" i="26"/>
  <c r="S32" i="26"/>
  <c r="T32" i="26"/>
  <c r="Q33" i="26"/>
  <c r="R33" i="26"/>
  <c r="S33" i="26"/>
  <c r="T33" i="26"/>
  <c r="Q34" i="26"/>
  <c r="R34" i="26"/>
  <c r="S34" i="26"/>
  <c r="T34" i="26"/>
  <c r="U34" i="26"/>
  <c r="C44" i="8"/>
  <c r="Q36" i="26" s="1"/>
  <c r="C53" i="8"/>
  <c r="C61" i="8"/>
  <c r="C71" i="8"/>
  <c r="D44" i="8"/>
  <c r="R36" i="26" s="1"/>
  <c r="D53" i="8"/>
  <c r="R45" i="26" s="1"/>
  <c r="D61" i="8"/>
  <c r="R53" i="26" s="1"/>
  <c r="D71" i="8"/>
  <c r="E44" i="8"/>
  <c r="S36" i="26" s="1"/>
  <c r="E53" i="8"/>
  <c r="E61" i="8"/>
  <c r="E71" i="8"/>
  <c r="F44" i="8"/>
  <c r="T36" i="26" s="1"/>
  <c r="F53" i="8"/>
  <c r="F61" i="8"/>
  <c r="T53" i="26" s="1"/>
  <c r="F71" i="8"/>
  <c r="T63" i="26" s="1"/>
  <c r="F43" i="8"/>
  <c r="G61" i="8"/>
  <c r="U53" i="26" s="1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5" i="26"/>
  <c r="S45" i="26"/>
  <c r="T45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4" i="26"/>
  <c r="R54" i="26"/>
  <c r="S54" i="26"/>
  <c r="T54" i="26"/>
  <c r="U54" i="26"/>
  <c r="Q55" i="26"/>
  <c r="R55" i="26"/>
  <c r="S55" i="26"/>
  <c r="T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Q67" i="26"/>
  <c r="R67" i="26"/>
  <c r="S67" i="26"/>
  <c r="T67" i="26"/>
  <c r="B44" i="8"/>
  <c r="B53" i="8"/>
  <c r="B61" i="8"/>
  <c r="P53" i="26" s="1"/>
  <c r="B71" i="8"/>
  <c r="P63" i="26" s="1"/>
  <c r="B10" i="8"/>
  <c r="B19" i="8"/>
  <c r="P12" i="26" s="1"/>
  <c r="B27" i="8"/>
  <c r="B37" i="8"/>
  <c r="P30" i="26" s="1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E19" i="7"/>
  <c r="S3" i="25" s="1"/>
  <c r="D9" i="7"/>
  <c r="R2" i="25" s="1"/>
  <c r="D19" i="7"/>
  <c r="C9" i="7"/>
  <c r="C19" i="7"/>
  <c r="Q3" i="25" s="1"/>
  <c r="B29" i="7"/>
  <c r="P4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Q138" i="24" s="1"/>
  <c r="C150" i="6"/>
  <c r="D85" i="6"/>
  <c r="R77" i="24" s="1"/>
  <c r="D93" i="6"/>
  <c r="D84" i="6" s="1"/>
  <c r="R76" i="24" s="1"/>
  <c r="D103" i="6"/>
  <c r="D113" i="6"/>
  <c r="D123" i="6"/>
  <c r="R115" i="24" s="1"/>
  <c r="D133" i="6"/>
  <c r="R125" i="24" s="1"/>
  <c r="D146" i="6"/>
  <c r="D150" i="6"/>
  <c r="E85" i="6"/>
  <c r="S77" i="24" s="1"/>
  <c r="E93" i="6"/>
  <c r="E103" i="6"/>
  <c r="E113" i="6"/>
  <c r="S105" i="24" s="1"/>
  <c r="E123" i="6"/>
  <c r="S115" i="24" s="1"/>
  <c r="E133" i="6"/>
  <c r="S125" i="24" s="1"/>
  <c r="E146" i="6"/>
  <c r="S138" i="24" s="1"/>
  <c r="E150" i="6"/>
  <c r="S142" i="24" s="1"/>
  <c r="F85" i="6"/>
  <c r="T77" i="24" s="1"/>
  <c r="F93" i="6"/>
  <c r="T85" i="24" s="1"/>
  <c r="F103" i="6"/>
  <c r="F113" i="6"/>
  <c r="F123" i="6"/>
  <c r="T115" i="24" s="1"/>
  <c r="F133" i="6"/>
  <c r="T125" i="24" s="1"/>
  <c r="F146" i="6"/>
  <c r="T138" i="24" s="1"/>
  <c r="F150" i="6"/>
  <c r="T142" i="24" s="1"/>
  <c r="Q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Q83" i="24"/>
  <c r="R83" i="24"/>
  <c r="S83" i="24"/>
  <c r="T83" i="24"/>
  <c r="Q84" i="24"/>
  <c r="R84" i="24"/>
  <c r="S84" i="24"/>
  <c r="T84" i="24"/>
  <c r="U84" i="24"/>
  <c r="R85" i="24"/>
  <c r="S85" i="24"/>
  <c r="Q86" i="24"/>
  <c r="R86" i="24"/>
  <c r="S86" i="24"/>
  <c r="T86" i="24"/>
  <c r="Q87" i="24"/>
  <c r="R87" i="24"/>
  <c r="S87" i="24"/>
  <c r="T87" i="24"/>
  <c r="Q88" i="24"/>
  <c r="R88" i="24"/>
  <c r="S88" i="24"/>
  <c r="T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Q93" i="24"/>
  <c r="R93" i="24"/>
  <c r="S93" i="24"/>
  <c r="T93" i="24"/>
  <c r="U93" i="24"/>
  <c r="Q94" i="24"/>
  <c r="R94" i="24"/>
  <c r="S94" i="24"/>
  <c r="T94" i="24"/>
  <c r="U94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Q99" i="24"/>
  <c r="R99" i="24"/>
  <c r="S99" i="24"/>
  <c r="T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Q103" i="24"/>
  <c r="R103" i="24"/>
  <c r="S103" i="24"/>
  <c r="T103" i="24"/>
  <c r="U103" i="24"/>
  <c r="Q104" i="24"/>
  <c r="R104" i="24"/>
  <c r="S104" i="24"/>
  <c r="T104" i="24"/>
  <c r="U104" i="24"/>
  <c r="R105" i="24"/>
  <c r="T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Q116" i="24"/>
  <c r="R116" i="24"/>
  <c r="S116" i="24"/>
  <c r="T116" i="24"/>
  <c r="Q117" i="24"/>
  <c r="R117" i="24"/>
  <c r="S117" i="24"/>
  <c r="T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Q121" i="24"/>
  <c r="R121" i="24"/>
  <c r="S121" i="24"/>
  <c r="T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Q126" i="24"/>
  <c r="R126" i="24"/>
  <c r="S126" i="24"/>
  <c r="T126" i="24"/>
  <c r="Q127" i="24"/>
  <c r="R127" i="24"/>
  <c r="S127" i="24"/>
  <c r="T127" i="24"/>
  <c r="U127" i="24"/>
  <c r="Q128" i="24"/>
  <c r="R128" i="24"/>
  <c r="S128" i="24"/>
  <c r="T128" i="24"/>
  <c r="U128" i="24"/>
  <c r="Q129" i="24"/>
  <c r="R129" i="24"/>
  <c r="S129" i="24"/>
  <c r="Q130" i="24"/>
  <c r="R130" i="24"/>
  <c r="S130" i="24"/>
  <c r="T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Q134" i="24"/>
  <c r="R134" i="24"/>
  <c r="S134" i="24"/>
  <c r="T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R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Q142" i="24"/>
  <c r="R142" i="24"/>
  <c r="Q143" i="24"/>
  <c r="R143" i="24"/>
  <c r="S143" i="24"/>
  <c r="T143" i="24"/>
  <c r="U143" i="24"/>
  <c r="Q144" i="24"/>
  <c r="R144" i="24"/>
  <c r="S144" i="24"/>
  <c r="T144" i="24"/>
  <c r="Q145" i="24"/>
  <c r="R145" i="24"/>
  <c r="S145" i="24"/>
  <c r="T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Q149" i="24"/>
  <c r="R149" i="24"/>
  <c r="S149" i="24"/>
  <c r="T149" i="24"/>
  <c r="C18" i="6"/>
  <c r="Q11" i="24" s="1"/>
  <c r="C28" i="6"/>
  <c r="Q21" i="24" s="1"/>
  <c r="C38" i="6"/>
  <c r="Q41" i="24"/>
  <c r="Q51" i="24"/>
  <c r="C71" i="6"/>
  <c r="C75" i="6"/>
  <c r="Q68" i="24" s="1"/>
  <c r="R3" i="24"/>
  <c r="D18" i="6"/>
  <c r="R11" i="24" s="1"/>
  <c r="D28" i="6"/>
  <c r="R21" i="24" s="1"/>
  <c r="D38" i="6"/>
  <c r="R41" i="24"/>
  <c r="R51" i="24"/>
  <c r="D71" i="6"/>
  <c r="D75" i="6"/>
  <c r="S3" i="24"/>
  <c r="E18" i="6"/>
  <c r="E28" i="6"/>
  <c r="S21" i="24" s="1"/>
  <c r="E38" i="6"/>
  <c r="S31" i="24" s="1"/>
  <c r="S41" i="24"/>
  <c r="E71" i="6"/>
  <c r="S64" i="24" s="1"/>
  <c r="E75" i="6"/>
  <c r="T3" i="24"/>
  <c r="F18" i="6"/>
  <c r="T11" i="24" s="1"/>
  <c r="F28" i="6"/>
  <c r="F38" i="6"/>
  <c r="T31" i="24" s="1"/>
  <c r="T51" i="24"/>
  <c r="F71" i="6"/>
  <c r="T64" i="24" s="1"/>
  <c r="F75" i="6"/>
  <c r="B85" i="6"/>
  <c r="P77" i="24" s="1"/>
  <c r="B93" i="6"/>
  <c r="P85" i="24" s="1"/>
  <c r="B103" i="6"/>
  <c r="B113" i="6"/>
  <c r="P105" i="24" s="1"/>
  <c r="B123" i="6"/>
  <c r="P115" i="24" s="1"/>
  <c r="B133" i="6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Q8" i="24"/>
  <c r="R8" i="24"/>
  <c r="S8" i="24"/>
  <c r="T8" i="24"/>
  <c r="Q9" i="24"/>
  <c r="R9" i="24"/>
  <c r="S9" i="24"/>
  <c r="T9" i="24"/>
  <c r="Q10" i="24"/>
  <c r="R10" i="24"/>
  <c r="S10" i="24"/>
  <c r="T10" i="24"/>
  <c r="U10" i="24"/>
  <c r="S11" i="24"/>
  <c r="Q12" i="24"/>
  <c r="R12" i="24"/>
  <c r="S12" i="24"/>
  <c r="T12" i="24"/>
  <c r="Q13" i="24"/>
  <c r="R13" i="24"/>
  <c r="S13" i="24"/>
  <c r="T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Q25" i="24"/>
  <c r="R25" i="24"/>
  <c r="S25" i="24"/>
  <c r="T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Q29" i="24"/>
  <c r="R29" i="24"/>
  <c r="S29" i="24"/>
  <c r="T29" i="24"/>
  <c r="Q30" i="24"/>
  <c r="R30" i="24"/>
  <c r="S30" i="24"/>
  <c r="T30" i="24"/>
  <c r="U30" i="24"/>
  <c r="Q31" i="24"/>
  <c r="R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Q36" i="24"/>
  <c r="R36" i="24"/>
  <c r="S36" i="24"/>
  <c r="T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Q40" i="24"/>
  <c r="R40" i="24"/>
  <c r="S40" i="24"/>
  <c r="T40" i="24"/>
  <c r="T41" i="24"/>
  <c r="Q42" i="24"/>
  <c r="R42" i="24"/>
  <c r="S42" i="24"/>
  <c r="T42" i="24"/>
  <c r="Q43" i="24"/>
  <c r="R43" i="24"/>
  <c r="S43" i="24"/>
  <c r="T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Q47" i="24"/>
  <c r="R47" i="24"/>
  <c r="S47" i="24"/>
  <c r="T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S51" i="24"/>
  <c r="Q52" i="24"/>
  <c r="R52" i="24"/>
  <c r="S52" i="24"/>
  <c r="T52" i="24"/>
  <c r="Q53" i="24"/>
  <c r="R53" i="24"/>
  <c r="S53" i="24"/>
  <c r="T53" i="24"/>
  <c r="Q54" i="24"/>
  <c r="R54" i="24"/>
  <c r="S54" i="24"/>
  <c r="T54" i="24"/>
  <c r="T55" i="24"/>
  <c r="Q56" i="24"/>
  <c r="R56" i="24"/>
  <c r="S56" i="24"/>
  <c r="T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Q64" i="24"/>
  <c r="R64" i="24"/>
  <c r="Q65" i="24"/>
  <c r="R65" i="24"/>
  <c r="S65" i="24"/>
  <c r="T65" i="24"/>
  <c r="Q66" i="24"/>
  <c r="R66" i="24"/>
  <c r="S66" i="24"/>
  <c r="T66" i="24"/>
  <c r="U66" i="24"/>
  <c r="Q67" i="24"/>
  <c r="R67" i="24"/>
  <c r="S67" i="24"/>
  <c r="T67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Q71" i="24"/>
  <c r="R71" i="24"/>
  <c r="S71" i="24"/>
  <c r="T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Q75" i="24"/>
  <c r="R75" i="24"/>
  <c r="S75" i="24"/>
  <c r="T75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7" i="20"/>
  <c r="U8" i="20"/>
  <c r="U12" i="20"/>
  <c r="U13" i="20"/>
  <c r="U16" i="20"/>
  <c r="U17" i="20"/>
  <c r="U20" i="20"/>
  <c r="U21" i="20"/>
  <c r="U23" i="20"/>
  <c r="U25" i="20"/>
  <c r="U26" i="20"/>
  <c r="U27" i="20"/>
  <c r="U28" i="20"/>
  <c r="U29" i="20"/>
  <c r="U30" i="20"/>
  <c r="U32" i="20"/>
  <c r="G46" i="5"/>
  <c r="U38" i="20" s="1"/>
  <c r="G47" i="5"/>
  <c r="G48" i="5"/>
  <c r="G49" i="5"/>
  <c r="U41" i="20" s="1"/>
  <c r="G50" i="5"/>
  <c r="U42" i="20" s="1"/>
  <c r="G51" i="5"/>
  <c r="U43" i="20" s="1"/>
  <c r="G52" i="5"/>
  <c r="G53" i="5"/>
  <c r="U40" i="20"/>
  <c r="U44" i="20"/>
  <c r="U45" i="20"/>
  <c r="G55" i="5"/>
  <c r="G56" i="5"/>
  <c r="G54" i="5" s="1"/>
  <c r="U46" i="20" s="1"/>
  <c r="G57" i="5"/>
  <c r="U49" i="20" s="1"/>
  <c r="G58" i="5"/>
  <c r="U47" i="20"/>
  <c r="U50" i="20"/>
  <c r="G60" i="5"/>
  <c r="G61" i="5"/>
  <c r="U53" i="20" s="1"/>
  <c r="G62" i="5"/>
  <c r="U54" i="20"/>
  <c r="G63" i="5"/>
  <c r="U55" i="20"/>
  <c r="G68" i="5"/>
  <c r="G67" i="5" s="1"/>
  <c r="U57" i="20" s="1"/>
  <c r="U58" i="20"/>
  <c r="G73" i="5"/>
  <c r="G75" i="5" s="1"/>
  <c r="U62" i="20" s="1"/>
  <c r="G74" i="5"/>
  <c r="U61" i="20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Q31" i="20"/>
  <c r="R31" i="20"/>
  <c r="S31" i="20"/>
  <c r="T31" i="20"/>
  <c r="Q32" i="20"/>
  <c r="R32" i="20"/>
  <c r="S32" i="20"/>
  <c r="T32" i="20"/>
  <c r="Q33" i="20"/>
  <c r="R33" i="20"/>
  <c r="S33" i="20"/>
  <c r="T33" i="20"/>
  <c r="F41" i="5"/>
  <c r="T34" i="20" s="1"/>
  <c r="C45" i="5"/>
  <c r="Q37" i="20" s="1"/>
  <c r="D45" i="5"/>
  <c r="R37" i="20" s="1"/>
  <c r="E45" i="5"/>
  <c r="E65" i="5" s="1"/>
  <c r="S56" i="20" s="1"/>
  <c r="S37" i="20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D65" i="5"/>
  <c r="R56" i="20" s="1"/>
  <c r="F65" i="5"/>
  <c r="T56" i="20" s="1"/>
  <c r="Q57" i="20"/>
  <c r="R57" i="20"/>
  <c r="S57" i="20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/>
  <c r="D75" i="5"/>
  <c r="R62" i="20" s="1"/>
  <c r="E75" i="5"/>
  <c r="S62" i="20" s="1"/>
  <c r="F75" i="5"/>
  <c r="T62" i="20" s="1"/>
  <c r="P61" i="20"/>
  <c r="B75" i="5"/>
  <c r="P62" i="20"/>
  <c r="P60" i="20"/>
  <c r="P58" i="20"/>
  <c r="P57" i="20"/>
  <c r="B45" i="5"/>
  <c r="P37" i="20" s="1"/>
  <c r="B54" i="5"/>
  <c r="B59" i="5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B16" i="5"/>
  <c r="P10" i="20" s="1"/>
  <c r="B28" i="5"/>
  <c r="P22" i="20" s="1"/>
  <c r="P29" i="20"/>
  <c r="P31" i="20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D20" i="23"/>
  <c r="B6" i="1" s="1"/>
  <c r="F18" i="23"/>
  <c r="K6" i="3" s="1"/>
  <c r="E18" i="23"/>
  <c r="J6" i="3" s="1"/>
  <c r="D18" i="23"/>
  <c r="I6" i="3" s="1"/>
  <c r="F6" i="1"/>
  <c r="E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0" s="1"/>
  <c r="H23" i="23"/>
  <c r="F6" i="11" s="1"/>
  <c r="G23" i="23"/>
  <c r="E6" i="10" s="1"/>
  <c r="F23" i="23"/>
  <c r="D6" i="11" s="1"/>
  <c r="E23" i="23"/>
  <c r="C6" i="10" s="1"/>
  <c r="F6" i="10"/>
  <c r="B6" i="10"/>
  <c r="G5" i="13"/>
  <c r="G5" i="12"/>
  <c r="C11" i="23"/>
  <c r="A2" i="12" s="1"/>
  <c r="A2" i="10"/>
  <c r="A5" i="9"/>
  <c r="A5" i="8"/>
  <c r="A5" i="7"/>
  <c r="A5" i="6"/>
  <c r="A4" i="5"/>
  <c r="A4" i="4"/>
  <c r="A4" i="3"/>
  <c r="A4" i="2"/>
  <c r="A4" i="1"/>
  <c r="K15" i="3"/>
  <c r="K16" i="3"/>
  <c r="K17" i="3"/>
  <c r="K14" i="3" s="1"/>
  <c r="Y4" i="17" s="1"/>
  <c r="K18" i="3"/>
  <c r="J14" i="3"/>
  <c r="X4" i="17" s="1"/>
  <c r="I14" i="3"/>
  <c r="I8" i="3"/>
  <c r="W3" i="17" s="1"/>
  <c r="H14" i="3"/>
  <c r="V4" i="17" s="1"/>
  <c r="G14" i="3"/>
  <c r="U4" i="17" s="1"/>
  <c r="E14" i="3"/>
  <c r="K9" i="3"/>
  <c r="K10" i="3"/>
  <c r="K8" i="3" s="1"/>
  <c r="K11" i="3"/>
  <c r="K12" i="3"/>
  <c r="J8" i="3"/>
  <c r="J20" i="3" s="1"/>
  <c r="X5" i="17" s="1"/>
  <c r="H8" i="3"/>
  <c r="V3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R15" i="16" s="1"/>
  <c r="C27" i="2"/>
  <c r="Q15" i="16" s="1"/>
  <c r="B41" i="2"/>
  <c r="P17" i="16" s="1"/>
  <c r="B27" i="2"/>
  <c r="P15" i="16" s="1"/>
  <c r="H22" i="2"/>
  <c r="V14" i="16" s="1"/>
  <c r="G22" i="2"/>
  <c r="U14" i="16" s="1"/>
  <c r="F22" i="2"/>
  <c r="E22" i="2"/>
  <c r="T14" i="16" s="1"/>
  <c r="D22" i="2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B44" i="4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P36" i="18" s="1"/>
  <c r="B64" i="4"/>
  <c r="P33" i="18" s="1"/>
  <c r="B63" i="4"/>
  <c r="B55" i="4"/>
  <c r="B53" i="4"/>
  <c r="B49" i="4"/>
  <c r="B48" i="4"/>
  <c r="B37" i="4"/>
  <c r="B29" i="4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4" i="18"/>
  <c r="P35" i="18"/>
  <c r="P30" i="18"/>
  <c r="P27" i="18"/>
  <c r="P28" i="18"/>
  <c r="P29" i="18"/>
  <c r="P20" i="18"/>
  <c r="P21" i="18"/>
  <c r="P23" i="18"/>
  <c r="P24" i="18"/>
  <c r="P19" i="18"/>
  <c r="P16" i="18"/>
  <c r="P17" i="18"/>
  <c r="P15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F27" i="1"/>
  <c r="Q76" i="15" s="1"/>
  <c r="F31" i="1"/>
  <c r="Q80" i="15" s="1"/>
  <c r="F38" i="1"/>
  <c r="Q87" i="15" s="1"/>
  <c r="Q91" i="15"/>
  <c r="Q106" i="15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106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2" i="15"/>
  <c r="Q92" i="15"/>
  <c r="P93" i="15"/>
  <c r="Q93" i="15"/>
  <c r="P94" i="15"/>
  <c r="Q94" i="15"/>
  <c r="Q75" i="15"/>
  <c r="P75" i="15"/>
  <c r="P76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1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C17" i="1"/>
  <c r="Q12" i="15" s="1"/>
  <c r="Q20" i="15"/>
  <c r="C31" i="1"/>
  <c r="Q26" i="15" s="1"/>
  <c r="C38" i="1"/>
  <c r="Q34" i="15" s="1"/>
  <c r="C41" i="1"/>
  <c r="Q37" i="15" s="1"/>
  <c r="C60" i="1"/>
  <c r="Q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Q37" i="18" s="1"/>
  <c r="D70" i="4"/>
  <c r="C68" i="4"/>
  <c r="Q36" i="18" s="1"/>
  <c r="D68" i="4"/>
  <c r="C64" i="4"/>
  <c r="D64" i="4"/>
  <c r="C63" i="4"/>
  <c r="D63" i="4"/>
  <c r="C48" i="4"/>
  <c r="Q26" i="18" s="1"/>
  <c r="C55" i="4"/>
  <c r="Q31" i="18" s="1"/>
  <c r="D55" i="4"/>
  <c r="R31" i="18" s="1"/>
  <c r="C53" i="4"/>
  <c r="Q30" i="18" s="1"/>
  <c r="D53" i="4"/>
  <c r="R30" i="18" s="1"/>
  <c r="D48" i="4"/>
  <c r="R26" i="18" s="1"/>
  <c r="C49" i="4"/>
  <c r="D49" i="4"/>
  <c r="R27" i="18" s="1"/>
  <c r="C29" i="4"/>
  <c r="Q15" i="18" s="1"/>
  <c r="D29" i="4"/>
  <c r="C40" i="4"/>
  <c r="Q22" i="18" s="1"/>
  <c r="D40" i="4"/>
  <c r="R22" i="18" s="1"/>
  <c r="C37" i="4"/>
  <c r="Q19" i="18" s="1"/>
  <c r="D37" i="4"/>
  <c r="C17" i="4"/>
  <c r="Q9" i="18" s="1"/>
  <c r="C13" i="4"/>
  <c r="Q6" i="18" s="1"/>
  <c r="D13" i="4"/>
  <c r="R6" i="18" s="1"/>
  <c r="W4" i="17"/>
  <c r="S4" i="17"/>
  <c r="T17" i="16"/>
  <c r="V15" i="16"/>
  <c r="R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E9" i="2"/>
  <c r="S4" i="16"/>
  <c r="F9" i="2"/>
  <c r="T4" i="16" s="1"/>
  <c r="G9" i="2"/>
  <c r="U4" i="16" s="1"/>
  <c r="H9" i="2"/>
  <c r="B9" i="2"/>
  <c r="P4" i="15"/>
  <c r="R32" i="18"/>
  <c r="R36" i="18"/>
  <c r="Q27" i="18"/>
  <c r="R19" i="18"/>
  <c r="R15" i="18"/>
  <c r="D72" i="4"/>
  <c r="R38" i="18" s="1"/>
  <c r="R33" i="18"/>
  <c r="R37" i="18"/>
  <c r="Q33" i="18"/>
  <c r="Q67" i="15"/>
  <c r="U3" i="17"/>
  <c r="P53" i="15" l="1"/>
  <c r="B62" i="1"/>
  <c r="E20" i="3"/>
  <c r="S5" i="17" s="1"/>
  <c r="G58" i="6"/>
  <c r="U51" i="24" s="1"/>
  <c r="X3" i="17"/>
  <c r="C29" i="7"/>
  <c r="Q4" i="25" s="1"/>
  <c r="U22" i="27"/>
  <c r="S16" i="27"/>
  <c r="E33" i="9"/>
  <c r="S24" i="27" s="1"/>
  <c r="D43" i="8"/>
  <c r="B43" i="8"/>
  <c r="U33" i="26"/>
  <c r="C9" i="8"/>
  <c r="Q2" i="26" s="1"/>
  <c r="E9" i="8"/>
  <c r="S2" i="26" s="1"/>
  <c r="S12" i="26"/>
  <c r="D9" i="8"/>
  <c r="R2" i="26" s="1"/>
  <c r="F29" i="7"/>
  <c r="T4" i="25" s="1"/>
  <c r="E29" i="7"/>
  <c r="S4" i="25" s="1"/>
  <c r="P2" i="25"/>
  <c r="S2" i="25"/>
  <c r="G146" i="6"/>
  <c r="U138" i="24" s="1"/>
  <c r="F84" i="6"/>
  <c r="T76" i="24" s="1"/>
  <c r="G71" i="6"/>
  <c r="U64" i="24" s="1"/>
  <c r="G18" i="6"/>
  <c r="U11" i="24" s="1"/>
  <c r="B65" i="5"/>
  <c r="P56" i="20" s="1"/>
  <c r="C65" i="5"/>
  <c r="Q56" i="20" s="1"/>
  <c r="G45" i="5"/>
  <c r="U37" i="20" s="1"/>
  <c r="C41" i="5"/>
  <c r="Q34" i="20" s="1"/>
  <c r="G28" i="5"/>
  <c r="U22" i="20" s="1"/>
  <c r="E41" i="5"/>
  <c r="E70" i="5" s="1"/>
  <c r="D41" i="5"/>
  <c r="D70" i="5" s="1"/>
  <c r="F70" i="5"/>
  <c r="C72" i="4"/>
  <c r="C74" i="4" s="1"/>
  <c r="Q39" i="18" s="1"/>
  <c r="D57" i="4"/>
  <c r="D59" i="4" s="1"/>
  <c r="B57" i="4"/>
  <c r="B59" i="4" s="1"/>
  <c r="D44" i="4"/>
  <c r="D11" i="4" s="1"/>
  <c r="D8" i="4" s="1"/>
  <c r="R2" i="18" s="1"/>
  <c r="C44" i="4"/>
  <c r="D74" i="4"/>
  <c r="R39" i="18" s="1"/>
  <c r="Q32" i="18"/>
  <c r="B72" i="4"/>
  <c r="B74" i="4" s="1"/>
  <c r="P39" i="18" s="1"/>
  <c r="H8" i="2"/>
  <c r="H20" i="2" s="1"/>
  <c r="V13" i="16" s="1"/>
  <c r="V4" i="16"/>
  <c r="G8" i="2"/>
  <c r="U3" i="16" s="1"/>
  <c r="E8" i="2"/>
  <c r="S3" i="16" s="1"/>
  <c r="D8" i="2"/>
  <c r="R3" i="16" s="1"/>
  <c r="R4" i="16"/>
  <c r="D20" i="2"/>
  <c r="R13" i="16" s="1"/>
  <c r="B8" i="2"/>
  <c r="P3" i="16" s="1"/>
  <c r="P4" i="16"/>
  <c r="B47" i="1"/>
  <c r="Q4" i="15"/>
  <c r="C47" i="1"/>
  <c r="F79" i="1"/>
  <c r="Q119" i="15" s="1"/>
  <c r="F47" i="1"/>
  <c r="Q95" i="15" s="1"/>
  <c r="C6" i="11"/>
  <c r="E6" i="11"/>
  <c r="G6" i="11"/>
  <c r="D6" i="10"/>
  <c r="A2" i="3"/>
  <c r="A2" i="4"/>
  <c r="A2" i="5"/>
  <c r="A2" i="14"/>
  <c r="A2" i="1"/>
  <c r="A2" i="13"/>
  <c r="A2" i="11"/>
  <c r="Q38" i="18"/>
  <c r="P38" i="18"/>
  <c r="B11" i="4"/>
  <c r="P25" i="18"/>
  <c r="Y3" i="17"/>
  <c r="K20" i="3"/>
  <c r="Y5" i="17" s="1"/>
  <c r="H20" i="3"/>
  <c r="V5" i="17" s="1"/>
  <c r="T21" i="24"/>
  <c r="F9" i="6"/>
  <c r="G20" i="2"/>
  <c r="U13" i="16" s="1"/>
  <c r="E79" i="1"/>
  <c r="P119" i="15" s="1"/>
  <c r="E47" i="1"/>
  <c r="P32" i="18"/>
  <c r="U60" i="20"/>
  <c r="U48" i="20"/>
  <c r="U39" i="20"/>
  <c r="U67" i="24"/>
  <c r="C43" i="8"/>
  <c r="Q53" i="26"/>
  <c r="T5" i="27"/>
  <c r="F9" i="9"/>
  <c r="T2" i="27" s="1"/>
  <c r="R5" i="27"/>
  <c r="D9" i="9"/>
  <c r="R2" i="27" s="1"/>
  <c r="E31" i="12"/>
  <c r="S23" i="30" s="1"/>
  <c r="S2" i="30"/>
  <c r="U6" i="27"/>
  <c r="G12" i="9"/>
  <c r="G16" i="9"/>
  <c r="U9" i="27" s="1"/>
  <c r="U11" i="27"/>
  <c r="U17" i="27"/>
  <c r="G24" i="9"/>
  <c r="A2" i="6"/>
  <c r="A2" i="7"/>
  <c r="A2" i="2"/>
  <c r="A2" i="9"/>
  <c r="P35" i="26"/>
  <c r="G37" i="5"/>
  <c r="U31" i="20" s="1"/>
  <c r="U33" i="20"/>
  <c r="G38" i="6"/>
  <c r="U31" i="24" s="1"/>
  <c r="G48" i="6"/>
  <c r="U41" i="24" s="1"/>
  <c r="U46" i="24"/>
  <c r="U82" i="24"/>
  <c r="G85" i="6"/>
  <c r="D9" i="6"/>
  <c r="P5" i="27"/>
  <c r="B9" i="9"/>
  <c r="P2" i="27" s="1"/>
  <c r="U24" i="24"/>
  <c r="G28" i="6"/>
  <c r="U21" i="24" s="1"/>
  <c r="G75" i="6"/>
  <c r="U68" i="24" s="1"/>
  <c r="U70" i="24"/>
  <c r="G93" i="6"/>
  <c r="U85" i="24" s="1"/>
  <c r="U86" i="24"/>
  <c r="G113" i="6"/>
  <c r="U105" i="24" s="1"/>
  <c r="U120" i="24"/>
  <c r="G123" i="6"/>
  <c r="U115" i="24" s="1"/>
  <c r="G133" i="6"/>
  <c r="U125" i="24" s="1"/>
  <c r="U126" i="24"/>
  <c r="U144" i="24"/>
  <c r="G150" i="6"/>
  <c r="U142" i="24" s="1"/>
  <c r="G19" i="8"/>
  <c r="U12" i="26" s="1"/>
  <c r="V3" i="16"/>
  <c r="F8" i="2"/>
  <c r="C57" i="4"/>
  <c r="C59" i="4" s="1"/>
  <c r="C8" i="2"/>
  <c r="Q57" i="15"/>
  <c r="G59" i="5"/>
  <c r="U51" i="20" s="1"/>
  <c r="C9" i="6"/>
  <c r="U141" i="24"/>
  <c r="E84" i="6"/>
  <c r="S76" i="24" s="1"/>
  <c r="R3" i="25"/>
  <c r="D29" i="7"/>
  <c r="R4" i="25" s="1"/>
  <c r="P13" i="27"/>
  <c r="Q2" i="25"/>
  <c r="S14" i="16"/>
  <c r="P22" i="18"/>
  <c r="P26" i="18"/>
  <c r="I20" i="3"/>
  <c r="W5" i="17" s="1"/>
  <c r="U52" i="20"/>
  <c r="U52" i="24"/>
  <c r="P95" i="24"/>
  <c r="B84" i="6"/>
  <c r="P76" i="24" s="1"/>
  <c r="G103" i="6"/>
  <c r="U95" i="24" s="1"/>
  <c r="C84" i="6"/>
  <c r="Q76" i="24" s="1"/>
  <c r="Q95" i="24"/>
  <c r="E43" i="8"/>
  <c r="S53" i="26"/>
  <c r="U13" i="26"/>
  <c r="F9" i="8"/>
  <c r="T2" i="26" s="1"/>
  <c r="T20" i="26"/>
  <c r="R13" i="27"/>
  <c r="T35" i="26"/>
  <c r="T13" i="27"/>
  <c r="C9" i="9"/>
  <c r="Q5" i="27"/>
  <c r="G32" i="10"/>
  <c r="U23" i="28" s="1"/>
  <c r="G16" i="5"/>
  <c r="U10" i="20" s="1"/>
  <c r="G27" i="8"/>
  <c r="U20" i="26" s="1"/>
  <c r="E9" i="6"/>
  <c r="P20" i="26"/>
  <c r="B9" i="8"/>
  <c r="R35" i="26"/>
  <c r="S5" i="27"/>
  <c r="S2" i="29"/>
  <c r="E30" i="11"/>
  <c r="S22" i="29" s="1"/>
  <c r="G71" i="8"/>
  <c r="U63" i="26" s="1"/>
  <c r="U67" i="26"/>
  <c r="D29" i="13"/>
  <c r="R22" i="31" s="1"/>
  <c r="R2" i="31"/>
  <c r="G62" i="6"/>
  <c r="U55" i="24" s="1"/>
  <c r="G137" i="6"/>
  <c r="U129" i="24" s="1"/>
  <c r="B9" i="6"/>
  <c r="G9" i="7"/>
  <c r="G19" i="7"/>
  <c r="U3" i="25" s="1"/>
  <c r="G10" i="8"/>
  <c r="G44" i="8"/>
  <c r="U39" i="26"/>
  <c r="G53" i="8"/>
  <c r="U45" i="26" s="1"/>
  <c r="U47" i="26"/>
  <c r="U2" i="29"/>
  <c r="Q2" i="29"/>
  <c r="U2" i="30"/>
  <c r="Q2" i="30"/>
  <c r="P54" i="15" l="1"/>
  <c r="B33" i="9"/>
  <c r="P24" i="27" s="1"/>
  <c r="P2" i="26"/>
  <c r="B77" i="8"/>
  <c r="P68" i="26" s="1"/>
  <c r="F77" i="8"/>
  <c r="T68" i="26" s="1"/>
  <c r="D77" i="8"/>
  <c r="R68" i="26" s="1"/>
  <c r="G41" i="5"/>
  <c r="G42" i="5" s="1"/>
  <c r="U35" i="20" s="1"/>
  <c r="C70" i="5"/>
  <c r="S34" i="20"/>
  <c r="R34" i="20"/>
  <c r="D21" i="4"/>
  <c r="D23" i="4" s="1"/>
  <c r="R25" i="18"/>
  <c r="R5" i="18"/>
  <c r="Q25" i="18"/>
  <c r="C11" i="4"/>
  <c r="E20" i="2"/>
  <c r="S13" i="16" s="1"/>
  <c r="P13" i="16"/>
  <c r="P42" i="15"/>
  <c r="F59" i="1"/>
  <c r="Q104" i="15" s="1"/>
  <c r="G9" i="6"/>
  <c r="U3" i="24"/>
  <c r="S2" i="24"/>
  <c r="E159" i="6"/>
  <c r="S150" i="24" s="1"/>
  <c r="C159" i="6"/>
  <c r="Q150" i="24" s="1"/>
  <c r="Q2" i="24"/>
  <c r="B159" i="6"/>
  <c r="P150" i="24" s="1"/>
  <c r="P2" i="24"/>
  <c r="S35" i="26"/>
  <c r="E77" i="8"/>
  <c r="S68" i="26" s="1"/>
  <c r="G84" i="6"/>
  <c r="U76" i="24" s="1"/>
  <c r="U77" i="24"/>
  <c r="P34" i="20"/>
  <c r="B70" i="5"/>
  <c r="P5" i="18"/>
  <c r="B8" i="4"/>
  <c r="Q2" i="27"/>
  <c r="C33" i="9"/>
  <c r="Q24" i="27" s="1"/>
  <c r="U16" i="27"/>
  <c r="G21" i="9"/>
  <c r="G9" i="9"/>
  <c r="U2" i="27" s="1"/>
  <c r="U5" i="27"/>
  <c r="G29" i="7"/>
  <c r="U4" i="25" s="1"/>
  <c r="U2" i="25"/>
  <c r="C20" i="2"/>
  <c r="Q13" i="16" s="1"/>
  <c r="Q3" i="16"/>
  <c r="D159" i="6"/>
  <c r="R150" i="24" s="1"/>
  <c r="R2" i="24"/>
  <c r="U36" i="26"/>
  <c r="G43" i="8"/>
  <c r="U3" i="26"/>
  <c r="G9" i="8"/>
  <c r="U2" i="26" s="1"/>
  <c r="T3" i="16"/>
  <c r="T13" i="16"/>
  <c r="F33" i="9"/>
  <c r="T24" i="27" s="1"/>
  <c r="D33" i="9"/>
  <c r="R24" i="27" s="1"/>
  <c r="Q42" i="15"/>
  <c r="C62" i="1"/>
  <c r="Q54" i="15" s="1"/>
  <c r="Q35" i="26"/>
  <c r="C77" i="8"/>
  <c r="Q68" i="26" s="1"/>
  <c r="P95" i="15"/>
  <c r="E59" i="1"/>
  <c r="F159" i="6"/>
  <c r="T150" i="24" s="1"/>
  <c r="T2" i="24"/>
  <c r="G65" i="5"/>
  <c r="U56" i="20" s="1"/>
  <c r="U34" i="20" l="1"/>
  <c r="R12" i="18"/>
  <c r="C8" i="4"/>
  <c r="Q5" i="18"/>
  <c r="F81" i="1"/>
  <c r="Q120" i="15" s="1"/>
  <c r="P2" i="18"/>
  <c r="B21" i="4"/>
  <c r="U13" i="27"/>
  <c r="G33" i="9"/>
  <c r="U24" i="27" s="1"/>
  <c r="G70" i="5"/>
  <c r="D25" i="4"/>
  <c r="R13" i="18"/>
  <c r="E81" i="1"/>
  <c r="P120" i="15" s="1"/>
  <c r="P104" i="15"/>
  <c r="G77" i="8"/>
  <c r="U68" i="26" s="1"/>
  <c r="U35" i="26"/>
  <c r="U2" i="24"/>
  <c r="G159" i="6"/>
  <c r="U150" i="24" s="1"/>
  <c r="Q2" i="18" l="1"/>
  <c r="D33" i="4"/>
  <c r="R18" i="18" s="1"/>
  <c r="R14" i="18"/>
  <c r="P12" i="18"/>
  <c r="B23" i="4"/>
  <c r="Q12" i="18" l="1"/>
  <c r="C23" i="4"/>
  <c r="B25" i="4"/>
  <c r="P13" i="18"/>
  <c r="C25" i="4" l="1"/>
  <c r="Q13" i="18"/>
  <c r="B33" i="4"/>
  <c r="P18" i="18" s="1"/>
  <c r="P14" i="18"/>
  <c r="C33" i="4" l="1"/>
  <c r="Q18" i="18" s="1"/>
  <c r="Q14" i="18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<sst xmlns="http://schemas.openxmlformats.org/spreadsheetml/2006/main" count="4243" uniqueCount="3312">
  <si>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</si>
  <si>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</si>
  <si>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</si>
  <si>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</si>
  <si>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</si>
  <si>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</si>
  <si>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</si>
  <si>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</si>
  <si>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</si>
  <si>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</si>
  <si>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</si>
  <si>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</si>
  <si>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</si>
  <si>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</si>
  <si>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</si>
  <si>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</si>
  <si>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</si>
  <si>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</si>
  <si>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</si>
  <si>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</si>
  <si>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</si>
  <si>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</si>
  <si>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</si>
  <si>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</si>
  <si>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</si>
  <si>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</si>
  <si>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</si>
  <si>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</si>
  <si>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</si>
  <si>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</si>
  <si>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</si>
  <si>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</si>
  <si>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</si>
  <si>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</si>
  <si>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</si>
  <si>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</si>
  <si>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</si>
  <si>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</si>
  <si>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</si>
  <si>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</si>
  <si>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</si>
  <si>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</si>
  <si>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</si>
  <si>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</si>
  <si>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</si>
  <si>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</si>
  <si>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</si>
  <si>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</si>
  <si>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</si>
  <si>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</si>
  <si>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</si>
  <si>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</si>
  <si>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</si>
  <si>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</si>
  <si>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</si>
  <si>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</si>
  <si>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</si>
  <si>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</si>
  <si>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</si>
  <si>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</si>
  <si>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</si>
  <si>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</si>
  <si>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</si>
  <si>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</si>
  <si>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</si>
  <si>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</si>
  <si>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</si>
  <si>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</si>
  <si>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</si>
  <si>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</si>
  <si>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</si>
  <si>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</si>
  <si>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</si>
  <si>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</si>
  <si>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</si>
  <si>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</si>
  <si>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</si>
  <si>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</si>
  <si>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</si>
  <si>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</si>
  <si>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</si>
  <si>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</si>
  <si>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</si>
  <si>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</si>
  <si>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</si>
  <si>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</si>
  <si>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</si>
  <si>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</si>
  <si>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</si>
  <si>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</si>
  <si>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</si>
  <si>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</si>
  <si>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</si>
  <si>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</si>
  <si>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</si>
  <si>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</si>
  <si>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</si>
  <si>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</si>
  <si>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</si>
  <si>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</si>
  <si>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</si>
  <si>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</si>
  <si>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</si>
  <si>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</si>
  <si>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</si>
  <si>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</si>
  <si>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</si>
  <si>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</si>
  <si>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</si>
  <si>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</si>
  <si>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</si>
  <si>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</si>
  <si>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</si>
  <si>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</si>
  <si>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</si>
  <si>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</si>
  <si>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</si>
  <si>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</si>
  <si>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</si>
  <si>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</si>
  <si>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</si>
  <si>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</si>
  <si>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</si>
  <si>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</si>
  <si>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</si>
  <si>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</si>
  <si>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</si>
  <si>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</si>
  <si>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</si>
  <si>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</si>
  <si>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</si>
  <si>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</si>
  <si>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</si>
  <si>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</si>
  <si>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</si>
  <si>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</si>
  <si>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</si>
  <si>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</si>
  <si>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</si>
  <si>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</si>
  <si>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</si>
  <si>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</si>
  <si>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</si>
  <si>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</si>
  <si>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</si>
  <si>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</si>
  <si>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</si>
  <si>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</si>
  <si>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</si>
  <si>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</si>
  <si>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</si>
  <si>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</si>
  <si>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</si>
  <si>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</si>
  <si>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</si>
  <si>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</si>
  <si>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</si>
  <si>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</si>
  <si>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</si>
  <si>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</si>
  <si>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</si>
  <si>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</si>
  <si>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</si>
  <si>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</si>
  <si>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</si>
  <si>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</si>
  <si>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</si>
  <si>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</si>
  <si>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</si>
  <si>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</si>
  <si>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</si>
  <si>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</si>
  <si>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</si>
  <si>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</si>
  <si>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</si>
  <si>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</si>
  <si>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</si>
  <si>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</si>
  <si>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</si>
  <si>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</si>
  <si>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</si>
  <si>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</si>
  <si>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</si>
  <si>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</si>
  <si>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</si>
  <si>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</si>
  <si>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</si>
  <si>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</si>
  <si>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</si>
  <si>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</si>
  <si>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</si>
  <si>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</si>
  <si>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</si>
  <si>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</si>
  <si>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</si>
  <si>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</si>
  <si>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</si>
  <si>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</si>
  <si>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</si>
  <si>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</si>
  <si>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</si>
  <si>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</si>
  <si>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</si>
  <si>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</si>
  <si>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</si>
  <si>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</si>
  <si>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</si>
  <si>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</si>
  <si>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</si>
  <si>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</si>
  <si>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</si>
  <si>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</si>
  <si>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</si>
  <si>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</si>
  <si>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</si>
  <si>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</si>
  <si>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</si>
  <si>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</si>
  <si>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</si>
  <si>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</si>
  <si>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</si>
  <si>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</si>
  <si>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</si>
  <si>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</si>
  <si>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</si>
  <si>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</si>
  <si>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</si>
  <si>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</si>
  <si>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</si>
  <si>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</si>
  <si>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</si>
  <si>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</si>
  <si>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</si>
  <si>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</si>
  <si>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</si>
  <si>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</si>
  <si>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</si>
  <si>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</si>
  <si>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</si>
  <si>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</si>
  <si>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</si>
  <si>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</si>
  <si>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</si>
  <si>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</si>
  <si>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</si>
  <si>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</si>
  <si>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</si>
  <si>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</si>
  <si>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</si>
  <si>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</si>
  <si>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</si>
  <si>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</si>
  <si>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</si>
  <si>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</si>
  <si>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</si>
  <si>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</si>
  <si>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</si>
  <si>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</si>
  <si>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</si>
  <si>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</si>
  <si>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</si>
  <si>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</si>
  <si>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</si>
  <si>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</si>
  <si>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</si>
  <si>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</si>
  <si>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</si>
  <si>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</si>
  <si>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</si>
  <si>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</si>
  <si>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</si>
  <si>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</si>
  <si>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</si>
  <si>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</si>
  <si>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</si>
  <si>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</si>
  <si>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</si>
  <si>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</si>
  <si>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</si>
  <si>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</si>
  <si>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</si>
  <si>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</si>
  <si>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</si>
  <si>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</si>
  <si>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</si>
  <si>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</si>
  <si>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</si>
  <si>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</si>
  <si>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</si>
  <si>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</si>
  <si>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</si>
  <si>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</si>
  <si>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</si>
  <si>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</si>
  <si>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</si>
  <si>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</si>
  <si>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</si>
  <si>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</si>
  <si>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</si>
  <si>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</si>
  <si>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</si>
  <si>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</si>
  <si>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</si>
  <si>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</si>
  <si>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</si>
  <si>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</si>
  <si>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</si>
  <si>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</si>
  <si>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</si>
  <si>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</si>
  <si>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</si>
  <si>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</si>
  <si>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</si>
  <si>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</si>
  <si>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</si>
  <si>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</si>
  <si>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</si>
  <si>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</si>
  <si>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</si>
  <si>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</si>
  <si>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</si>
  <si>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</si>
  <si>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</si>
  <si>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</si>
  <si>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</si>
  <si>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</si>
  <si>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</si>
  <si>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</si>
  <si>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</si>
  <si>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</si>
  <si>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</si>
  <si>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</si>
  <si>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</si>
  <si>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</si>
  <si>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</si>
  <si>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</si>
  <si>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</si>
  <si>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</si>
  <si>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</si>
  <si>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</si>
  <si>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</si>
  <si>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</si>
  <si>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</si>
  <si>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</si>
  <si>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</si>
  <si>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</si>
  <si>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</si>
  <si>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</si>
  <si>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</si>
  <si>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</si>
  <si>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</si>
  <si>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</si>
  <si>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</si>
  <si>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</si>
  <si>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</si>
  <si>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</si>
  <si>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</si>
  <si>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</si>
  <si>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</si>
  <si>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</si>
  <si>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</si>
  <si>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</si>
  <si>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</si>
  <si>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</si>
  <si>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</si>
  <si>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</si>
  <si>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</si>
  <si>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</si>
  <si>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</si>
  <si>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</si>
  <si>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</si>
  <si>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</si>
  <si>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</si>
  <si>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</si>
  <si>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</si>
  <si>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</si>
  <si>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</si>
  <si>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</si>
  <si>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</si>
  <si>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</si>
  <si>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</si>
  <si>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</si>
  <si>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</si>
  <si>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</si>
  <si>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</si>
  <si>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</si>
  <si>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</si>
  <si>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</si>
  <si>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</si>
  <si>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</si>
  <si>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</si>
  <si>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</si>
  <si>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</si>
  <si>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</si>
  <si>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</si>
  <si>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</si>
  <si>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</si>
  <si>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</si>
  <si>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</si>
  <si>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</si>
  <si>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</si>
  <si>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</si>
  <si>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</si>
  <si>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</si>
  <si>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</si>
  <si>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</si>
  <si>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</si>
  <si>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</si>
  <si>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</si>
  <si>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</si>
  <si>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</si>
  <si>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</si>
  <si>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</si>
  <si>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</si>
  <si>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</si>
  <si>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</si>
  <si>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</si>
  <si>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</si>
  <si>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</si>
  <si>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</si>
  <si>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</si>
  <si>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</si>
  <si>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</si>
  <si>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</si>
  <si>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</si>
  <si>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</si>
  <si>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</si>
  <si>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</si>
  <si>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</si>
  <si>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</si>
  <si>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</si>
  <si>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</si>
  <si>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</si>
  <si>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</si>
  <si>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</si>
  <si>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</si>
  <si>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</si>
  <si>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</si>
  <si>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</si>
  <si>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</si>
  <si>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</si>
  <si>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</si>
  <si>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</si>
  <si>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</si>
  <si>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</si>
  <si>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</si>
  <si>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</si>
  <si>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</si>
  <si>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</si>
  <si>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</si>
  <si>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</si>
  <si>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</si>
  <si>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</si>
  <si>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</si>
  <si>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</si>
  <si>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</si>
  <si>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</si>
  <si>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</si>
  <si>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</si>
  <si>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</si>
  <si>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</si>
  <si>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</si>
  <si>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</si>
  <si>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</si>
  <si>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</si>
  <si>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</si>
  <si>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</si>
  <si>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</si>
  <si>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</si>
  <si>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</si>
  <si>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</si>
  <si>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</si>
  <si>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</si>
  <si>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</si>
  <si>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</si>
  <si>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</si>
  <si>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</si>
  <si>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</si>
  <si>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</si>
  <si>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</si>
  <si>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</si>
  <si>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</si>
  <si>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</si>
  <si>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</si>
  <si>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</si>
  <si>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</si>
  <si>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</si>
  <si>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</si>
  <si>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</si>
  <si>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</si>
  <si>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</si>
  <si>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</si>
  <si>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</si>
  <si>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</si>
  <si>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</si>
  <si>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</si>
  <si>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</si>
  <si>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</si>
  <si>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</si>
  <si>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</si>
  <si>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</si>
  <si>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</si>
  <si>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</si>
  <si>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</si>
  <si>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</si>
  <si>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</si>
  <si>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</si>
  <si>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</si>
  <si>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</si>
  <si>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</si>
  <si>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</si>
  <si>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</si>
  <si>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</si>
  <si>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</si>
  <si>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</si>
  <si>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</si>
  <si>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</si>
  <si>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</si>
  <si>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</si>
  <si>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</si>
  <si>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</si>
  <si>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</si>
  <si>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</si>
  <si>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</si>
  <si>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</si>
  <si>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</si>
  <si>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</si>
  <si>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</si>
  <si>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</si>
  <si>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</si>
  <si>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</si>
  <si>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</si>
  <si>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</si>
  <si>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</si>
  <si>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</si>
  <si>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</si>
  <si>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</si>
  <si>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</si>
  <si>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</si>
  <si>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</si>
  <si>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</si>
  <si>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</si>
  <si>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</si>
  <si>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</si>
  <si>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</si>
  <si>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</si>
  <si>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</si>
  <si>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</si>
  <si>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</si>
  <si>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</si>
  <si>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</si>
  <si>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</si>
  <si>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</si>
  <si>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</si>
  <si>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</si>
  <si>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</si>
  <si>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</si>
  <si>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</si>
  <si>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</si>
  <si>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</si>
  <si>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</si>
  <si>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</si>
  <si>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</si>
  <si>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</si>
  <si>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</si>
  <si>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</si>
  <si>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</si>
  <si>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</si>
  <si>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</si>
  <si>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</si>
  <si>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</si>
  <si>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</si>
  <si>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</si>
  <si>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</si>
  <si>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</si>
  <si>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</si>
  <si>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</si>
  <si>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</si>
  <si>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</si>
  <si>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</si>
  <si>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</si>
  <si>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</si>
  <si>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</si>
  <si>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</si>
  <si>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</si>
  <si>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</si>
  <si>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</si>
  <si>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</si>
  <si>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</si>
  <si>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</si>
  <si>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</si>
  <si>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</si>
  <si>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</si>
  <si>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</si>
  <si>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</si>
  <si>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</si>
  <si>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</si>
  <si>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</si>
  <si>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</si>
  <si>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</si>
  <si>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</si>
  <si>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</si>
  <si>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</si>
  <si>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</si>
  <si>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</si>
  <si>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</si>
  <si>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</si>
  <si>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</si>
  <si>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</si>
  <si>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</si>
  <si>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</si>
  <si>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</si>
  <si>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</si>
  <si>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</si>
  <si>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</si>
  <si>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</si>
  <si>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</si>
  <si>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</si>
  <si>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</si>
  <si>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</si>
  <si>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</si>
  <si>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</si>
  <si>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</si>
  <si>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</si>
  <si>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</si>
  <si>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</si>
  <si>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</si>
  <si>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</si>
  <si>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</si>
  <si>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</si>
  <si>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</si>
  <si>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</si>
  <si>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</si>
  <si>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</si>
  <si>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</si>
  <si>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</si>
  <si>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</si>
  <si>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</si>
  <si>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</si>
  <si>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</si>
  <si>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</si>
  <si>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</si>
  <si>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</si>
  <si>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</si>
  <si>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</si>
  <si>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</si>
  <si>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</si>
  <si>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</si>
  <si>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</si>
  <si>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</si>
  <si>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</si>
  <si>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</si>
  <si>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</si>
  <si>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</si>
  <si>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</si>
  <si>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</si>
  <si>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</si>
  <si>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</si>
  <si>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</si>
  <si>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</si>
  <si>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</si>
  <si>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</si>
  <si>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</si>
  <si>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</si>
  <si>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</si>
  <si>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</si>
  <si>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</si>
  <si>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</si>
  <si>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</si>
  <si>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</si>
  <si>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</si>
  <si>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</si>
  <si>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</si>
  <si>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</si>
  <si>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</si>
  <si>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</si>
  <si>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</si>
  <si>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</si>
  <si>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</si>
  <si>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</si>
  <si>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</si>
  <si>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</si>
  <si>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</si>
  <si>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</si>
  <si>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</si>
  <si>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</si>
  <si>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</si>
  <si>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</si>
  <si>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</si>
  <si>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</si>
  <si>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</si>
  <si>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</si>
  <si>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</si>
  <si>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</si>
  <si>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</si>
  <si>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</si>
  <si>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</si>
  <si>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</si>
  <si>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</si>
  <si>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</si>
  <si>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</si>
  <si>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</si>
  <si>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</si>
  <si>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</si>
  <si>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</si>
  <si>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</si>
  <si>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</si>
  <si>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</si>
  <si>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</si>
  <si>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</si>
  <si>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</si>
  <si>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</si>
  <si>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</si>
  <si>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</si>
  <si>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</si>
  <si>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</si>
  <si>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</si>
  <si>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</si>
  <si>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</si>
  <si>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</si>
  <si>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</si>
  <si>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</si>
  <si>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</si>
  <si>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</si>
  <si>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</si>
  <si>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</si>
  <si>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</si>
  <si>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</si>
  <si>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</si>
  <si>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</si>
  <si>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</si>
  <si>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</si>
  <si>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</si>
  <si>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</si>
  <si>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</si>
  <si>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</si>
  <si>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</si>
  <si>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</si>
  <si>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</si>
  <si>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</si>
  <si>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</si>
  <si>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</si>
  <si>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</si>
  <si>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</si>
  <si>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</si>
  <si>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</si>
  <si>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</si>
  <si>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</si>
  <si>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</si>
  <si>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</si>
  <si>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</si>
  <si>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</si>
  <si>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</si>
  <si>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</si>
  <si>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</si>
  <si>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</si>
  <si>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</si>
  <si>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</si>
  <si>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</si>
  <si>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</si>
  <si>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</si>
  <si>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</si>
  <si>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</si>
  <si>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</si>
  <si>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</si>
  <si>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</si>
  <si>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</si>
  <si>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</si>
  <si>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</si>
  <si>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</si>
  <si>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</si>
  <si>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</si>
  <si>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</si>
  <si>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</si>
  <si>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</si>
  <si>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</si>
  <si>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</si>
  <si>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</si>
  <si>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</si>
  <si>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</si>
  <si>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</si>
  <si>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</si>
  <si>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</si>
  <si>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</si>
  <si>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</si>
  <si>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</si>
  <si>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</si>
  <si>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</si>
  <si>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</si>
  <si>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</si>
  <si>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</si>
  <si>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</si>
  <si>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</si>
  <si>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</si>
  <si>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</si>
  <si>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</si>
  <si>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</si>
  <si>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</si>
  <si>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</si>
  <si>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</si>
  <si>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</si>
  <si>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</si>
  <si>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</si>
  <si>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</si>
  <si>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</si>
  <si>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</si>
  <si>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</si>
  <si>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</si>
  <si>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</si>
  <si>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</si>
  <si>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</si>
  <si>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</si>
  <si>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</si>
  <si>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</si>
  <si>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</si>
  <si>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</si>
  <si>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</si>
  <si>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</si>
  <si>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</si>
  <si>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</si>
  <si>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</si>
  <si>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</si>
  <si>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</si>
  <si>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</si>
  <si>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</si>
  <si>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</si>
  <si>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</si>
  <si>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</si>
  <si>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</si>
  <si>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</si>
  <si>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</si>
  <si>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</si>
  <si>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</si>
  <si>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</si>
  <si>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</si>
  <si>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</si>
  <si>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</si>
  <si>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</si>
  <si>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</si>
  <si>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</si>
  <si>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</si>
  <si>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</si>
  <si>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</si>
  <si>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</si>
  <si>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</si>
  <si>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</si>
  <si>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</si>
  <si>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</si>
  <si>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</si>
  <si>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</si>
  <si>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</si>
  <si>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</si>
  <si>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</si>
  <si>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</si>
  <si>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</si>
  <si>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</si>
  <si>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</si>
  <si>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</si>
  <si>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</si>
  <si>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</si>
  <si>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</si>
  <si>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</si>
  <si>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</si>
  <si>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</si>
  <si>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</si>
  <si>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</si>
  <si>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</si>
  <si>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</si>
  <si>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</si>
  <si>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</si>
  <si>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</si>
  <si>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</si>
  <si>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</si>
  <si>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</si>
  <si>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</si>
  <si>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</si>
  <si>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</si>
  <si>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</si>
  <si>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</si>
  <si>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</si>
  <si>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</si>
  <si>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</si>
  <si>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</si>
  <si>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</si>
  <si>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</si>
  <si>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</si>
  <si>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</si>
  <si>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</si>
  <si>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</si>
  <si>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</si>
  <si>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</si>
  <si>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</si>
  <si>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</si>
  <si>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</si>
  <si>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</si>
  <si>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</si>
  <si>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</si>
  <si>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</si>
  <si>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</si>
  <si>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</si>
  <si>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</si>
  <si>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</si>
  <si>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</si>
  <si>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</si>
  <si>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</si>
  <si>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</si>
  <si>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</si>
  <si>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</si>
  <si>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</si>
  <si>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</si>
  <si>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</si>
  <si>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</si>
  <si>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</si>
  <si>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</si>
  <si>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</si>
  <si>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</si>
  <si>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</si>
  <si>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</si>
  <si>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</si>
  <si>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</si>
  <si>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</si>
  <si>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</si>
  <si>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</si>
  <si>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</si>
  <si>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</si>
  <si>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</si>
  <si>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</si>
  <si>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</si>
  <si>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</si>
  <si>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</si>
  <si>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</si>
  <si>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</si>
  <si>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</si>
  <si>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</si>
  <si>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</si>
  <si>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</si>
  <si>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</si>
  <si>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</si>
  <si>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</si>
  <si>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</si>
  <si>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</si>
  <si>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</si>
  <si>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</si>
  <si>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</si>
  <si>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</si>
  <si>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</si>
  <si>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</si>
  <si>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</si>
  <si>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</si>
  <si>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</si>
  <si>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</si>
  <si>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</si>
  <si>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</si>
  <si>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</si>
  <si>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</si>
  <si>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</si>
  <si>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</si>
  <si>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</si>
  <si>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</si>
  <si>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</si>
  <si>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</si>
  <si>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</si>
  <si>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</si>
  <si>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</si>
  <si>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</si>
  <si>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</si>
  <si>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</si>
  <si>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</si>
  <si>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</si>
  <si>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</si>
  <si>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</si>
  <si>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</si>
  <si>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</si>
  <si>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</si>
  <si>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</si>
  <si>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</si>
  <si>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</si>
  <si>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</si>
  <si>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</si>
  <si>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</si>
  <si>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</si>
  <si>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</si>
  <si>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</si>
  <si>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</si>
  <si>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</si>
  <si>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</si>
  <si>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</si>
  <si>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</si>
  <si>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</si>
  <si>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</si>
  <si>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</si>
  <si>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</si>
  <si>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</si>
  <si>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</si>
  <si>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</si>
  <si>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</si>
  <si>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</si>
  <si>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</si>
  <si>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</si>
  <si>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</si>
  <si>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</si>
  <si>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</si>
  <si>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</si>
  <si>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</si>
  <si>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</si>
  <si>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</si>
  <si>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</si>
  <si>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</si>
  <si>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</si>
  <si>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</si>
  <si>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</si>
  <si>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</si>
  <si>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</si>
  <si>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</si>
  <si>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</si>
  <si>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</si>
  <si>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</si>
  <si>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</si>
  <si>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</si>
  <si>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</si>
  <si>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</si>
  <si>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</si>
  <si>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</si>
  <si>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</si>
  <si>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</si>
  <si>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</si>
  <si>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</si>
  <si>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</si>
  <si>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</si>
  <si>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</si>
  <si>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</si>
  <si>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</si>
  <si>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</si>
  <si>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</si>
  <si>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</si>
  <si>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</si>
  <si>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</si>
  <si>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</si>
  <si>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</si>
  <si>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</si>
  <si>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</si>
  <si>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</si>
  <si>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</si>
  <si>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</si>
  <si>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</si>
  <si>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</si>
  <si>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</si>
  <si>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</si>
  <si>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</si>
  <si>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</si>
  <si>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</si>
  <si>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</si>
  <si>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</si>
  <si>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</si>
  <si>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</si>
  <si>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</si>
  <si>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</si>
  <si>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</si>
  <si>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</si>
  <si>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</si>
  <si>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</si>
  <si>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</si>
  <si>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</si>
  <si>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</si>
  <si>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</si>
  <si>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</si>
  <si>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</si>
  <si>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</si>
  <si>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</si>
  <si>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</si>
  <si>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</si>
  <si>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</si>
  <si>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</si>
  <si>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</si>
  <si>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</si>
  <si>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</si>
  <si>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</si>
  <si>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</si>
  <si>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</si>
  <si>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</si>
  <si>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</si>
  <si>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</si>
  <si>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</si>
  <si>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</si>
  <si>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</si>
  <si>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</si>
  <si>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</si>
  <si>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</si>
  <si>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</si>
  <si>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</si>
  <si>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</si>
  <si>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</si>
  <si>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</si>
  <si>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</si>
  <si>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</si>
  <si>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</si>
  <si>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</si>
  <si>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</si>
  <si>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</si>
  <si>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</si>
  <si>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</si>
  <si>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</si>
  <si>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</si>
  <si>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</si>
  <si>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</si>
  <si>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</si>
  <si>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</si>
  <si>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</si>
  <si>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</si>
  <si>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</si>
  <si>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</si>
  <si>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</si>
  <si>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</si>
  <si>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</si>
  <si>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</si>
  <si>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</si>
  <si>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</si>
  <si>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</si>
  <si>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</si>
  <si>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</si>
  <si>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</si>
  <si>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</si>
  <si>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</si>
  <si>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</si>
  <si>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</si>
  <si>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</si>
  <si>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</si>
  <si>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</si>
  <si>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</si>
  <si>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</si>
  <si>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</si>
  <si>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</si>
  <si>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</si>
  <si>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</si>
  <si>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</si>
  <si>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</si>
  <si>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</si>
  <si>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</si>
  <si>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</si>
  <si>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</si>
  <si>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</si>
  <si>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</si>
  <si>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</si>
  <si>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</si>
  <si>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</si>
  <si>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</si>
  <si>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</si>
  <si>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</si>
  <si>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</si>
  <si>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</si>
  <si>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</si>
  <si>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</si>
  <si>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</si>
  <si>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</si>
  <si>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</si>
  <si>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</si>
  <si>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</si>
  <si>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</si>
  <si>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</si>
  <si>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</si>
  <si>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</si>
  <si>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</si>
  <si>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</si>
  <si>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</si>
  <si>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</si>
  <si>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</si>
  <si>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</si>
  <si>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</si>
  <si>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</si>
  <si>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</si>
  <si>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</si>
  <si>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</si>
  <si>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</si>
  <si>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</si>
  <si>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</si>
  <si>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</si>
  <si>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</si>
  <si>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</si>
  <si>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</si>
  <si>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</si>
  <si>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</si>
  <si>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</si>
  <si>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</si>
  <si>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</si>
  <si>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</si>
  <si>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</si>
  <si>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</si>
  <si>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</si>
  <si>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</si>
  <si>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</si>
  <si>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</si>
  <si>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</si>
  <si>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</si>
  <si>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</si>
  <si>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</si>
  <si>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</si>
  <si>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</si>
  <si>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</si>
  <si>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</si>
  <si>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</si>
  <si>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</si>
  <si>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</si>
  <si>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</si>
  <si>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</si>
  <si>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</si>
  <si>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</si>
  <si>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</si>
  <si>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</si>
  <si>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</si>
  <si>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</si>
  <si>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</si>
  <si>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</si>
  <si>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</si>
  <si>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</si>
  <si>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</si>
  <si>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</si>
  <si>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</si>
  <si>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</si>
  <si>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</si>
  <si>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</si>
  <si>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</si>
  <si>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</si>
  <si>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</si>
  <si>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</si>
  <si>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</si>
  <si>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</si>
  <si>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</si>
  <si>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</si>
  <si>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</si>
  <si>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</si>
  <si>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</si>
  <si>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</si>
  <si>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</si>
  <si>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</si>
  <si>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</si>
  <si>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</si>
  <si>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</si>
  <si>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</si>
  <si>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</si>
  <si>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</si>
  <si>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</si>
  <si>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</si>
  <si>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</si>
  <si>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</si>
  <si>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</si>
  <si>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</si>
  <si>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</si>
  <si>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</si>
  <si>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</si>
  <si>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</si>
  <si>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</si>
  <si>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</si>
  <si>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</si>
  <si>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</si>
  <si>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</si>
  <si>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</si>
  <si>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</si>
  <si>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</si>
  <si>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</si>
  <si>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</si>
  <si>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</si>
  <si>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</si>
  <si>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</si>
  <si>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</si>
  <si>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</si>
  <si>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</si>
  <si>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</si>
  <si>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</si>
  <si>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</si>
  <si>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</si>
  <si>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</si>
  <si>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</si>
  <si>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</si>
  <si>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</si>
  <si>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</si>
  <si>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</si>
  <si>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</si>
  <si>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</si>
  <si>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</si>
  <si>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</si>
  <si>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</si>
  <si>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</si>
  <si>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</si>
  <si>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</si>
  <si>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</si>
  <si>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</si>
  <si>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</si>
  <si>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</si>
  <si>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</si>
  <si>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</si>
  <si>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</si>
  <si>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</si>
  <si>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</si>
  <si>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</si>
  <si>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</si>
  <si>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</si>
  <si>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</si>
  <si>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</si>
  <si>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</si>
  <si>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</si>
  <si>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</si>
  <si>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</si>
  <si>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</si>
  <si>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</si>
  <si>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</si>
  <si>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</si>
  <si>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</si>
  <si>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</si>
  <si>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</si>
  <si>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</si>
  <si>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</si>
  <si>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</si>
  <si>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</si>
  <si>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</si>
  <si>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</si>
  <si>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</si>
  <si>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</si>
  <si>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</si>
  <si>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</si>
  <si>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</si>
  <si>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</si>
  <si>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</si>
  <si>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</si>
  <si>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</si>
  <si>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</si>
  <si>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</si>
  <si>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</si>
  <si>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</si>
  <si>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</si>
  <si>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</si>
  <si>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</si>
  <si>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</si>
  <si>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</si>
  <si>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</si>
  <si>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</si>
  <si>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</si>
  <si>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</si>
  <si>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</si>
  <si>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</si>
  <si>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</si>
  <si>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</si>
  <si>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</si>
  <si>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</si>
  <si>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</si>
  <si>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</si>
  <si>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</si>
  <si>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</si>
  <si>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</si>
  <si>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</si>
  <si>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</si>
  <si>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</si>
  <si>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</si>
  <si>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</si>
  <si>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</si>
  <si>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</si>
  <si>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</si>
  <si>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</si>
  <si>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</si>
  <si>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</si>
  <si>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</si>
  <si>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</si>
  <si>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</si>
  <si>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</si>
  <si>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</si>
  <si>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</si>
  <si>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</si>
  <si>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</si>
  <si>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</si>
  <si>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</si>
  <si>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</si>
  <si>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</si>
  <si>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</si>
  <si>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</si>
  <si>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</si>
  <si>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</si>
  <si>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</si>
  <si>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</si>
  <si>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</si>
  <si>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</si>
  <si>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</si>
  <si>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</si>
  <si>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</si>
  <si>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</si>
  <si>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</si>
  <si>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</si>
  <si>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</si>
  <si>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</si>
  <si>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</si>
  <si>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</si>
  <si>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</si>
  <si>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</si>
  <si>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</si>
  <si>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</si>
  <si>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</si>
  <si>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</si>
  <si>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</si>
  <si>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</si>
  <si>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</si>
  <si>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</si>
  <si>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</si>
  <si>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</si>
  <si>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</si>
  <si>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</si>
  <si>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</si>
  <si>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</si>
  <si>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</si>
  <si>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</si>
  <si>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</si>
  <si>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</si>
  <si>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</si>
  <si>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</si>
  <si>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</si>
  <si>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</si>
  <si>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</si>
  <si>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</si>
  <si>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</si>
  <si>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</si>
  <si>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</si>
  <si>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</si>
  <si>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</si>
  <si>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</si>
  <si>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</si>
  <si>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</si>
  <si>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</si>
  <si>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</si>
  <si>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</si>
  <si>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</si>
  <si>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</si>
  <si>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</si>
  <si>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</si>
  <si>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</si>
  <si>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</si>
  <si>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</si>
  <si>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</si>
  <si>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</si>
  <si>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</si>
  <si>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</si>
  <si>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</si>
  <si>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</si>
  <si>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</si>
  <si>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</si>
  <si>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</si>
  <si>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</si>
  <si>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</si>
  <si>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</si>
  <si>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</si>
  <si>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</si>
  <si>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</si>
  <si>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</si>
  <si>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</si>
  <si>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</si>
  <si>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</si>
  <si>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</si>
  <si>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</si>
  <si>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</si>
  <si>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</si>
  <si>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</si>
  <si>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</si>
  <si>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</si>
  <si>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</si>
  <si>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</si>
  <si>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</si>
  <si>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</si>
  <si>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</si>
  <si>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</si>
  <si>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</si>
  <si>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</si>
  <si>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</si>
  <si>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</si>
  <si>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</si>
  <si>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</si>
  <si>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</si>
  <si>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</si>
  <si>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</si>
  <si>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</si>
  <si>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</si>
  <si>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</si>
  <si>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</si>
  <si>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</si>
  <si>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</si>
  <si>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</si>
  <si>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</si>
  <si>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</si>
  <si>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</si>
  <si>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</si>
  <si>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</si>
  <si>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</si>
  <si>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</si>
  <si>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</si>
  <si>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</si>
  <si>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</si>
  <si>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</si>
  <si>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</si>
  <si>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</si>
  <si>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</si>
  <si>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</si>
  <si>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</si>
  <si>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</si>
  <si>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</si>
  <si>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</si>
  <si>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</si>
  <si>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</si>
  <si>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</si>
  <si>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</si>
  <si>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</si>
  <si>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</si>
  <si>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</si>
  <si>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</si>
  <si>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</si>
  <si>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</si>
  <si>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</si>
  <si>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</si>
  <si>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</si>
  <si>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</si>
  <si>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</si>
  <si>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</si>
  <si>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</si>
  <si>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</si>
  <si>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</si>
  <si>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</si>
  <si>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</si>
  <si>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</si>
  <si>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</si>
  <si>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</si>
  <si>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</si>
  <si>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</si>
  <si>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</si>
  <si>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</si>
  <si>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</si>
  <si>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</si>
  <si>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</si>
  <si>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</si>
  <si>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</si>
  <si>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</si>
  <si>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</si>
  <si>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</si>
  <si>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</si>
  <si>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</si>
  <si>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</si>
  <si>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</si>
  <si>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</si>
  <si>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</si>
  <si>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</si>
  <si>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</si>
  <si>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</si>
  <si>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</si>
  <si>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</si>
  <si>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</si>
  <si>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</si>
  <si>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</si>
  <si>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</si>
  <si>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</si>
  <si>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</si>
  <si>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</si>
  <si>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</si>
  <si>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</si>
  <si>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</si>
  <si>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</si>
  <si>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</si>
  <si>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</si>
  <si>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</si>
  <si>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</si>
  <si>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</si>
  <si>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</si>
  <si>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</si>
  <si>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</si>
  <si>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</si>
  <si>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</si>
  <si>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</si>
  <si>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</si>
  <si>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</si>
  <si>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</si>
  <si>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</si>
  <si>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</si>
  <si>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</si>
  <si>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</si>
  <si>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</si>
  <si>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</si>
  <si>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</si>
  <si>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</si>
  <si>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</si>
  <si>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</si>
  <si>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</si>
  <si>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</si>
  <si>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</si>
  <si>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</si>
  <si>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</si>
  <si>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</si>
  <si>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</si>
  <si>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</si>
  <si>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</si>
  <si>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</si>
  <si>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</si>
  <si>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</si>
  <si>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</si>
  <si>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</si>
  <si>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</si>
  <si>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</si>
  <si>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</si>
  <si>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</si>
  <si>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</si>
  <si>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</si>
  <si>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</si>
  <si>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</si>
  <si>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</si>
  <si>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</si>
  <si>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</si>
  <si>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</si>
  <si>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</si>
  <si>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</si>
  <si>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</si>
  <si>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</si>
  <si>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</si>
  <si>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</si>
  <si>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</si>
  <si>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</si>
  <si>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</si>
  <si>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</si>
  <si>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</si>
  <si>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</si>
  <si>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</si>
  <si>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</si>
  <si>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</si>
  <si>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</si>
  <si>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</si>
  <si>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</si>
  <si>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</si>
  <si>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</si>
  <si>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</si>
  <si>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</si>
  <si>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</si>
  <si>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</si>
  <si>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</si>
  <si>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</si>
  <si>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</si>
  <si>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</si>
  <si>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</si>
  <si>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</si>
  <si>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</si>
  <si>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</si>
  <si>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</si>
  <si>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</si>
  <si>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</si>
  <si>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</si>
  <si>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</si>
  <si>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</si>
  <si>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</si>
  <si>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</si>
  <si>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</si>
  <si>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</si>
  <si>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</si>
  <si>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</si>
  <si>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</si>
  <si>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</si>
  <si>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</si>
  <si>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</si>
  <si>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</si>
  <si>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</si>
  <si>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</si>
  <si>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</si>
  <si>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</si>
  <si>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</si>
  <si>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</si>
  <si>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</si>
  <si>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</si>
  <si>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</si>
  <si>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</si>
  <si>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</si>
  <si>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</si>
  <si>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</si>
  <si>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</si>
  <si>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</si>
  <si>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</si>
  <si>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</si>
  <si>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</si>
  <si>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</si>
  <si>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</si>
  <si>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</si>
  <si>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</si>
  <si>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</si>
  <si>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</si>
  <si>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</si>
  <si>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</si>
  <si>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</si>
  <si>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</si>
  <si>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</si>
  <si>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</si>
  <si>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</si>
  <si>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</si>
  <si>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</si>
  <si>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</si>
  <si>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</si>
  <si>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</si>
  <si>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</si>
  <si>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</si>
  <si>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</si>
  <si>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</si>
  <si>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</si>
  <si>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</si>
  <si>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</si>
  <si>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</si>
  <si>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</si>
  <si>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</si>
  <si>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</si>
  <si>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</si>
  <si>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</si>
  <si>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</si>
  <si>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</si>
  <si>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</si>
  <si>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</si>
  <si>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</si>
  <si>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</si>
  <si>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</si>
  <si>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</si>
  <si>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</si>
  <si>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</si>
  <si>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</si>
  <si>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</si>
  <si>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</si>
  <si>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</si>
  <si>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</si>
  <si>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</si>
  <si>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</si>
  <si>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</si>
  <si>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</si>
  <si>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</si>
  <si>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</si>
  <si>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</si>
  <si>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</si>
  <si>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</si>
  <si>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</si>
  <si>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</si>
  <si>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</si>
  <si>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</si>
  <si>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</si>
  <si>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</si>
  <si>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</si>
  <si>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</si>
  <si>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</si>
  <si>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</si>
  <si>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</si>
  <si>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</si>
  <si>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</si>
  <si>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</si>
  <si>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</si>
  <si>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</si>
  <si>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</si>
  <si>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</si>
  <si>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</si>
  <si>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</si>
  <si>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</si>
  <si>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</si>
  <si>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</si>
  <si>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</si>
  <si>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</si>
  <si>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</si>
  <si>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</si>
  <si>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</si>
  <si>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</si>
  <si>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</si>
  <si>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</si>
  <si>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</si>
  <si>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</si>
  <si>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</si>
  <si>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</si>
  <si>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</si>
  <si>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</si>
  <si>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</si>
  <si>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</si>
  <si>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</si>
  <si>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</si>
  <si>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</si>
  <si>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</si>
  <si>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</si>
  <si>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</si>
  <si>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</si>
  <si>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</si>
  <si>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</si>
  <si>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</si>
  <si>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</si>
  <si>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</si>
  <si>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</si>
  <si>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</si>
  <si>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</si>
  <si>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</si>
  <si>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</si>
  <si>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</si>
  <si>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</si>
  <si>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</si>
  <si>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</si>
  <si>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</si>
  <si>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</si>
  <si>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</si>
  <si>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</si>
  <si>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</si>
  <si>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</si>
  <si>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</si>
  <si>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</si>
  <si>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</si>
  <si>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</si>
  <si>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</si>
  <si>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</si>
  <si>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</si>
  <si>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</si>
  <si>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</si>
  <si>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</si>
  <si>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</si>
  <si>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</si>
  <si>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</si>
  <si>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</si>
  <si>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</si>
  <si>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</si>
  <si>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</si>
  <si>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</si>
  <si>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</si>
  <si>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</si>
  <si>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</si>
  <si>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</si>
  <si>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</si>
  <si>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</si>
  <si>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</si>
  <si>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</si>
  <si>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</si>
  <si>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</si>
  <si>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</si>
  <si>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</si>
  <si>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</si>
  <si>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</si>
  <si>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</si>
  <si>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</si>
  <si>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</si>
  <si>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</si>
  <si>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</si>
  <si>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</si>
  <si>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</si>
  <si>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</si>
  <si>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</si>
  <si>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</si>
  <si>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</si>
  <si>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</si>
  <si>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</si>
  <si>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</si>
  <si>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</si>
  <si>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</si>
  <si>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</si>
  <si>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</si>
  <si>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</si>
  <si>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</si>
  <si>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</si>
  <si>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</si>
  <si>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</si>
  <si>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</si>
  <si>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</si>
  <si>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</si>
  <si>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</si>
  <si>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</si>
  <si>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</si>
  <si>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</si>
  <si>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</si>
  <si>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</si>
  <si>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</si>
  <si>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</si>
  <si>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</si>
  <si>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</si>
  <si>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</si>
  <si>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</si>
  <si>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</si>
  <si>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</si>
  <si>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</si>
  <si>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</si>
  <si>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</si>
  <si>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</si>
  <si>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</si>
  <si>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</si>
  <si>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</si>
  <si>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</si>
  <si>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</si>
  <si>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</si>
  <si>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</si>
  <si>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</si>
  <si>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</si>
  <si>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</si>
  <si>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</si>
  <si>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</si>
  <si>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</si>
  <si>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</si>
  <si>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</si>
  <si>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</si>
  <si>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</si>
  <si>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</si>
  <si>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</si>
  <si>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</si>
  <si>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</si>
  <si>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</si>
  <si>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</si>
  <si>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</si>
  <si>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</si>
  <si>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</si>
  <si>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</si>
  <si>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</si>
  <si>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</si>
  <si>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</si>
  <si>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</si>
  <si>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</si>
  <si>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</si>
  <si>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</si>
  <si>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</si>
  <si>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</si>
  <si>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</si>
  <si>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</si>
  <si>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</si>
  <si>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</si>
  <si>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</si>
  <si>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</si>
  <si>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</si>
  <si>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</si>
  <si>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</si>
  <si>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</si>
  <si>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</si>
  <si>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</si>
  <si>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</si>
  <si>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</si>
  <si>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</si>
  <si>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</si>
  <si>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</si>
  <si>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</si>
  <si>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</si>
  <si>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</si>
  <si>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</si>
  <si>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</si>
  <si>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</si>
  <si>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</si>
  <si>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</si>
  <si>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</si>
  <si>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</si>
  <si>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</si>
  <si>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</si>
  <si>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</si>
  <si>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</si>
  <si>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</si>
  <si>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</si>
  <si>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</si>
  <si>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</si>
  <si>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</si>
  <si>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</si>
  <si>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</si>
  <si>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</si>
  <si>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</si>
  <si>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</si>
  <si>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</si>
  <si>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</si>
  <si>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</si>
  <si>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</si>
  <si>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</si>
  <si>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</si>
  <si>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</si>
  <si>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</si>
  <si>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</si>
  <si>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</si>
  <si>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</si>
  <si>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</si>
  <si>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</si>
  <si>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</si>
  <si>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</si>
  <si>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</si>
  <si>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</si>
  <si>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</si>
  <si>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</si>
  <si>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</si>
  <si>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</si>
  <si>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</si>
  <si>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</si>
  <si>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</si>
  <si>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</si>
  <si>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</si>
  <si>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</si>
  <si>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</si>
  <si>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</si>
  <si>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</si>
  <si>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</si>
  <si>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</si>
  <si>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</si>
  <si>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</si>
  <si>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</si>
  <si>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</si>
  <si>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</si>
  <si>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</si>
  <si>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</si>
  <si>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</si>
  <si>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</si>
  <si>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</si>
  <si>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</si>
  <si>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</si>
  <si>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</si>
  <si>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</si>
  <si>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</si>
  <si>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</si>
  <si>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</si>
  <si>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</si>
  <si>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</si>
  <si>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</si>
  <si>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</si>
  <si>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</si>
  <si>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</si>
  <si>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</si>
  <si>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</si>
  <si>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</si>
  <si>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</si>
  <si>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</si>
  <si>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</si>
  <si>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</si>
  <si>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</si>
  <si>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</si>
  <si>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</si>
  <si>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</si>
  <si>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</si>
  <si>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</si>
  <si>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</si>
  <si>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</si>
  <si>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</si>
  <si>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</si>
  <si>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</si>
  <si>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</si>
  <si>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</si>
  <si>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</si>
  <si>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</si>
  <si>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</si>
  <si>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</si>
  <si>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</si>
  <si>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</si>
  <si>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</si>
  <si>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</si>
  <si>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</si>
  <si>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</si>
  <si>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</si>
  <si>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</si>
  <si>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</si>
  <si>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</si>
  <si>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</si>
  <si>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</si>
  <si>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</si>
  <si>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</si>
  <si>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</si>
  <si>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</si>
  <si>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</si>
  <si>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</si>
  <si>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</si>
  <si>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</si>
  <si>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</si>
  <si>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</si>
  <si>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</si>
  <si>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</si>
  <si>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</si>
  <si>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</si>
  <si>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</si>
  <si>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</si>
  <si>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</si>
  <si>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</si>
  <si>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</si>
  <si>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</si>
  <si>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</si>
  <si>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</si>
  <si>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</si>
  <si>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</si>
  <si>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</si>
  <si>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</si>
  <si>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</si>
  <si>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</si>
  <si>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</si>
  <si>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</si>
  <si>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</si>
  <si>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</si>
  <si>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</si>
  <si>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</si>
  <si>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</si>
  <si>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</si>
  <si>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</si>
  <si>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</si>
  <si>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</si>
  <si>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</si>
  <si>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</si>
  <si>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</si>
  <si>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</si>
  <si>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</si>
  <si>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</si>
  <si>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</si>
  <si>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</si>
  <si>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</si>
  <si>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</si>
  <si>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</si>
  <si>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</si>
  <si>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</si>
  <si>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</si>
  <si>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</si>
  <si>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</si>
  <si>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</si>
  <si>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</si>
  <si>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</si>
  <si>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</si>
  <si>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</si>
  <si>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</si>
  <si>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</si>
  <si>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</si>
  <si>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</si>
  <si>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</si>
  <si>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</si>
  <si>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</si>
  <si>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</si>
  <si>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</si>
  <si>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</si>
  <si>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</si>
  <si>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</si>
  <si>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</si>
  <si>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</si>
  <si>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</si>
  <si>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</si>
  <si>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</si>
  <si>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</si>
  <si>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</si>
  <si>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</si>
  <si>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</si>
  <si>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</si>
  <si>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</si>
  <si>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</si>
  <si>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</si>
  <si>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</si>
  <si>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</si>
  <si>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</si>
  <si>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</si>
  <si>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</si>
  <si>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</si>
  <si>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</si>
  <si>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</si>
  <si>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</si>
  <si>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</si>
  <si>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</si>
  <si>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</si>
  <si>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</si>
  <si>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</si>
  <si>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</si>
  <si>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</si>
  <si>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</si>
  <si>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</si>
  <si>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</si>
  <si>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</si>
  <si>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</si>
  <si>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</si>
  <si>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</si>
  <si>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</si>
  <si>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</si>
  <si>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</si>
  <si>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</si>
  <si>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</si>
  <si>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</si>
  <si>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</si>
  <si>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</si>
  <si>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</si>
  <si>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</si>
  <si>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</si>
  <si>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</si>
  <si>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</si>
  <si>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</si>
  <si>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</si>
  <si>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</si>
  <si>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</si>
  <si>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</si>
  <si>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</si>
  <si>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</si>
  <si>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</si>
  <si>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</si>
  <si>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</si>
  <si>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</si>
  <si>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</si>
  <si>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</si>
  <si>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</si>
  <si>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</si>
  <si>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</si>
  <si>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</si>
  <si>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</si>
  <si>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</si>
  <si>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</si>
  <si>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</si>
  <si>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</si>
  <si>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</si>
  <si>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</si>
  <si>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</si>
  <si>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</si>
  <si>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</si>
  <si>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</si>
  <si>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</si>
  <si>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</si>
  <si>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</si>
  <si>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</si>
  <si>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</si>
  <si>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</si>
  <si>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</si>
  <si>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</si>
  <si>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</si>
  <si>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</si>
  <si>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</si>
  <si>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</si>
  <si>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</si>
  <si>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</si>
  <si>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</si>
  <si>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</si>
  <si>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</si>
  <si>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</si>
  <si>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</si>
  <si>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</si>
  <si>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</si>
  <si>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</si>
  <si>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</si>
  <si>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</si>
  <si>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</si>
  <si>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</si>
  <si>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</si>
  <si>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</si>
  <si>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</si>
  <si>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</si>
  <si>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</si>
  <si>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</si>
  <si>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</si>
  <si>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</si>
  <si>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</si>
  <si>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</si>
  <si>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</si>
  <si>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</si>
  <si>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</si>
  <si>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</si>
  <si>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</si>
  <si>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</si>
  <si>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</si>
  <si>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</si>
  <si>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</si>
  <si>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</si>
  <si>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</si>
  <si>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</si>
  <si>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</si>
  <si>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</si>
  <si>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</si>
  <si>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</si>
  <si>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</si>
  <si>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</si>
  <si>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</si>
  <si>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</si>
  <si>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</si>
  <si>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</si>
  <si>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</si>
  <si>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</si>
  <si>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</si>
  <si>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</si>
  <si>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</si>
  <si>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</si>
  <si>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</si>
  <si>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</si>
  <si>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</si>
  <si>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</si>
  <si>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</si>
  <si>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</si>
  <si>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</si>
  <si>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</si>
  <si>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</si>
  <si>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</si>
  <si>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</si>
  <si>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</si>
  <si>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</si>
  <si>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</si>
  <si>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</si>
  <si>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</si>
  <si>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</si>
  <si>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</si>
  <si>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</si>
  <si>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</si>
  <si>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</si>
  <si>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</si>
  <si>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</si>
  <si>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</si>
  <si>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</si>
  <si>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</si>
  <si>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</si>
  <si>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</si>
  <si>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</si>
  <si>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</si>
  <si>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</si>
  <si>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</si>
  <si>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</si>
  <si>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</si>
  <si>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</si>
  <si>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</si>
  <si>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</si>
  <si>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</si>
  <si>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</si>
  <si>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</si>
  <si>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</si>
  <si>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</si>
  <si>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</si>
  <si>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</si>
  <si>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</si>
  <si>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</si>
  <si>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</si>
  <si>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</si>
  <si>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</si>
  <si>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</si>
  <si>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</si>
  <si>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</si>
  <si>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</si>
  <si>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</si>
  <si>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</si>
  <si>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</si>
  <si>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</si>
  <si>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</si>
  <si>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</si>
  <si>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</si>
  <si>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</si>
  <si>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</si>
  <si>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</si>
  <si>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</si>
  <si>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</si>
  <si>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</si>
  <si>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</si>
  <si>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</si>
  <si>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</si>
  <si>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</si>
  <si>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</si>
  <si>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</si>
  <si>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</si>
  <si>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</si>
  <si>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</si>
  <si>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</si>
  <si>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</si>
  <si>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</si>
  <si>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</si>
  <si>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</si>
  <si>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</si>
  <si>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</si>
  <si>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</si>
  <si>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</si>
  <si>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</si>
  <si>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</si>
  <si>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</si>
  <si>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</si>
  <si>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</si>
  <si>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</si>
  <si>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</si>
  <si>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</si>
  <si>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</si>
  <si>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</si>
  <si>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</si>
  <si>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</si>
  <si>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</si>
  <si>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</si>
  <si>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</si>
  <si>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</si>
  <si>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</si>
  <si>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</si>
  <si>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</si>
  <si>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</si>
  <si>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</si>
  <si>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</si>
  <si>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</si>
  <si>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</si>
  <si>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</si>
  <si>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</si>
  <si>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</si>
  <si>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</si>
  <si>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</si>
  <si>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</si>
  <si>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</si>
  <si>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</si>
  <si>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</si>
  <si>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</si>
  <si>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</si>
  <si>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</si>
  <si>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</si>
  <si>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</si>
  <si>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</si>
  <si>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</si>
  <si>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</si>
  <si>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</si>
  <si>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</si>
  <si>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</si>
  <si>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</si>
  <si>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</si>
  <si>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</si>
  <si>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</si>
  <si>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</si>
  <si>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</si>
  <si>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</si>
  <si>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</si>
  <si>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</si>
  <si>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</si>
  <si>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</si>
  <si>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</si>
  <si>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</si>
  <si>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</si>
  <si>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</si>
  <si>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</si>
  <si>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</si>
  <si>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</si>
  <si>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</si>
  <si>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</si>
  <si>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</si>
  <si>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</si>
  <si>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</si>
  <si>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</si>
  <si>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</si>
  <si>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</si>
  <si>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</si>
  <si>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</si>
  <si>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</si>
  <si>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</si>
  <si>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</si>
  <si>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</si>
  <si>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</si>
  <si>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</si>
  <si>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</si>
  <si>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</si>
  <si>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</si>
  <si>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</si>
  <si>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</si>
  <si>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</si>
  <si>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</si>
  <si>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</si>
  <si>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</si>
  <si>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</si>
  <si>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</si>
  <si>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</si>
  <si>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</si>
  <si>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</si>
  <si>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</si>
  <si>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</si>
  <si>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</si>
  <si>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</si>
  <si>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</si>
  <si>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</si>
  <si>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</si>
  <si>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</si>
  <si>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</si>
  <si>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</si>
  <si>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</si>
  <si>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</si>
  <si>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</si>
  <si>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</si>
  <si>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</si>
  <si>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</si>
  <si>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</si>
  <si>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</si>
  <si>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</si>
  <si>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</si>
  <si>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</si>
  <si>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</si>
  <si>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</si>
  <si>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</si>
  <si>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</si>
  <si>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</si>
  <si>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</si>
  <si>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</si>
  <si>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</si>
  <si>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</si>
  <si>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</si>
  <si>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</si>
  <si>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</si>
  <si>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</si>
  <si>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</si>
  <si>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</si>
  <si>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</si>
  <si>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</si>
  <si>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</si>
  <si>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</si>
  <si>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</si>
  <si>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</si>
  <si>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</si>
  <si>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</si>
  <si>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</si>
  <si>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</si>
  <si>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</si>
  <si>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</si>
  <si>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</si>
  <si>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</si>
  <si>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</si>
  <si>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</si>
  <si>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</si>
  <si>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</si>
  <si>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</si>
  <si>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</si>
  <si>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</si>
  <si>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</si>
  <si>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</si>
  <si>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</si>
  <si>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</si>
  <si>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</si>
  <si>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</si>
  <si>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</si>
  <si>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</si>
  <si>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</si>
  <si>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</si>
  <si>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</si>
  <si>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</si>
  <si>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</si>
  <si>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</si>
  <si>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</si>
  <si>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</si>
  <si>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</si>
  <si>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</si>
  <si>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</si>
  <si>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</si>
  <si>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</si>
  <si>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</si>
  <si>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</si>
  <si>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</si>
  <si>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</si>
  <si>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</si>
  <si>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</si>
  <si>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</si>
  <si>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</si>
  <si>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</si>
  <si>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</si>
  <si>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</si>
  <si>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</si>
  <si>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</si>
  <si>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</si>
  <si>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</si>
  <si>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</si>
  <si>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</si>
  <si>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</si>
  <si>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</si>
  <si>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</si>
  <si>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</si>
  <si>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</si>
  <si>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</si>
  <si>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</si>
  <si>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</si>
  <si>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</si>
  <si>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</si>
  <si>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</si>
  <si>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</si>
  <si>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</si>
  <si>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</si>
  <si>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</si>
  <si>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</si>
  <si>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</si>
  <si>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</si>
  <si>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</si>
  <si>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</si>
  <si>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</si>
  <si>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</si>
  <si>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</si>
  <si>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</si>
  <si>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</si>
  <si>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</si>
  <si>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</si>
  <si>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</si>
  <si>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</si>
  <si>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</si>
  <si>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</si>
  <si>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</si>
  <si>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</si>
  <si>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</si>
  <si>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</si>
  <si>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</si>
  <si>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</si>
  <si>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</si>
  <si>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</si>
  <si>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</si>
  <si>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</si>
  <si>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</si>
  <si>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</si>
  <si>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</si>
  <si>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</si>
  <si>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</si>
  <si>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</si>
  <si>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</si>
  <si>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</si>
  <si>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</si>
  <si>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</si>
  <si>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</si>
  <si>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</si>
  <si>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</si>
  <si>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</si>
  <si>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</si>
  <si>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</si>
  <si>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</si>
  <si>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</si>
  <si>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</si>
  <si>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</si>
  <si>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</si>
  <si>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</si>
  <si>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</si>
  <si>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</si>
  <si>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</si>
  <si>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</si>
  <si>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</si>
  <si>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</si>
  <si>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</si>
  <si>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</si>
  <si>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</si>
  <si>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</si>
  <si>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</si>
  <si>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</si>
  <si>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</si>
  <si>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</si>
  <si>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</si>
  <si>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</si>
  <si>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</si>
  <si>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</si>
  <si>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</si>
  <si>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</si>
  <si>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</si>
  <si>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</si>
  <si>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</si>
  <si>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</si>
  <si>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</si>
  <si>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</si>
  <si>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</si>
  <si>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</si>
  <si>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</si>
  <si>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</si>
  <si>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</si>
  <si>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</si>
  <si>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</si>
  <si>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</si>
  <si>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</si>
  <si>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</si>
  <si>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</si>
  <si>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</si>
  <si>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</si>
  <si>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</si>
  <si>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</si>
  <si>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</si>
  <si>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</si>
  <si>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</si>
  <si>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</si>
  <si>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</si>
  <si>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</si>
  <si>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</si>
  <si>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</si>
  <si>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</si>
  <si>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</si>
  <si>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</si>
  <si>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</si>
  <si>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</si>
  <si>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</si>
  <si>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</si>
  <si>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</si>
  <si>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</si>
  <si>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</si>
  <si>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</si>
  <si>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</si>
  <si>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</si>
  <si>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</si>
  <si>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</si>
  <si>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</si>
  <si>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</si>
  <si>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</si>
  <si>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</si>
  <si>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</si>
  <si>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</si>
  <si>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</si>
  <si>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</si>
  <si>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</si>
  <si>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</si>
  <si>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</si>
  <si>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</si>
  <si>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</si>
  <si>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</si>
  <si>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</si>
  <si>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</si>
  <si>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</si>
  <si>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</si>
  <si>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</si>
  <si>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</si>
  <si>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</si>
  <si>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</si>
  <si>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</si>
  <si>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</si>
  <si>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</si>
  <si>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</si>
  <si>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</si>
  <si>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</si>
  <si>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</si>
  <si>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</si>
  <si>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</si>
  <si>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</si>
  <si>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</si>
  <si>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</si>
  <si>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</si>
  <si>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</si>
  <si>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</si>
  <si>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</si>
  <si>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</si>
  <si>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</si>
  <si>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</si>
  <si>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</si>
  <si>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</si>
  <si>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</si>
  <si>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</si>
  <si>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</si>
  <si>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</si>
  <si>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</si>
  <si>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</si>
  <si>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</si>
  <si>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</si>
  <si>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</si>
  <si>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</si>
  <si>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</si>
  <si>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</si>
  <si>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</si>
  <si>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</si>
  <si>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</si>
  <si>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</si>
  <si>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</si>
  <si>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</si>
  <si>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</si>
  <si>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</si>
  <si>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</si>
  <si>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</si>
  <si>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</si>
  <si>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</si>
  <si>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</si>
  <si>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</si>
  <si>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</si>
  <si>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</si>
  <si>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</si>
  <si>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</si>
  <si>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</si>
  <si>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</si>
  <si>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</si>
  <si>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</si>
  <si>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</si>
  <si>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</si>
  <si>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</si>
  <si>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</si>
  <si>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</si>
  <si>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</si>
  <si>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</si>
  <si>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</si>
  <si>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</si>
  <si>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</si>
  <si>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</si>
  <si>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</si>
  <si>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</si>
  <si>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</si>
  <si>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</si>
  <si>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</si>
  <si>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</si>
  <si>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</si>
  <si>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</si>
  <si>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</si>
  <si>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</si>
  <si>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</si>
  <si>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</si>
  <si>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</si>
  <si>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</si>
  <si>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</si>
  <si>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</si>
  <si>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</si>
  <si>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</si>
  <si>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</si>
  <si>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</si>
  <si>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</si>
  <si>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</si>
  <si>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</si>
  <si>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</si>
  <si>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</si>
  <si>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</si>
  <si>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</si>
  <si>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</si>
  <si>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</si>
  <si>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</si>
  <si>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</si>
  <si>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</si>
  <si>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</si>
  <si>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</si>
  <si>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</si>
  <si>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</si>
  <si>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</si>
  <si>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</si>
  <si>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</si>
  <si>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</si>
  <si>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</si>
  <si>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</si>
  <si>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</si>
  <si>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</si>
  <si>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</si>
  <si>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</si>
  <si>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</si>
  <si>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</si>
  <si>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</si>
  <si>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</si>
  <si>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</si>
  <si>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</si>
  <si>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</si>
  <si>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</si>
  <si>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</si>
  <si>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</si>
  <si>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</si>
  <si>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</si>
  <si>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</si>
  <si>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</si>
  <si>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</si>
  <si>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</si>
  <si>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</si>
  <si>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</si>
  <si>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</si>
  <si>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</si>
  <si>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</si>
  <si>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</si>
  <si>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</si>
  <si>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</si>
  <si>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</si>
  <si>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</si>
  <si>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</si>
  <si>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</si>
  <si>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</si>
  <si>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</si>
  <si>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</si>
  <si>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</si>
  <si>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</si>
  <si>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</si>
  <si>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</si>
  <si>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</si>
  <si>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</si>
  <si>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</si>
  <si>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</si>
  <si>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</si>
  <si>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</si>
  <si>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</si>
  <si>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</si>
  <si>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</si>
  <si>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</si>
  <si>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</si>
  <si>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</si>
  <si>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</si>
  <si>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</si>
  <si>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</si>
  <si>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</si>
  <si>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</si>
  <si>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</si>
  <si>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</si>
  <si>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</si>
  <si>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</si>
  <si>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</si>
  <si>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</si>
  <si>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</si>
  <si>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</si>
  <si>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</si>
  <si>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</si>
  <si>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</si>
  <si>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</si>
  <si>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</si>
  <si>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</si>
  <si>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</si>
  <si>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</si>
  <si>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</si>
  <si>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</si>
  <si>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</si>
  <si>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</si>
  <si>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</si>
  <si>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</si>
  <si>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</si>
  <si>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</si>
  <si>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</si>
  <si>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</si>
  <si>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</si>
  <si>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</si>
  <si>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</si>
  <si>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</si>
  <si>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</si>
  <si>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</si>
  <si>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</si>
  <si>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</si>
  <si>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</si>
  <si>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</si>
  <si>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</si>
  <si>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</si>
  <si>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</si>
  <si>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</si>
  <si>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</si>
  <si>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</si>
  <si>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</si>
  <si>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</si>
  <si>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</si>
  <si>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</si>
  <si>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</si>
  <si>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</si>
  <si>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</si>
  <si>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</si>
  <si>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</si>
  <si>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</si>
  <si>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</si>
  <si>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</si>
  <si>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</si>
  <si>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</si>
  <si>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</si>
  <si>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</si>
  <si>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</si>
  <si>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</si>
  <si>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</si>
  <si>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</si>
  <si>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</si>
  <si>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</si>
  <si>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</si>
  <si>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</si>
  <si>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</si>
  <si>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</si>
  <si>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</si>
  <si>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</si>
  <si>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</si>
  <si>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</si>
  <si>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</si>
  <si>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</si>
  <si>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</si>
  <si>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</si>
  <si>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</si>
  <si>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</si>
  <si>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</si>
  <si>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</si>
  <si>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</si>
  <si>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</si>
  <si>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</si>
  <si>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</si>
  <si>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</si>
  <si>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</si>
  <si>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</si>
  <si>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</si>
  <si>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</si>
  <si>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</si>
  <si>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</si>
  <si>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</si>
  <si>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</si>
  <si>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</si>
  <si>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</si>
  <si>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</si>
  <si>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</si>
  <si>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</si>
  <si>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</si>
  <si>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</si>
  <si>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</si>
  <si>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</si>
  <si>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</si>
  <si>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</si>
  <si>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</si>
  <si>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</si>
  <si>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</si>
  <si>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</si>
  <si>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</si>
  <si>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</si>
  <si>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</si>
  <si>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</si>
  <si>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</si>
  <si>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</si>
  <si>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</si>
  <si>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</si>
  <si>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</si>
  <si>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</si>
  <si>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</si>
  <si>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</si>
  <si>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</si>
  <si>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</si>
  <si>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</si>
  <si>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</si>
  <si>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</si>
  <si>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</si>
  <si>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</si>
  <si>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</si>
  <si>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</si>
  <si>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</si>
  <si>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</si>
  <si>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</si>
  <si>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</si>
  <si>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</si>
  <si>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</si>
  <si>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</si>
  <si>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</si>
  <si>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</si>
  <si>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</si>
  <si>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</si>
  <si>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</si>
  <si>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</si>
  <si>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</si>
  <si>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</si>
  <si>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</si>
  <si>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</si>
  <si>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</si>
  <si>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</si>
  <si>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</si>
  <si>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</si>
  <si>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</si>
  <si>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</si>
  <si>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</si>
  <si>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</si>
  <si>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</si>
  <si>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</si>
  <si>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</si>
  <si>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</si>
  <si>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</si>
  <si>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</si>
  <si>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</si>
  <si>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</si>
  <si>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</si>
  <si>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</si>
  <si>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</si>
  <si>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</si>
  <si>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</si>
  <si>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</si>
  <si>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</si>
  <si>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</si>
  <si>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</si>
  <si>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</si>
  <si>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</si>
  <si>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</si>
  <si>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</si>
  <si>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</si>
  <si>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</si>
  <si>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</si>
  <si>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</si>
  <si>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</si>
  <si>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</si>
  <si>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</si>
  <si>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</si>
  <si>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</si>
  <si>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</si>
  <si>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</si>
  <si>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</si>
  <si>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</si>
  <si>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</si>
  <si>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</si>
  <si>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</si>
  <si>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</si>
  <si>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</si>
  <si>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</si>
  <si>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</si>
  <si>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</si>
  <si>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</si>
  <si>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</si>
  <si>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</si>
  <si>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</si>
  <si>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</si>
  <si>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</si>
  <si>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</si>
  <si>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</si>
  <si>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</si>
  <si>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</si>
  <si>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</si>
  <si>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</si>
  <si>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</si>
  <si>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</si>
  <si>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</si>
  <si>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</si>
  <si>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</si>
  <si>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</si>
  <si>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</si>
  <si>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</si>
  <si>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</si>
  <si>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</si>
  <si>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</si>
  <si>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</si>
  <si>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</si>
  <si>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</si>
  <si>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</si>
  <si>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</si>
  <si>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</si>
  <si>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</si>
  <si>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</si>
  <si>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</si>
  <si>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</si>
  <si>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</si>
  <si>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</si>
  <si>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</si>
  <si>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</si>
  <si>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</si>
  <si>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</si>
  <si>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</si>
  <si>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</si>
  <si>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</si>
  <si>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</si>
  <si>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</si>
  <si>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</si>
  <si>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</si>
  <si>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</si>
  <si>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</si>
  <si>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</si>
  <si>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</si>
  <si>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</si>
  <si>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</si>
  <si>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</si>
  <si>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</si>
  <si>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</si>
  <si>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</si>
  <si>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</si>
  <si>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</si>
  <si>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</si>
  <si>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</si>
  <si>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</si>
  <si>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</si>
  <si>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</si>
  <si>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</si>
  <si>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</si>
  <si>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</si>
  <si>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</si>
  <si>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</si>
  <si>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</si>
  <si>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</si>
  <si>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</si>
  <si>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</si>
  <si>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</si>
  <si>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</si>
  <si>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</si>
  <si>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</si>
  <si>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</si>
  <si>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</si>
  <si>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</si>
  <si>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</si>
  <si>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</si>
  <si>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</si>
  <si>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</si>
  <si>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</si>
  <si>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</si>
  <si>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</si>
  <si>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</si>
  <si>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</si>
  <si>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</si>
  <si>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</si>
  <si>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</si>
  <si>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</si>
  <si>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</si>
  <si>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</si>
  <si>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</si>
  <si>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</si>
  <si>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</si>
  <si>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</si>
  <si>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</si>
  <si>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</si>
  <si>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</si>
  <si>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</si>
  <si>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</si>
  <si>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</si>
  <si>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</si>
  <si>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</si>
  <si>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</si>
  <si>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</si>
  <si>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</si>
  <si>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</si>
  <si>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</si>
  <si>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</si>
  <si>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</si>
  <si>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</si>
  <si>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</si>
  <si>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</si>
  <si>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</si>
  <si>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</si>
  <si>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</si>
  <si>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</si>
  <si>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</si>
  <si>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</si>
  <si>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</si>
  <si>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</si>
  <si>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</si>
  <si>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</si>
  <si>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</si>
  <si>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</si>
  <si>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</si>
  <si>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</si>
  <si>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</si>
  <si>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</si>
  <si>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</si>
  <si>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</si>
  <si>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</si>
  <si>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</si>
  <si>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</si>
  <si>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</si>
  <si>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</si>
  <si>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</si>
  <si>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</si>
  <si>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</si>
  <si>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</si>
  <si>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</si>
  <si>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</si>
  <si>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</si>
  <si>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</si>
  <si>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</si>
  <si>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</si>
  <si>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</si>
  <si>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</si>
  <si>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</si>
  <si>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</si>
  <si>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</si>
  <si>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</si>
  <si>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</si>
  <si>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</si>
  <si>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</si>
  <si>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</si>
  <si>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</si>
  <si>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</si>
  <si>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</si>
  <si>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</si>
  <si>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</si>
  <si>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</si>
  <si>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</si>
  <si>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</si>
  <si>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</si>
  <si>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</si>
  <si>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</si>
  <si>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</si>
  <si>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</si>
  <si>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</si>
  <si>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</si>
  <si>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</si>
  <si>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</si>
  <si>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</si>
  <si>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</si>
  <si>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</si>
  <si>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</si>
  <si>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</si>
  <si>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</si>
  <si>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</si>
  <si>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</si>
  <si>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</si>
  <si>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</si>
  <si>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</si>
  <si>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</si>
  <si>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</si>
  <si>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</si>
  <si>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</si>
  <si>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</si>
  <si>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</si>
  <si>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</si>
  <si>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</si>
  <si>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</si>
  <si>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</si>
  <si>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</si>
  <si>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</si>
  <si>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</si>
  <si>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</si>
  <si>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</si>
  <si>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</si>
  <si>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</si>
  <si>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</si>
  <si>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</si>
  <si>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</si>
  <si>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</si>
  <si>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</si>
  <si>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</si>
  <si>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</si>
  <si>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</si>
  <si>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</si>
  <si>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</si>
  <si>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</si>
  <si>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</si>
  <si>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</si>
  <si>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</si>
  <si>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</si>
  <si>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</si>
  <si>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</si>
  <si>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</si>
  <si>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</si>
  <si>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</si>
  <si>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</si>
  <si>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</si>
  <si>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</si>
  <si>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</si>
  <si>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</si>
  <si>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</si>
  <si>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</si>
  <si>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</si>
  <si>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</si>
  <si>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</si>
  <si>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</si>
  <si>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</si>
  <si>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</si>
  <si>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</si>
  <si>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</si>
  <si>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</si>
  <si>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</si>
  <si>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</si>
  <si>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</si>
  <si>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</si>
  <si>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</si>
  <si>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</si>
  <si>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</si>
  <si>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</si>
  <si>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</si>
  <si>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</si>
  <si>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</si>
  <si>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</si>
  <si>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</si>
  <si>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</si>
  <si>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</si>
  <si>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</si>
  <si>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</si>
  <si>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</si>
  <si>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</si>
  <si>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</si>
  <si>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</si>
  <si>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</si>
  <si>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</si>
  <si>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</si>
  <si>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</si>
  <si>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</si>
  <si>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</si>
  <si>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</si>
  <si>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</si>
  <si>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</si>
  <si>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</si>
  <si>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</si>
  <si>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</si>
  <si>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</si>
  <si>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</si>
  <si>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</si>
  <si>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PATRONATO DEL PARQUE ZOOLÓGICO DE LEÓN</t>
  </si>
  <si>
    <t>Al 31 de diciembre de 2019 y al 31 de diciembre de 2020 (b)</t>
  </si>
  <si>
    <t>Del 1 de enero al 31 de diciembre de 2020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</si>
</sst>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[$€-2]* #,##0.00_-;\-[$€-2]* #,##0.00_-;_-[$€-2]* &quot;-&quot;??_-"/>
    <numFmt numFmtId="166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19">
    <xf numFmtId="0" fontId="0" fillId="0" borderId="0"/>
    <xf numFmtId="43" fontId="15" fillId="0" borderId="0" applyFont="0" applyFill="0" applyBorder="0" applyAlignment="0" applyProtection="0"/>
    <xf numFmtId="0" fontId="16" fillId="0" borderId="0"/>
    <xf numFmtId="166" fontId="17" fillId="0" borderId="0"/>
    <xf numFmtId="165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1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0" fillId="0" borderId="13" xfId="0" applyNumberFormat="1" applyFill="1" applyBorder="1" applyAlignment="1" applyProtection="1">
      <alignment vertical="center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4" fontId="18" fillId="0" borderId="13" xfId="11" applyNumberFormat="1" applyFont="1" applyFill="1" applyBorder="1" applyAlignment="1" applyProtection="1">
      <alignment vertical="top" wrapText="1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19">
    <cellStyle name="=C:\WINNT\SYSTEM32\COMMAND.COM" xfId="3"/>
    <cellStyle name="Euro" xfId="4"/>
    <cellStyle name="Millares 2" xfId="1"/>
    <cellStyle name="Millares 2 2" xfId="6"/>
    <cellStyle name="Millares 2 3" xfId="7"/>
    <cellStyle name="Millares 2 4" xfId="5"/>
    <cellStyle name="Millares 3" xfId="8"/>
    <cellStyle name="Moneda 2" xfId="9"/>
    <cellStyle name="Normal" xfId="0" builtinId="0"/>
    <cellStyle name="Normal 2" xfId="10"/>
    <cellStyle name="Normal 2 2" xfId="11"/>
    <cellStyle name="Normal 3" xfId="12"/>
    <cellStyle name="Normal 4" xfId="13"/>
    <cellStyle name="Normal 4 2" xfId="14"/>
    <cellStyle name="Normal 5" xfId="15"/>
    <cellStyle name="Normal 5 2" xfId="16"/>
    <cellStyle name="Normal 6" xfId="17"/>
    <cellStyle name="Normal 6 2" xfId="18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6/relationships/vbaProject" Target="vbaProject.bin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52" t="s">
        <v>829</v>
      </c>
      <c r="B1" s="153"/>
      <c r="C1" s="153"/>
      <c r="D1" s="153"/>
      <c r="E1" s="154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5" t="s">
        <v>3309</v>
      </c>
      <c r="D3" s="155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xWindow="966" yWindow="429"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topLeftCell="A73" workbookViewId="0">
      <selection activeCell="D21" sqref="D21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8" t="s">
        <v>542</v>
      </c>
      <c r="B1" s="168"/>
      <c r="C1" s="168"/>
      <c r="D1" s="168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6" t="str">
        <f>ENTE_PUBLICO_A</f>
        <v>PATRONATO DEL PARQUE ZOOLÓGICO DE LEÓN, Gobierno del Estado de Guanajuato (a)</v>
      </c>
      <c r="B2" s="157"/>
      <c r="C2" s="157"/>
      <c r="D2" s="158"/>
    </row>
    <row r="3" spans="1:11" ht="14.25" x14ac:dyDescent="0.45">
      <c r="A3" s="159" t="s">
        <v>166</v>
      </c>
      <c r="B3" s="160"/>
      <c r="C3" s="160"/>
      <c r="D3" s="161"/>
    </row>
    <row r="4" spans="1:11" ht="14.25" x14ac:dyDescent="0.45">
      <c r="A4" s="162" t="str">
        <f>TRIMESTRE</f>
        <v>Del 1 de enero al 31 de diciembre de 2020 (b)</v>
      </c>
      <c r="B4" s="163"/>
      <c r="C4" s="163"/>
      <c r="D4" s="164"/>
    </row>
    <row r="5" spans="1:11" ht="14.25" x14ac:dyDescent="0.45">
      <c r="A5" s="165" t="s">
        <v>118</v>
      </c>
      <c r="B5" s="166"/>
      <c r="C5" s="166"/>
      <c r="D5" s="167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54131138.519999988</v>
      </c>
      <c r="C8" s="40">
        <f t="shared" ref="C8:D8" si="0">SUM(C9:C11)</f>
        <v>50826205.739999995</v>
      </c>
      <c r="D8" s="40">
        <f t="shared" si="0"/>
        <v>50826205.739999995</v>
      </c>
    </row>
    <row r="9" spans="1:11" x14ac:dyDescent="0.25">
      <c r="A9" s="53" t="s">
        <v>169</v>
      </c>
      <c r="B9" s="23">
        <v>54131138.519999988</v>
      </c>
      <c r="C9" s="23">
        <v>50826205.739999995</v>
      </c>
      <c r="D9" s="23">
        <v>50826205.739999995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54131138.516491495</v>
      </c>
      <c r="C13" s="40">
        <f t="shared" ref="C13:D13" si="2">C14+C15</f>
        <v>55537593.500000015</v>
      </c>
      <c r="D13" s="40">
        <f t="shared" si="2"/>
        <v>55537593.500000015</v>
      </c>
    </row>
    <row r="14" spans="1:11" x14ac:dyDescent="0.25">
      <c r="A14" s="53" t="s">
        <v>172</v>
      </c>
      <c r="B14" s="23">
        <v>54131138.516491495</v>
      </c>
      <c r="C14" s="23">
        <v>55537593.500000015</v>
      </c>
      <c r="D14" s="23">
        <v>55537593.500000015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3.5084933042526245E-3</v>
      </c>
      <c r="C21" s="40">
        <f>C8-C13+C17</f>
        <v>-4711387.7600000203</v>
      </c>
      <c r="D21" s="40">
        <f t="shared" ref="C21:D21" si="4">D8-D13+D17</f>
        <v>-4711387.7600000203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3.5084933042526245E-3</v>
      </c>
      <c r="C23" s="40">
        <f t="shared" ref="C23:D23" si="5">C21-C11</f>
        <v>-4711387.7600000203</v>
      </c>
      <c r="D23" s="40">
        <f t="shared" si="5"/>
        <v>-4711387.7600000203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3.5084933042526245E-3</v>
      </c>
      <c r="C25" s="40">
        <f t="shared" ref="C25" si="6">C23-C17</f>
        <v>-4711387.7600000203</v>
      </c>
      <c r="D25" s="40">
        <f>D23-D17</f>
        <v>-4711387.7600000203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3.5084933042526245E-3</v>
      </c>
      <c r="C33" s="61">
        <f t="shared" ref="C33:D33" si="8">C25+C29</f>
        <v>-4711387.7600000203</v>
      </c>
      <c r="D33" s="61">
        <f t="shared" si="8"/>
        <v>-4711387.7600000203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54131138.519999988</v>
      </c>
      <c r="C48" s="124">
        <f>C9</f>
        <v>50826205.739999995</v>
      </c>
      <c r="D48" s="124">
        <f t="shared" ref="D48" si="12">D9</f>
        <v>50826205.739999995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54131138.516491495</v>
      </c>
      <c r="C53" s="60">
        <f t="shared" ref="C53:D53" si="14">C14</f>
        <v>55537593.500000015</v>
      </c>
      <c r="D53" s="60">
        <f t="shared" si="14"/>
        <v>55537593.500000015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3.5084933042526245E-3</v>
      </c>
      <c r="C57" s="61">
        <f>C48+C49-C53+C55</f>
        <v>-4711387.7600000203</v>
      </c>
      <c r="D57" s="61">
        <f t="shared" ref="D57" si="16">D48+D49-D53+D55</f>
        <v>-4711387.7600000203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3.5084933042526245E-3</v>
      </c>
      <c r="C59" s="61">
        <f t="shared" ref="C59:D59" si="17">C57-C49</f>
        <v>-4711387.7600000203</v>
      </c>
      <c r="D59" s="61">
        <f t="shared" si="17"/>
        <v>-4711387.7600000203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54131138.519999988</v>
      </c>
      <c r="Q2" s="18">
        <f>'Formato 4'!C8</f>
        <v>50826205.739999995</v>
      </c>
      <c r="R2" s="18">
        <f>'Formato 4'!D8</f>
        <v>50826205.739999995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54131138.519999988</v>
      </c>
      <c r="Q3" s="18">
        <f>'Formato 4'!C9</f>
        <v>50826205.739999995</v>
      </c>
      <c r="R3" s="18">
        <f>'Formato 4'!D9</f>
        <v>50826205.739999995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54131138.516491495</v>
      </c>
      <c r="Q6" s="18">
        <f>'Formato 4'!C13</f>
        <v>55537593.500000015</v>
      </c>
      <c r="R6" s="18">
        <f>'Formato 4'!D13</f>
        <v>55537593.500000015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54131138.516491495</v>
      </c>
      <c r="Q7" s="18">
        <f>'Formato 4'!C14</f>
        <v>55537593.500000015</v>
      </c>
      <c r="R7" s="18">
        <f>'Formato 4'!D14</f>
        <v>55537593.500000015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3.5084933042526245E-3</v>
      </c>
      <c r="Q12" s="18">
        <f>'Formato 4'!C21</f>
        <v>-4711387.7600000203</v>
      </c>
      <c r="R12" s="18">
        <f>'Formato 4'!D21</f>
        <v>-4711387.7600000203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3.5084933042526245E-3</v>
      </c>
      <c r="Q13" s="18">
        <f>'Formato 4'!C23</f>
        <v>-4711387.7600000203</v>
      </c>
      <c r="R13" s="18">
        <f>'Formato 4'!D23</f>
        <v>-4711387.7600000203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3.5084933042526245E-3</v>
      </c>
      <c r="Q14" s="18">
        <f>'Formato 4'!C25</f>
        <v>-4711387.7600000203</v>
      </c>
      <c r="R14" s="18">
        <f>'Formato 4'!D25</f>
        <v>-4711387.7600000203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3.5084933042526245E-3</v>
      </c>
      <c r="Q18">
        <f>'Formato 4'!C33</f>
        <v>-4711387.7600000203</v>
      </c>
      <c r="R18">
        <f>'Formato 4'!D33</f>
        <v>-4711387.7600000203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54131138.519999988</v>
      </c>
      <c r="Q26">
        <f>'Formato 4'!C48</f>
        <v>50826205.739999995</v>
      </c>
      <c r="R26">
        <f>'Formato 4'!D48</f>
        <v>50826205.739999995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54131138.516491495</v>
      </c>
      <c r="Q30">
        <f>'Formato 4'!C53</f>
        <v>55537593.500000015</v>
      </c>
      <c r="R30">
        <f>'Formato 4'!D53</f>
        <v>55537593.500000015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topLeftCell="A7" zoomScale="85" zoomScaleNormal="85" workbookViewId="0">
      <selection activeCell="B41" sqref="B41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4" t="s">
        <v>206</v>
      </c>
      <c r="B1" s="174"/>
      <c r="C1" s="174"/>
      <c r="D1" s="174"/>
      <c r="E1" s="174"/>
      <c r="F1" s="174"/>
      <c r="G1" s="174"/>
    </row>
    <row r="2" spans="1:8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8" x14ac:dyDescent="0.25">
      <c r="A3" s="159" t="s">
        <v>207</v>
      </c>
      <c r="B3" s="160"/>
      <c r="C3" s="160"/>
      <c r="D3" s="160"/>
      <c r="E3" s="160"/>
      <c r="F3" s="160"/>
      <c r="G3" s="161"/>
    </row>
    <row r="4" spans="1:8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4"/>
    </row>
    <row r="5" spans="1:8" ht="14.25" x14ac:dyDescent="0.45">
      <c r="A5" s="165" t="s">
        <v>118</v>
      </c>
      <c r="B5" s="166"/>
      <c r="C5" s="166"/>
      <c r="D5" s="166"/>
      <c r="E5" s="166"/>
      <c r="F5" s="166"/>
      <c r="G5" s="167"/>
    </row>
    <row r="6" spans="1:8" x14ac:dyDescent="0.25">
      <c r="A6" s="171" t="s">
        <v>214</v>
      </c>
      <c r="B6" s="173" t="s">
        <v>208</v>
      </c>
      <c r="C6" s="173"/>
      <c r="D6" s="173"/>
      <c r="E6" s="173"/>
      <c r="F6" s="173"/>
      <c r="G6" s="173" t="s">
        <v>209</v>
      </c>
    </row>
    <row r="7" spans="1:8" ht="30" x14ac:dyDescent="0.25">
      <c r="A7" s="172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3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60000</v>
      </c>
      <c r="C13" s="60">
        <v>3457.77</v>
      </c>
      <c r="D13" s="60">
        <f>+B13+C13</f>
        <v>63457.77</v>
      </c>
      <c r="E13" s="60">
        <v>63457.77</v>
      </c>
      <c r="F13" s="60">
        <v>63457.77</v>
      </c>
      <c r="G13" s="60">
        <f>+D13-E13</f>
        <v>0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56857618.999699995</v>
      </c>
      <c r="C15" s="60">
        <v>1873001.8999999899</v>
      </c>
      <c r="D15" s="60">
        <f>+B15+C15</f>
        <v>58730620.899699986</v>
      </c>
      <c r="E15" s="60">
        <v>12662571.199999999</v>
      </c>
      <c r="F15" s="60">
        <v>12662571.199999999</v>
      </c>
      <c r="G15" s="60">
        <f>+D15-E15</f>
        <v>46068049.699699983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13539228</v>
      </c>
      <c r="C34" s="60">
        <v>10690939.789999999</v>
      </c>
      <c r="D34" s="60">
        <f>+B34+C34</f>
        <v>24230167.789999999</v>
      </c>
      <c r="E34" s="60">
        <v>23101898.789999999</v>
      </c>
      <c r="F34" s="60">
        <v>23101898.789999999</v>
      </c>
      <c r="G34" s="60">
        <f>+D34-E34</f>
        <v>1128269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v>0</v>
      </c>
      <c r="C37" s="60">
        <v>0</v>
      </c>
      <c r="D37" s="60">
        <v>0</v>
      </c>
      <c r="E37" s="60">
        <v>0</v>
      </c>
      <c r="F37" s="60">
        <v>0</v>
      </c>
      <c r="G37" s="60">
        <f t="shared" ref="G37" si="5">G38+G39</f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70456846.999699995</v>
      </c>
      <c r="C41" s="61">
        <f t="shared" ref="C41:E41" si="6">SUM(C9,C10,C11,C12,C13,C14,C15,C16,C28,C34,C35,C37)</f>
        <v>12567399.45999999</v>
      </c>
      <c r="D41" s="61">
        <f t="shared" si="6"/>
        <v>83024246.459699988</v>
      </c>
      <c r="E41" s="61">
        <f t="shared" si="6"/>
        <v>35827927.759999998</v>
      </c>
      <c r="F41" s="61">
        <f>SUM(F9,F10,F11,F12,F13,F14,F15,F16,F28,F34,F35,F37)</f>
        <v>35827927.759999998</v>
      </c>
      <c r="G41" s="61">
        <f>SUM(G9,G10,G11,G12,G13,G14,G15,G16,G28,G34,G35,G37)</f>
        <v>47196318.699699983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47196318.699699983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7">SUM(C46:C53)</f>
        <v>0</v>
      </c>
      <c r="D45" s="60">
        <f t="shared" si="7"/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8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8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8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8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8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8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8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9">SUM(C55:C58)</f>
        <v>0</v>
      </c>
      <c r="D54" s="60">
        <f t="shared" si="9"/>
        <v>0</v>
      </c>
      <c r="E54" s="60">
        <f t="shared" si="9"/>
        <v>0</v>
      </c>
      <c r="F54" s="60">
        <f t="shared" si="9"/>
        <v>0</v>
      </c>
      <c r="G54" s="60">
        <f t="shared" si="9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0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0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0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1">SUM(C60:C61)</f>
        <v>0</v>
      </c>
      <c r="D59" s="60">
        <f t="shared" si="11"/>
        <v>0</v>
      </c>
      <c r="E59" s="60">
        <f t="shared" si="11"/>
        <v>0</v>
      </c>
      <c r="F59" s="60">
        <f t="shared" si="11"/>
        <v>0</v>
      </c>
      <c r="G59" s="60">
        <f t="shared" si="11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2">C45+C54+C59+C62+C63</f>
        <v>0</v>
      </c>
      <c r="D65" s="61">
        <f t="shared" si="12"/>
        <v>0</v>
      </c>
      <c r="E65" s="61">
        <f t="shared" si="12"/>
        <v>0</v>
      </c>
      <c r="F65" s="61">
        <f t="shared" si="12"/>
        <v>0</v>
      </c>
      <c r="G65" s="61">
        <f t="shared" si="12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0">
        <v>0</v>
      </c>
      <c r="C67" s="60">
        <v>0</v>
      </c>
      <c r="D67" s="60">
        <v>0</v>
      </c>
      <c r="E67" s="60">
        <v>0</v>
      </c>
      <c r="F67" s="60">
        <v>0</v>
      </c>
      <c r="G67" s="61">
        <f t="shared" ref="G67" si="13">G68</f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70456846.999699995</v>
      </c>
      <c r="C70" s="61">
        <f t="shared" ref="C70:G70" si="14">C41+C65+C67</f>
        <v>12567399.45999999</v>
      </c>
      <c r="D70" s="61">
        <f t="shared" si="14"/>
        <v>83024246.459699988</v>
      </c>
      <c r="E70" s="61">
        <f t="shared" si="14"/>
        <v>35827927.759999998</v>
      </c>
      <c r="F70" s="61">
        <f t="shared" si="14"/>
        <v>35827927.759999998</v>
      </c>
      <c r="G70" s="61">
        <f t="shared" si="14"/>
        <v>47196318.699699983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5">C73+C74</f>
        <v>0</v>
      </c>
      <c r="D75" s="61">
        <f t="shared" si="15"/>
        <v>0</v>
      </c>
      <c r="E75" s="61">
        <f t="shared" si="15"/>
        <v>0</v>
      </c>
      <c r="F75" s="61">
        <f t="shared" si="15"/>
        <v>0</v>
      </c>
      <c r="G75" s="61">
        <f t="shared" si="15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60000</v>
      </c>
      <c r="Q7" s="18">
        <f>'Formato 5'!C13</f>
        <v>3457.77</v>
      </c>
      <c r="R7" s="18">
        <f>'Formato 5'!D13</f>
        <v>63457.77</v>
      </c>
      <c r="S7" s="18">
        <f>'Formato 5'!E13</f>
        <v>63457.77</v>
      </c>
      <c r="T7" s="18">
        <f>'Formato 5'!F13</f>
        <v>63457.77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56857618.999699995</v>
      </c>
      <c r="Q9" s="18">
        <f>'Formato 5'!C15</f>
        <v>1873001.8999999899</v>
      </c>
      <c r="R9" s="18">
        <f>'Formato 5'!D15</f>
        <v>58730620.899699986</v>
      </c>
      <c r="S9" s="18">
        <f>'Formato 5'!E15</f>
        <v>12662571.199999999</v>
      </c>
      <c r="T9" s="18">
        <f>'Formato 5'!F15</f>
        <v>12662571.199999999</v>
      </c>
      <c r="U9" s="18">
        <f>'Formato 5'!G15</f>
        <v>46068049.699699983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13539228</v>
      </c>
      <c r="Q28" s="18">
        <f>'Formato 5'!C34</f>
        <v>10690939.789999999</v>
      </c>
      <c r="R28" s="18">
        <f>'Formato 5'!D34</f>
        <v>24230167.789999999</v>
      </c>
      <c r="S28" s="18">
        <f>'Formato 5'!E34</f>
        <v>23101898.789999999</v>
      </c>
      <c r="T28" s="18">
        <f>'Formato 5'!F34</f>
        <v>23101898.789999999</v>
      </c>
      <c r="U28" s="18">
        <f>'Formato 5'!G34</f>
        <v>1128269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70456846.999699995</v>
      </c>
      <c r="Q34">
        <f>'Formato 5'!C41</f>
        <v>12567399.45999999</v>
      </c>
      <c r="R34">
        <f>'Formato 5'!D41</f>
        <v>83024246.459699988</v>
      </c>
      <c r="S34">
        <f>'Formato 5'!E41</f>
        <v>35827927.759999998</v>
      </c>
      <c r="T34">
        <f>'Formato 5'!F41</f>
        <v>35827927.759999998</v>
      </c>
      <c r="U34">
        <f>'Formato 5'!G41</f>
        <v>47196318.699699983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47196318.699699983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topLeftCell="A139" zoomScale="84" zoomScaleNormal="84" zoomScalePageLayoutView="90" workbookViewId="0">
      <selection activeCell="B159" sqref="B159:G1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5" t="s">
        <v>3285</v>
      </c>
      <c r="B1" s="174"/>
      <c r="C1" s="174"/>
      <c r="D1" s="174"/>
      <c r="E1" s="174"/>
      <c r="F1" s="174"/>
      <c r="G1" s="174"/>
    </row>
    <row r="2" spans="1:7" ht="14.25" x14ac:dyDescent="0.45">
      <c r="A2" s="178" t="str">
        <f>ENTE_PUBLICO_A</f>
        <v>PATRONATO DEL PARQUE ZOOLÓGICO DE LEÓN, Gobierno del Estado de Guanajuato (a)</v>
      </c>
      <c r="B2" s="178"/>
      <c r="C2" s="178"/>
      <c r="D2" s="178"/>
      <c r="E2" s="178"/>
      <c r="F2" s="178"/>
      <c r="G2" s="178"/>
    </row>
    <row r="3" spans="1:7" x14ac:dyDescent="0.25">
      <c r="A3" s="179" t="s">
        <v>277</v>
      </c>
      <c r="B3" s="179"/>
      <c r="C3" s="179"/>
      <c r="D3" s="179"/>
      <c r="E3" s="179"/>
      <c r="F3" s="179"/>
      <c r="G3" s="179"/>
    </row>
    <row r="4" spans="1:7" x14ac:dyDescent="0.25">
      <c r="A4" s="179" t="s">
        <v>278</v>
      </c>
      <c r="B4" s="179"/>
      <c r="C4" s="179"/>
      <c r="D4" s="179"/>
      <c r="E4" s="179"/>
      <c r="F4" s="179"/>
      <c r="G4" s="179"/>
    </row>
    <row r="5" spans="1:7" ht="14.25" x14ac:dyDescent="0.45">
      <c r="A5" s="180" t="str">
        <f>TRIMESTRE</f>
        <v>Del 1 de enero al 31 de diciembre de 2020 (b)</v>
      </c>
      <c r="B5" s="180"/>
      <c r="C5" s="180"/>
      <c r="D5" s="180"/>
      <c r="E5" s="180"/>
      <c r="F5" s="180"/>
      <c r="G5" s="180"/>
    </row>
    <row r="6" spans="1:7" ht="14.25" x14ac:dyDescent="0.45">
      <c r="A6" s="172" t="s">
        <v>118</v>
      </c>
      <c r="B6" s="172"/>
      <c r="C6" s="172"/>
      <c r="D6" s="172"/>
      <c r="E6" s="172"/>
      <c r="F6" s="172"/>
      <c r="G6" s="172"/>
    </row>
    <row r="7" spans="1:7" ht="15" customHeight="1" x14ac:dyDescent="0.25">
      <c r="A7" s="176" t="s">
        <v>0</v>
      </c>
      <c r="B7" s="176" t="s">
        <v>279</v>
      </c>
      <c r="C7" s="176"/>
      <c r="D7" s="176"/>
      <c r="E7" s="176"/>
      <c r="F7" s="176"/>
      <c r="G7" s="177" t="s">
        <v>280</v>
      </c>
    </row>
    <row r="8" spans="1:7" ht="30" x14ac:dyDescent="0.25">
      <c r="A8" s="176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6"/>
    </row>
    <row r="9" spans="1:7" ht="14.25" x14ac:dyDescent="0.45">
      <c r="A9" s="82" t="s">
        <v>285</v>
      </c>
      <c r="B9" s="79">
        <f>SUM(B10,B18,B28,B38,B48,B58,B62,B71,B75)</f>
        <v>70456846.99969998</v>
      </c>
      <c r="C9" s="79">
        <f t="shared" ref="C9:G9" si="0">SUM(C10,C18,C28,C38,C48,C58,C62,C71,C75)</f>
        <v>12567399.459999999</v>
      </c>
      <c r="D9" s="79">
        <f t="shared" si="0"/>
        <v>83024246.459699988</v>
      </c>
      <c r="E9" s="79">
        <f t="shared" si="0"/>
        <v>39660403.600000001</v>
      </c>
      <c r="F9" s="79">
        <f t="shared" si="0"/>
        <v>39660403.600000001</v>
      </c>
      <c r="G9" s="79">
        <f t="shared" si="0"/>
        <v>43363842.859699979</v>
      </c>
    </row>
    <row r="10" spans="1:7" x14ac:dyDescent="0.25">
      <c r="A10" s="83" t="s">
        <v>286</v>
      </c>
      <c r="B10" s="80">
        <f>SUM(B11:B17)</f>
        <v>34739381.109068751</v>
      </c>
      <c r="C10" s="80">
        <f t="shared" ref="C10:F10" si="1">SUM(C11:C17)</f>
        <v>10690939.789999999</v>
      </c>
      <c r="D10" s="80">
        <f t="shared" si="1"/>
        <v>45430320.89906875</v>
      </c>
      <c r="E10" s="80">
        <f t="shared" si="1"/>
        <v>23239197.690000001</v>
      </c>
      <c r="F10" s="80">
        <f t="shared" si="1"/>
        <v>23239197.690000001</v>
      </c>
      <c r="G10" s="80">
        <f>SUM(G11:G17)</f>
        <v>22191123.209068742</v>
      </c>
    </row>
    <row r="11" spans="1:7" x14ac:dyDescent="0.25">
      <c r="A11" s="84" t="s">
        <v>287</v>
      </c>
      <c r="B11" s="80">
        <v>16590681.616491498</v>
      </c>
      <c r="C11" s="80">
        <v>10690939.789999999</v>
      </c>
      <c r="D11" s="80">
        <v>27281621.406491496</v>
      </c>
      <c r="E11" s="80">
        <v>12080411.279999999</v>
      </c>
      <c r="F11" s="80">
        <v>12080411.279999999</v>
      </c>
      <c r="G11" s="80">
        <f>+D11-E11</f>
        <v>15201210.126491496</v>
      </c>
    </row>
    <row r="12" spans="1:7" x14ac:dyDescent="0.25">
      <c r="A12" s="84" t="s">
        <v>288</v>
      </c>
      <c r="B12" s="80">
        <v>1117139.4262762032</v>
      </c>
      <c r="C12" s="80">
        <v>0</v>
      </c>
      <c r="D12" s="80">
        <v>1117139.4262762032</v>
      </c>
      <c r="E12" s="80">
        <v>581106.25</v>
      </c>
      <c r="F12" s="80">
        <v>581106.25</v>
      </c>
      <c r="G12" s="80">
        <f t="shared" ref="G12:G16" si="2">+D12-E12</f>
        <v>536033.17627620324</v>
      </c>
    </row>
    <row r="13" spans="1:7" x14ac:dyDescent="0.25">
      <c r="A13" s="84" t="s">
        <v>289</v>
      </c>
      <c r="B13" s="80">
        <v>5136544.3521700297</v>
      </c>
      <c r="C13" s="80">
        <v>0</v>
      </c>
      <c r="D13" s="80">
        <v>5136544.3521700297</v>
      </c>
      <c r="E13" s="80">
        <v>2790982.92</v>
      </c>
      <c r="F13" s="80">
        <v>2790982.92</v>
      </c>
      <c r="G13" s="80">
        <f t="shared" si="2"/>
        <v>2345561.4321700297</v>
      </c>
    </row>
    <row r="14" spans="1:7" x14ac:dyDescent="0.25">
      <c r="A14" s="84" t="s">
        <v>290</v>
      </c>
      <c r="B14" s="80">
        <v>5265710.9540809207</v>
      </c>
      <c r="C14" s="80">
        <v>0</v>
      </c>
      <c r="D14" s="80">
        <v>5265710.9540809207</v>
      </c>
      <c r="E14" s="80">
        <v>3088319.33</v>
      </c>
      <c r="F14" s="80">
        <v>3088319.33</v>
      </c>
      <c r="G14" s="80">
        <f t="shared" si="2"/>
        <v>2177391.6240809206</v>
      </c>
    </row>
    <row r="15" spans="1:7" x14ac:dyDescent="0.25">
      <c r="A15" s="84" t="s">
        <v>291</v>
      </c>
      <c r="B15" s="80">
        <v>6231128.3563983021</v>
      </c>
      <c r="C15" s="80">
        <v>0</v>
      </c>
      <c r="D15" s="80">
        <v>6231128.3563983021</v>
      </c>
      <c r="E15" s="80">
        <v>4411015.04</v>
      </c>
      <c r="F15" s="80">
        <v>4411015.04</v>
      </c>
      <c r="G15" s="80">
        <f t="shared" si="2"/>
        <v>1820113.3163983021</v>
      </c>
    </row>
    <row r="16" spans="1:7" x14ac:dyDescent="0.25">
      <c r="A16" s="84" t="s">
        <v>292</v>
      </c>
      <c r="B16" s="80">
        <v>398176.40365179605</v>
      </c>
      <c r="C16" s="80">
        <v>0</v>
      </c>
      <c r="D16" s="80">
        <v>398176.40365179605</v>
      </c>
      <c r="E16" s="80">
        <v>287362.87</v>
      </c>
      <c r="F16" s="80">
        <v>287362.87</v>
      </c>
      <c r="G16" s="80">
        <f t="shared" si="2"/>
        <v>110813.53365179605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ref="G17" si="3">D17-E17</f>
        <v>0</v>
      </c>
    </row>
    <row r="18" spans="1:7" ht="14.25" x14ac:dyDescent="0.45">
      <c r="A18" s="83" t="s">
        <v>294</v>
      </c>
      <c r="B18" s="80">
        <f>SUM(B19:B27)</f>
        <v>19683992.257299997</v>
      </c>
      <c r="C18" s="80">
        <f t="shared" ref="C18:F18" si="4">SUM(C19:C27)</f>
        <v>295827.53999999998</v>
      </c>
      <c r="D18" s="80">
        <f t="shared" si="4"/>
        <v>19979819.797299996</v>
      </c>
      <c r="E18" s="80">
        <f t="shared" si="4"/>
        <v>11821352.189999999</v>
      </c>
      <c r="F18" s="80">
        <f t="shared" si="4"/>
        <v>11821352.189999999</v>
      </c>
      <c r="G18" s="80">
        <f>SUM(G19:G27)</f>
        <v>8158467.6072999984</v>
      </c>
    </row>
    <row r="19" spans="1:7" x14ac:dyDescent="0.25">
      <c r="A19" s="84" t="s">
        <v>295</v>
      </c>
      <c r="B19" s="80">
        <v>936000</v>
      </c>
      <c r="C19" s="80">
        <v>0</v>
      </c>
      <c r="D19" s="80">
        <v>936000</v>
      </c>
      <c r="E19" s="80">
        <v>420273.12</v>
      </c>
      <c r="F19" s="80">
        <v>420273.12</v>
      </c>
      <c r="G19" s="80">
        <f t="shared" ref="G19:G37" si="5">+D19-E19</f>
        <v>515726.88</v>
      </c>
    </row>
    <row r="20" spans="1:7" x14ac:dyDescent="0.25">
      <c r="A20" s="84" t="s">
        <v>296</v>
      </c>
      <c r="B20" s="80">
        <v>12357382.5</v>
      </c>
      <c r="C20" s="80">
        <v>0</v>
      </c>
      <c r="D20" s="80">
        <v>12357382.5</v>
      </c>
      <c r="E20" s="80">
        <v>8997156.4600000009</v>
      </c>
      <c r="F20" s="80">
        <v>8997156.4600000009</v>
      </c>
      <c r="G20" s="80">
        <f t="shared" si="5"/>
        <v>3360226.0399999991</v>
      </c>
    </row>
    <row r="21" spans="1:7" x14ac:dyDescent="0.25">
      <c r="A21" s="84" t="s">
        <v>297</v>
      </c>
      <c r="B21" s="80">
        <v>4901565.7634999994</v>
      </c>
      <c r="C21" s="80">
        <v>0</v>
      </c>
      <c r="D21" s="80">
        <v>4901565.7634999994</v>
      </c>
      <c r="E21" s="80">
        <v>1438169.61</v>
      </c>
      <c r="F21" s="80">
        <v>1438169.61</v>
      </c>
      <c r="G21" s="80">
        <f t="shared" si="5"/>
        <v>3463396.1534999991</v>
      </c>
    </row>
    <row r="22" spans="1:7" x14ac:dyDescent="0.25">
      <c r="A22" s="84" t="s">
        <v>298</v>
      </c>
      <c r="B22" s="80">
        <v>0</v>
      </c>
      <c r="C22" s="80">
        <v>295827.53999999998</v>
      </c>
      <c r="D22" s="80">
        <v>295827.53999999998</v>
      </c>
      <c r="E22" s="80">
        <v>295827.53999999998</v>
      </c>
      <c r="F22" s="80">
        <v>295827.53999999998</v>
      </c>
      <c r="G22" s="80">
        <f t="shared" si="5"/>
        <v>0</v>
      </c>
    </row>
    <row r="23" spans="1:7" x14ac:dyDescent="0.25">
      <c r="A23" s="84" t="s">
        <v>299</v>
      </c>
      <c r="B23" s="80">
        <v>266000</v>
      </c>
      <c r="C23" s="80">
        <v>0</v>
      </c>
      <c r="D23" s="80">
        <v>266000</v>
      </c>
      <c r="E23" s="80">
        <v>175201.73</v>
      </c>
      <c r="F23" s="80">
        <v>175201.73</v>
      </c>
      <c r="G23" s="80">
        <f t="shared" si="5"/>
        <v>90798.26999999999</v>
      </c>
    </row>
    <row r="24" spans="1:7" x14ac:dyDescent="0.25">
      <c r="A24" s="84" t="s">
        <v>300</v>
      </c>
      <c r="B24" s="80">
        <v>730485.99380000029</v>
      </c>
      <c r="C24" s="80">
        <v>0</v>
      </c>
      <c r="D24" s="80">
        <v>730485.99380000029</v>
      </c>
      <c r="E24" s="80">
        <v>369366.06</v>
      </c>
      <c r="F24" s="80">
        <v>369366.06</v>
      </c>
      <c r="G24" s="80">
        <f t="shared" si="5"/>
        <v>361119.93380000029</v>
      </c>
    </row>
    <row r="25" spans="1:7" x14ac:dyDescent="0.25">
      <c r="A25" s="84" t="s">
        <v>301</v>
      </c>
      <c r="B25" s="80">
        <v>303158</v>
      </c>
      <c r="C25" s="80">
        <v>0</v>
      </c>
      <c r="D25" s="80">
        <v>303158</v>
      </c>
      <c r="E25" s="80">
        <v>7540.74</v>
      </c>
      <c r="F25" s="80">
        <v>7540.74</v>
      </c>
      <c r="G25" s="80">
        <f t="shared" si="5"/>
        <v>295617.26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5"/>
        <v>0</v>
      </c>
    </row>
    <row r="27" spans="1:7" x14ac:dyDescent="0.25">
      <c r="A27" s="84" t="s">
        <v>303</v>
      </c>
      <c r="B27" s="80">
        <v>189400</v>
      </c>
      <c r="C27" s="80">
        <v>0</v>
      </c>
      <c r="D27" s="80">
        <v>189400</v>
      </c>
      <c r="E27" s="80">
        <v>117816.93</v>
      </c>
      <c r="F27" s="80">
        <v>117816.93</v>
      </c>
      <c r="G27" s="80">
        <f t="shared" si="5"/>
        <v>71583.070000000007</v>
      </c>
    </row>
    <row r="28" spans="1:7" x14ac:dyDescent="0.25">
      <c r="A28" s="83" t="s">
        <v>304</v>
      </c>
      <c r="B28" s="80">
        <f>SUM(B29:B37)</f>
        <v>15693748.633331234</v>
      </c>
      <c r="C28" s="80">
        <f t="shared" ref="C28:G28" si="6">SUM(C29:C37)</f>
        <v>585570.96</v>
      </c>
      <c r="D28" s="80">
        <f t="shared" si="6"/>
        <v>16279319.593331235</v>
      </c>
      <c r="E28" s="80">
        <f t="shared" si="6"/>
        <v>3797961.7800000003</v>
      </c>
      <c r="F28" s="80">
        <f t="shared" si="6"/>
        <v>3797961.7800000003</v>
      </c>
      <c r="G28" s="80">
        <f t="shared" si="6"/>
        <v>12481357.813331237</v>
      </c>
    </row>
    <row r="29" spans="1:7" x14ac:dyDescent="0.25">
      <c r="A29" s="84" t="s">
        <v>305</v>
      </c>
      <c r="B29" s="80">
        <v>2018400</v>
      </c>
      <c r="C29" s="80">
        <v>0</v>
      </c>
      <c r="D29" s="80">
        <v>2018400</v>
      </c>
      <c r="E29" s="80">
        <v>838625.32</v>
      </c>
      <c r="F29" s="80">
        <v>838625.32</v>
      </c>
      <c r="G29" s="80">
        <f t="shared" si="5"/>
        <v>1179774.6800000002</v>
      </c>
    </row>
    <row r="30" spans="1:7" x14ac:dyDescent="0.25">
      <c r="A30" s="84" t="s">
        <v>306</v>
      </c>
      <c r="B30" s="80">
        <v>316500</v>
      </c>
      <c r="C30" s="80">
        <v>290517.82</v>
      </c>
      <c r="D30" s="80">
        <v>607017.82000000007</v>
      </c>
      <c r="E30" s="80">
        <v>607017.81999999995</v>
      </c>
      <c r="F30" s="80">
        <v>607017.81999999995</v>
      </c>
      <c r="G30" s="80">
        <f t="shared" si="5"/>
        <v>0</v>
      </c>
    </row>
    <row r="31" spans="1:7" x14ac:dyDescent="0.25">
      <c r="A31" s="84" t="s">
        <v>307</v>
      </c>
      <c r="B31" s="80">
        <v>211880</v>
      </c>
      <c r="C31" s="80">
        <v>0</v>
      </c>
      <c r="D31" s="80">
        <v>211880</v>
      </c>
      <c r="E31" s="80">
        <v>16317.32</v>
      </c>
      <c r="F31" s="80">
        <v>16317.32</v>
      </c>
      <c r="G31" s="80">
        <f t="shared" si="5"/>
        <v>195562.68</v>
      </c>
    </row>
    <row r="32" spans="1:7" x14ac:dyDescent="0.25">
      <c r="A32" s="84" t="s">
        <v>308</v>
      </c>
      <c r="B32" s="80">
        <v>978154.5623142696</v>
      </c>
      <c r="C32" s="80">
        <v>0</v>
      </c>
      <c r="D32" s="80">
        <v>978154.5623142696</v>
      </c>
      <c r="E32" s="80">
        <v>484519.31</v>
      </c>
      <c r="F32" s="80">
        <v>484519.31</v>
      </c>
      <c r="G32" s="80">
        <f t="shared" si="5"/>
        <v>493635.2523142696</v>
      </c>
    </row>
    <row r="33" spans="1:7" x14ac:dyDescent="0.25">
      <c r="A33" s="84" t="s">
        <v>309</v>
      </c>
      <c r="B33" s="80">
        <v>2677414.88</v>
      </c>
      <c r="C33" s="80">
        <v>295053.14</v>
      </c>
      <c r="D33" s="80">
        <v>2972468.02</v>
      </c>
      <c r="E33" s="80">
        <v>1153054.05</v>
      </c>
      <c r="F33" s="80">
        <v>1153054.05</v>
      </c>
      <c r="G33" s="80">
        <f t="shared" si="5"/>
        <v>1819413.97</v>
      </c>
    </row>
    <row r="34" spans="1:7" x14ac:dyDescent="0.25">
      <c r="A34" s="84" t="s">
        <v>310</v>
      </c>
      <c r="B34" s="80">
        <v>3001546.7930000001</v>
      </c>
      <c r="C34" s="80">
        <v>0</v>
      </c>
      <c r="D34" s="80">
        <v>3001546.7930000001</v>
      </c>
      <c r="E34" s="80">
        <v>268642.62</v>
      </c>
      <c r="F34" s="80">
        <v>268642.62</v>
      </c>
      <c r="G34" s="80">
        <f t="shared" si="5"/>
        <v>2732904.173</v>
      </c>
    </row>
    <row r="35" spans="1:7" x14ac:dyDescent="0.25">
      <c r="A35" s="84" t="s">
        <v>311</v>
      </c>
      <c r="B35" s="80">
        <v>233756.13500000001</v>
      </c>
      <c r="C35" s="80">
        <v>0</v>
      </c>
      <c r="D35" s="80">
        <v>233756.13500000001</v>
      </c>
      <c r="E35" s="80">
        <v>21952.54</v>
      </c>
      <c r="F35" s="80">
        <v>21952.54</v>
      </c>
      <c r="G35" s="80">
        <f t="shared" si="5"/>
        <v>211803.595</v>
      </c>
    </row>
    <row r="36" spans="1:7" x14ac:dyDescent="0.25">
      <c r="A36" s="84" t="s">
        <v>312</v>
      </c>
      <c r="B36" s="80">
        <v>5647333.2071969658</v>
      </c>
      <c r="C36" s="80">
        <v>0</v>
      </c>
      <c r="D36" s="80">
        <v>5647333.2071969658</v>
      </c>
      <c r="E36" s="80">
        <v>11064.09</v>
      </c>
      <c r="F36" s="80">
        <v>11064.09</v>
      </c>
      <c r="G36" s="80">
        <f t="shared" si="5"/>
        <v>5636269.117196966</v>
      </c>
    </row>
    <row r="37" spans="1:7" x14ac:dyDescent="0.25">
      <c r="A37" s="84" t="s">
        <v>313</v>
      </c>
      <c r="B37" s="80">
        <v>608763.05582000013</v>
      </c>
      <c r="C37" s="80">
        <v>0</v>
      </c>
      <c r="D37" s="80">
        <v>608763.05582000013</v>
      </c>
      <c r="E37" s="80">
        <v>396768.71</v>
      </c>
      <c r="F37" s="80">
        <v>396768.71</v>
      </c>
      <c r="G37" s="80">
        <f t="shared" si="5"/>
        <v>211994.3458200001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339725</v>
      </c>
      <c r="C48" s="80">
        <f t="shared" ref="C48:G48" si="9">SUM(C49:C57)</f>
        <v>253469.02000000002</v>
      </c>
      <c r="D48" s="80">
        <f t="shared" si="9"/>
        <v>593194.02</v>
      </c>
      <c r="E48" s="80">
        <f t="shared" si="9"/>
        <v>413882.81999999995</v>
      </c>
      <c r="F48" s="80">
        <f t="shared" si="9"/>
        <v>413882.81999999995</v>
      </c>
      <c r="G48" s="80">
        <f t="shared" si="9"/>
        <v>179311.2</v>
      </c>
    </row>
    <row r="49" spans="1:7" x14ac:dyDescent="0.25">
      <c r="A49" s="84" t="s">
        <v>325</v>
      </c>
      <c r="B49" s="80">
        <v>201725</v>
      </c>
      <c r="C49" s="80">
        <v>0</v>
      </c>
      <c r="D49" s="80">
        <v>201725</v>
      </c>
      <c r="E49" s="80">
        <v>62413.8</v>
      </c>
      <c r="F49" s="80">
        <v>62413.8</v>
      </c>
      <c r="G49" s="80">
        <f>D49-E49</f>
        <v>139311.20000000001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0</v>
      </c>
      <c r="D51" s="80">
        <v>40000</v>
      </c>
      <c r="E51" s="80">
        <v>0</v>
      </c>
      <c r="F51" s="80">
        <v>0</v>
      </c>
      <c r="G51" s="80">
        <f t="shared" si="10"/>
        <v>40000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88000</v>
      </c>
      <c r="C54" s="80">
        <v>83469.02</v>
      </c>
      <c r="D54" s="80">
        <v>171469.02000000002</v>
      </c>
      <c r="E54" s="80">
        <v>171469.01999999996</v>
      </c>
      <c r="F54" s="80">
        <v>171469.01999999996</v>
      </c>
      <c r="G54" s="80">
        <f t="shared" si="10"/>
        <v>0</v>
      </c>
    </row>
    <row r="55" spans="1:7" x14ac:dyDescent="0.25">
      <c r="A55" s="84" t="s">
        <v>331</v>
      </c>
      <c r="B55" s="80">
        <v>10000</v>
      </c>
      <c r="C55" s="80">
        <v>170000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/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0</v>
      </c>
      <c r="C58" s="80">
        <f t="shared" ref="C58:G58" si="11">SUM(C59:C61)</f>
        <v>741592.14999999991</v>
      </c>
      <c r="D58" s="80">
        <f t="shared" si="11"/>
        <v>741592.14999999991</v>
      </c>
      <c r="E58" s="80">
        <f t="shared" si="11"/>
        <v>388009.12</v>
      </c>
      <c r="F58" s="80">
        <f t="shared" si="11"/>
        <v>388009.12</v>
      </c>
      <c r="G58" s="80">
        <f t="shared" si="11"/>
        <v>353583.02999999991</v>
      </c>
    </row>
    <row r="59" spans="1:7" x14ac:dyDescent="0.25">
      <c r="A59" s="84" t="s">
        <v>335</v>
      </c>
      <c r="B59" s="80">
        <v>0</v>
      </c>
      <c r="C59" s="80">
        <v>0</v>
      </c>
      <c r="D59" s="80">
        <v>0</v>
      </c>
      <c r="E59" s="80">
        <v>0</v>
      </c>
      <c r="F59" s="80">
        <v>0</v>
      </c>
      <c r="G59" s="80">
        <f>D59-E59</f>
        <v>0</v>
      </c>
    </row>
    <row r="60" spans="1:7" x14ac:dyDescent="0.25">
      <c r="A60" s="84" t="s">
        <v>336</v>
      </c>
      <c r="B60" s="80">
        <v>0</v>
      </c>
      <c r="C60" s="80">
        <v>741592.14999999991</v>
      </c>
      <c r="D60" s="80">
        <v>741592.14999999991</v>
      </c>
      <c r="E60" s="80">
        <v>388009.12</v>
      </c>
      <c r="F60" s="80">
        <v>388009.12</v>
      </c>
      <c r="G60" s="80">
        <f t="shared" ref="G60" si="12">D60-E60</f>
        <v>353583.02999999991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ref="G61" si="13">D61-E61</f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4">SUM(C63:C67,C69:C70)</f>
        <v>0</v>
      </c>
      <c r="D62" s="80">
        <f t="shared" si="14"/>
        <v>0</v>
      </c>
      <c r="E62" s="80">
        <f t="shared" si="14"/>
        <v>0</v>
      </c>
      <c r="F62" s="80">
        <f t="shared" si="14"/>
        <v>0</v>
      </c>
      <c r="G62" s="80">
        <f t="shared" si="14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5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5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5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5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5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5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5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6">SUM(C72:C74)</f>
        <v>0</v>
      </c>
      <c r="D71" s="80">
        <f t="shared" si="16"/>
        <v>0</v>
      </c>
      <c r="E71" s="80">
        <f t="shared" si="16"/>
        <v>0</v>
      </c>
      <c r="F71" s="80">
        <f t="shared" si="16"/>
        <v>0</v>
      </c>
      <c r="G71" s="80">
        <f t="shared" si="16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7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7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8">SUM(C76:C82)</f>
        <v>0</v>
      </c>
      <c r="D75" s="80">
        <f t="shared" si="18"/>
        <v>0</v>
      </c>
      <c r="E75" s="80">
        <f t="shared" si="18"/>
        <v>0</v>
      </c>
      <c r="F75" s="80">
        <f t="shared" si="18"/>
        <v>0</v>
      </c>
      <c r="G75" s="80">
        <f t="shared" si="18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9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9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9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9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9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9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20">SUM(C85,C93,C103,C113,C123,C133,C137,C146,C150)</f>
        <v>0</v>
      </c>
      <c r="D84" s="79">
        <f t="shared" si="20"/>
        <v>0</v>
      </c>
      <c r="E84" s="79">
        <f t="shared" si="20"/>
        <v>0</v>
      </c>
      <c r="F84" s="79">
        <f t="shared" si="20"/>
        <v>0</v>
      </c>
      <c r="G84" s="79">
        <f t="shared" si="20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1">SUM(C86:C92)</f>
        <v>0</v>
      </c>
      <c r="D85" s="80">
        <f t="shared" si="21"/>
        <v>0</v>
      </c>
      <c r="E85" s="80">
        <f t="shared" si="21"/>
        <v>0</v>
      </c>
      <c r="F85" s="80">
        <f t="shared" si="21"/>
        <v>0</v>
      </c>
      <c r="G85" s="80">
        <f t="shared" si="21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2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2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2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2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2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2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3">SUM(C94:C102)</f>
        <v>0</v>
      </c>
      <c r="D93" s="80">
        <f t="shared" si="23"/>
        <v>0</v>
      </c>
      <c r="E93" s="80">
        <f t="shared" si="23"/>
        <v>0</v>
      </c>
      <c r="F93" s="80">
        <f t="shared" si="23"/>
        <v>0</v>
      </c>
      <c r="G93" s="80">
        <f t="shared" si="23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4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4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4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4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4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4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4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4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5">SUM(D104:D112)</f>
        <v>0</v>
      </c>
      <c r="E103" s="80">
        <f t="shared" si="25"/>
        <v>0</v>
      </c>
      <c r="F103" s="80">
        <f t="shared" si="25"/>
        <v>0</v>
      </c>
      <c r="G103" s="80">
        <f t="shared" si="25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6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6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6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6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6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6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6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6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7">SUM(C114:C122)</f>
        <v>0</v>
      </c>
      <c r="D113" s="80">
        <f t="shared" si="27"/>
        <v>0</v>
      </c>
      <c r="E113" s="80">
        <f t="shared" si="27"/>
        <v>0</v>
      </c>
      <c r="F113" s="80">
        <f t="shared" si="27"/>
        <v>0</v>
      </c>
      <c r="G113" s="80">
        <f t="shared" si="27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8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8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8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8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8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8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8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8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9">SUM(C124:C132)</f>
        <v>0</v>
      </c>
      <c r="D123" s="80">
        <f t="shared" si="29"/>
        <v>0</v>
      </c>
      <c r="E123" s="80">
        <f t="shared" si="29"/>
        <v>0</v>
      </c>
      <c r="F123" s="80">
        <f t="shared" si="29"/>
        <v>0</v>
      </c>
      <c r="G123" s="80">
        <f t="shared" si="29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30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30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30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30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30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30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30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30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1">SUM(C134:C136)</f>
        <v>0</v>
      </c>
      <c r="D133" s="80">
        <f t="shared" si="31"/>
        <v>0</v>
      </c>
      <c r="E133" s="80">
        <f t="shared" si="31"/>
        <v>0</v>
      </c>
      <c r="F133" s="80">
        <f t="shared" si="31"/>
        <v>0</v>
      </c>
      <c r="G133" s="80">
        <f t="shared" si="31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2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2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3">SUM(C138:C142,C144:C145)</f>
        <v>0</v>
      </c>
      <c r="D137" s="80">
        <f t="shared" si="33"/>
        <v>0</v>
      </c>
      <c r="E137" s="80">
        <f t="shared" si="33"/>
        <v>0</v>
      </c>
      <c r="F137" s="80">
        <f t="shared" si="33"/>
        <v>0</v>
      </c>
      <c r="G137" s="80">
        <f t="shared" si="33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4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4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4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4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4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4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4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5">SUM(C147:C149)</f>
        <v>0</v>
      </c>
      <c r="D146" s="80">
        <f t="shared" si="35"/>
        <v>0</v>
      </c>
      <c r="E146" s="80">
        <f t="shared" si="35"/>
        <v>0</v>
      </c>
      <c r="F146" s="80">
        <f t="shared" si="35"/>
        <v>0</v>
      </c>
      <c r="G146" s="80">
        <f t="shared" si="35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6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6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7">SUM(C151:C157)</f>
        <v>0</v>
      </c>
      <c r="D150" s="80">
        <f t="shared" si="37"/>
        <v>0</v>
      </c>
      <c r="E150" s="80">
        <f t="shared" si="37"/>
        <v>0</v>
      </c>
      <c r="F150" s="80">
        <f t="shared" si="37"/>
        <v>0</v>
      </c>
      <c r="G150" s="80">
        <f t="shared" si="37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8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8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8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8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8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8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70456846.99969998</v>
      </c>
      <c r="C159" s="79">
        <f t="shared" ref="C159:G159" si="39">C9+C84</f>
        <v>12567399.459999999</v>
      </c>
      <c r="D159" s="79">
        <f t="shared" si="39"/>
        <v>83024246.459699988</v>
      </c>
      <c r="E159" s="79">
        <f t="shared" si="39"/>
        <v>39660403.600000001</v>
      </c>
      <c r="F159" s="79">
        <f t="shared" si="39"/>
        <v>39660403.600000001</v>
      </c>
      <c r="G159" s="79">
        <f t="shared" si="39"/>
        <v>43363842.859699979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70456846.99969998</v>
      </c>
      <c r="Q2" s="18">
        <f>'Formato 6 a)'!C9</f>
        <v>12567399.459999999</v>
      </c>
      <c r="R2" s="18">
        <f>'Formato 6 a)'!D9</f>
        <v>83024246.459699988</v>
      </c>
      <c r="S2" s="18">
        <f>'Formato 6 a)'!E9</f>
        <v>39660403.600000001</v>
      </c>
      <c r="T2" s="18">
        <f>'Formato 6 a)'!F9</f>
        <v>39660403.600000001</v>
      </c>
      <c r="U2" s="18">
        <f>'Formato 6 a)'!G9</f>
        <v>43363842.859699979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34739381.109068751</v>
      </c>
      <c r="Q3" s="18">
        <f>'Formato 6 a)'!C10</f>
        <v>10690939.789999999</v>
      </c>
      <c r="R3" s="18">
        <f>'Formato 6 a)'!D10</f>
        <v>45430320.89906875</v>
      </c>
      <c r="S3" s="18">
        <f>'Formato 6 a)'!E10</f>
        <v>23239197.690000001</v>
      </c>
      <c r="T3" s="18">
        <f>'Formato 6 a)'!F10</f>
        <v>23239197.690000001</v>
      </c>
      <c r="U3" s="18">
        <f>'Formato 6 a)'!G10</f>
        <v>22191123.209068742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16590681.616491498</v>
      </c>
      <c r="Q4" s="18">
        <f>'Formato 6 a)'!C11</f>
        <v>10690939.789999999</v>
      </c>
      <c r="R4" s="18">
        <f>'Formato 6 a)'!D11</f>
        <v>27281621.406491496</v>
      </c>
      <c r="S4" s="18">
        <f>'Formato 6 a)'!E11</f>
        <v>12080411.279999999</v>
      </c>
      <c r="T4" s="18">
        <f>'Formato 6 a)'!F11</f>
        <v>12080411.279999999</v>
      </c>
      <c r="U4" s="18">
        <f>'Formato 6 a)'!G11</f>
        <v>15201210.126491496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1117139.4262762032</v>
      </c>
      <c r="Q5" s="18">
        <f>'Formato 6 a)'!C12</f>
        <v>0</v>
      </c>
      <c r="R5" s="18">
        <f>'Formato 6 a)'!D12</f>
        <v>1117139.4262762032</v>
      </c>
      <c r="S5" s="18">
        <f>'Formato 6 a)'!E12</f>
        <v>581106.25</v>
      </c>
      <c r="T5" s="18">
        <f>'Formato 6 a)'!F12</f>
        <v>581106.25</v>
      </c>
      <c r="U5" s="18">
        <f>'Formato 6 a)'!G12</f>
        <v>536033.17627620324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5136544.3521700297</v>
      </c>
      <c r="Q6" s="18">
        <f>'Formato 6 a)'!C13</f>
        <v>0</v>
      </c>
      <c r="R6" s="18">
        <f>'Formato 6 a)'!D13</f>
        <v>5136544.3521700297</v>
      </c>
      <c r="S6" s="18">
        <f>'Formato 6 a)'!E13</f>
        <v>2790982.92</v>
      </c>
      <c r="T6" s="18">
        <f>'Formato 6 a)'!F13</f>
        <v>2790982.92</v>
      </c>
      <c r="U6" s="18">
        <f>'Formato 6 a)'!G13</f>
        <v>2345561.4321700297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5265710.9540809207</v>
      </c>
      <c r="Q7" s="18">
        <f>'Formato 6 a)'!C14</f>
        <v>0</v>
      </c>
      <c r="R7" s="18">
        <f>'Formato 6 a)'!D14</f>
        <v>5265710.9540809207</v>
      </c>
      <c r="S7" s="18">
        <f>'Formato 6 a)'!E14</f>
        <v>3088319.33</v>
      </c>
      <c r="T7" s="18">
        <f>'Formato 6 a)'!F14</f>
        <v>3088319.33</v>
      </c>
      <c r="U7" s="18">
        <f>'Formato 6 a)'!G14</f>
        <v>2177391.6240809206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6231128.3563983021</v>
      </c>
      <c r="Q8" s="18">
        <f>'Formato 6 a)'!C15</f>
        <v>0</v>
      </c>
      <c r="R8" s="18">
        <f>'Formato 6 a)'!D15</f>
        <v>6231128.3563983021</v>
      </c>
      <c r="S8" s="18">
        <f>'Formato 6 a)'!E15</f>
        <v>4411015.04</v>
      </c>
      <c r="T8" s="18">
        <f>'Formato 6 a)'!F15</f>
        <v>4411015.04</v>
      </c>
      <c r="U8" s="18">
        <f>'Formato 6 a)'!G15</f>
        <v>1820113.3163983021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398176.40365179605</v>
      </c>
      <c r="Q9" s="18">
        <f>'Formato 6 a)'!C16</f>
        <v>0</v>
      </c>
      <c r="R9" s="18">
        <f>'Formato 6 a)'!D16</f>
        <v>398176.40365179605</v>
      </c>
      <c r="S9" s="18">
        <f>'Formato 6 a)'!E16</f>
        <v>287362.87</v>
      </c>
      <c r="T9" s="18">
        <f>'Formato 6 a)'!F16</f>
        <v>287362.87</v>
      </c>
      <c r="U9" s="18">
        <f>'Formato 6 a)'!G16</f>
        <v>110813.53365179605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19683992.257299997</v>
      </c>
      <c r="Q11" s="18">
        <f>'Formato 6 a)'!C18</f>
        <v>295827.53999999998</v>
      </c>
      <c r="R11" s="18">
        <f>'Formato 6 a)'!D18</f>
        <v>19979819.797299996</v>
      </c>
      <c r="S11" s="18">
        <f>'Formato 6 a)'!E18</f>
        <v>11821352.189999999</v>
      </c>
      <c r="T11" s="18">
        <f>'Formato 6 a)'!F18</f>
        <v>11821352.189999999</v>
      </c>
      <c r="U11" s="18">
        <f>'Formato 6 a)'!G18</f>
        <v>8158467.6072999984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936000</v>
      </c>
      <c r="Q12" s="18">
        <f>'Formato 6 a)'!C19</f>
        <v>0</v>
      </c>
      <c r="R12" s="18">
        <f>'Formato 6 a)'!D19</f>
        <v>936000</v>
      </c>
      <c r="S12" s="18">
        <f>'Formato 6 a)'!E19</f>
        <v>420273.12</v>
      </c>
      <c r="T12" s="18">
        <f>'Formato 6 a)'!F19</f>
        <v>420273.12</v>
      </c>
      <c r="U12" s="18">
        <f>'Formato 6 a)'!G19</f>
        <v>515726.88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12357382.5</v>
      </c>
      <c r="Q13" s="18">
        <f>'Formato 6 a)'!C20</f>
        <v>0</v>
      </c>
      <c r="R13" s="18">
        <f>'Formato 6 a)'!D20</f>
        <v>12357382.5</v>
      </c>
      <c r="S13" s="18">
        <f>'Formato 6 a)'!E20</f>
        <v>8997156.4600000009</v>
      </c>
      <c r="T13" s="18">
        <f>'Formato 6 a)'!F20</f>
        <v>8997156.4600000009</v>
      </c>
      <c r="U13" s="18">
        <f>'Formato 6 a)'!G20</f>
        <v>3360226.0399999991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4901565.7634999994</v>
      </c>
      <c r="Q14" s="18">
        <f>'Formato 6 a)'!C21</f>
        <v>0</v>
      </c>
      <c r="R14" s="18">
        <f>'Formato 6 a)'!D21</f>
        <v>4901565.7634999994</v>
      </c>
      <c r="S14" s="18">
        <f>'Formato 6 a)'!E21</f>
        <v>1438169.61</v>
      </c>
      <c r="T14" s="18">
        <f>'Formato 6 a)'!F21</f>
        <v>1438169.61</v>
      </c>
      <c r="U14" s="18">
        <f>'Formato 6 a)'!G21</f>
        <v>3463396.1534999991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295827.53999999998</v>
      </c>
      <c r="R15" s="18">
        <f>'Formato 6 a)'!D22</f>
        <v>295827.53999999998</v>
      </c>
      <c r="S15" s="18">
        <f>'Formato 6 a)'!E22</f>
        <v>295827.53999999998</v>
      </c>
      <c r="T15" s="18">
        <f>'Formato 6 a)'!F22</f>
        <v>295827.53999999998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266000</v>
      </c>
      <c r="Q16" s="18">
        <f>'Formato 6 a)'!C23</f>
        <v>0</v>
      </c>
      <c r="R16" s="18">
        <f>'Formato 6 a)'!D23</f>
        <v>266000</v>
      </c>
      <c r="S16" s="18">
        <f>'Formato 6 a)'!E23</f>
        <v>175201.73</v>
      </c>
      <c r="T16" s="18">
        <f>'Formato 6 a)'!F23</f>
        <v>175201.73</v>
      </c>
      <c r="U16" s="18">
        <f>'Formato 6 a)'!G23</f>
        <v>90798.26999999999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730485.99380000029</v>
      </c>
      <c r="Q17" s="18">
        <f>'Formato 6 a)'!C24</f>
        <v>0</v>
      </c>
      <c r="R17" s="18">
        <f>'Formato 6 a)'!D24</f>
        <v>730485.99380000029</v>
      </c>
      <c r="S17" s="18">
        <f>'Formato 6 a)'!E24</f>
        <v>369366.06</v>
      </c>
      <c r="T17" s="18">
        <f>'Formato 6 a)'!F24</f>
        <v>369366.06</v>
      </c>
      <c r="U17" s="18">
        <f>'Formato 6 a)'!G24</f>
        <v>361119.93380000029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303158</v>
      </c>
      <c r="Q18" s="18">
        <f>'Formato 6 a)'!C25</f>
        <v>0</v>
      </c>
      <c r="R18" s="18">
        <f>'Formato 6 a)'!D25</f>
        <v>303158</v>
      </c>
      <c r="S18" s="18">
        <f>'Formato 6 a)'!E25</f>
        <v>7540.74</v>
      </c>
      <c r="T18" s="18">
        <f>'Formato 6 a)'!F25</f>
        <v>7540.74</v>
      </c>
      <c r="U18" s="18">
        <f>'Formato 6 a)'!G25</f>
        <v>295617.26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189400</v>
      </c>
      <c r="Q20" s="18">
        <f>'Formato 6 a)'!C27</f>
        <v>0</v>
      </c>
      <c r="R20" s="18">
        <f>'Formato 6 a)'!D27</f>
        <v>189400</v>
      </c>
      <c r="S20" s="18">
        <f>'Formato 6 a)'!E27</f>
        <v>117816.93</v>
      </c>
      <c r="T20" s="18">
        <f>'Formato 6 a)'!F27</f>
        <v>117816.93</v>
      </c>
      <c r="U20" s="18">
        <f>'Formato 6 a)'!G27</f>
        <v>71583.070000000007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15693748.633331234</v>
      </c>
      <c r="Q21" s="18">
        <f>'Formato 6 a)'!C28</f>
        <v>585570.96</v>
      </c>
      <c r="R21" s="18">
        <f>'Formato 6 a)'!D28</f>
        <v>16279319.593331235</v>
      </c>
      <c r="S21" s="18">
        <f>'Formato 6 a)'!E28</f>
        <v>3797961.7800000003</v>
      </c>
      <c r="T21" s="18">
        <f>'Formato 6 a)'!F28</f>
        <v>3797961.7800000003</v>
      </c>
      <c r="U21" s="18">
        <f>'Formato 6 a)'!G28</f>
        <v>12481357.813331237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2018400</v>
      </c>
      <c r="Q22" s="18">
        <f>'Formato 6 a)'!C29</f>
        <v>0</v>
      </c>
      <c r="R22" s="18">
        <f>'Formato 6 a)'!D29</f>
        <v>2018400</v>
      </c>
      <c r="S22" s="18">
        <f>'Formato 6 a)'!E29</f>
        <v>838625.32</v>
      </c>
      <c r="T22" s="18">
        <f>'Formato 6 a)'!F29</f>
        <v>838625.32</v>
      </c>
      <c r="U22" s="18">
        <f>'Formato 6 a)'!G29</f>
        <v>1179774.6800000002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316500</v>
      </c>
      <c r="Q23" s="18">
        <f>'Formato 6 a)'!C30</f>
        <v>290517.82</v>
      </c>
      <c r="R23" s="18">
        <f>'Formato 6 a)'!D30</f>
        <v>607017.82000000007</v>
      </c>
      <c r="S23" s="18">
        <f>'Formato 6 a)'!E30</f>
        <v>607017.81999999995</v>
      </c>
      <c r="T23" s="18">
        <f>'Formato 6 a)'!F30</f>
        <v>607017.81999999995</v>
      </c>
      <c r="U23" s="18">
        <f>'Formato 6 a)'!G30</f>
        <v>0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211880</v>
      </c>
      <c r="Q24" s="18">
        <f>'Formato 6 a)'!C31</f>
        <v>0</v>
      </c>
      <c r="R24" s="18">
        <f>'Formato 6 a)'!D31</f>
        <v>211880</v>
      </c>
      <c r="S24" s="18">
        <f>'Formato 6 a)'!E31</f>
        <v>16317.32</v>
      </c>
      <c r="T24" s="18">
        <f>'Formato 6 a)'!F31</f>
        <v>16317.32</v>
      </c>
      <c r="U24" s="18">
        <f>'Formato 6 a)'!G31</f>
        <v>195562.68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978154.5623142696</v>
      </c>
      <c r="Q25" s="18">
        <f>'Formato 6 a)'!C32</f>
        <v>0</v>
      </c>
      <c r="R25" s="18">
        <f>'Formato 6 a)'!D32</f>
        <v>978154.5623142696</v>
      </c>
      <c r="S25" s="18">
        <f>'Formato 6 a)'!E32</f>
        <v>484519.31</v>
      </c>
      <c r="T25" s="18">
        <f>'Formato 6 a)'!F32</f>
        <v>484519.31</v>
      </c>
      <c r="U25" s="18">
        <f>'Formato 6 a)'!G32</f>
        <v>493635.2523142696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2677414.88</v>
      </c>
      <c r="Q26" s="18">
        <f>'Formato 6 a)'!C33</f>
        <v>295053.14</v>
      </c>
      <c r="R26" s="18">
        <f>'Formato 6 a)'!D33</f>
        <v>2972468.02</v>
      </c>
      <c r="S26" s="18">
        <f>'Formato 6 a)'!E33</f>
        <v>1153054.05</v>
      </c>
      <c r="T26" s="18">
        <f>'Formato 6 a)'!F33</f>
        <v>1153054.05</v>
      </c>
      <c r="U26" s="18">
        <f>'Formato 6 a)'!G33</f>
        <v>1819413.97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3001546.7930000001</v>
      </c>
      <c r="Q27" s="18">
        <f>'Formato 6 a)'!C34</f>
        <v>0</v>
      </c>
      <c r="R27" s="18">
        <f>'Formato 6 a)'!D34</f>
        <v>3001546.7930000001</v>
      </c>
      <c r="S27" s="18">
        <f>'Formato 6 a)'!E34</f>
        <v>268642.62</v>
      </c>
      <c r="T27" s="18">
        <f>'Formato 6 a)'!F34</f>
        <v>268642.62</v>
      </c>
      <c r="U27" s="18">
        <f>'Formato 6 a)'!G34</f>
        <v>2732904.173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233756.13500000001</v>
      </c>
      <c r="Q28" s="18">
        <f>'Formato 6 a)'!C35</f>
        <v>0</v>
      </c>
      <c r="R28" s="18">
        <f>'Formato 6 a)'!D35</f>
        <v>233756.13500000001</v>
      </c>
      <c r="S28" s="18">
        <f>'Formato 6 a)'!E35</f>
        <v>21952.54</v>
      </c>
      <c r="T28" s="18">
        <f>'Formato 6 a)'!F35</f>
        <v>21952.54</v>
      </c>
      <c r="U28" s="18">
        <f>'Formato 6 a)'!G35</f>
        <v>211803.595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5647333.2071969658</v>
      </c>
      <c r="Q29" s="18">
        <f>'Formato 6 a)'!C36</f>
        <v>0</v>
      </c>
      <c r="R29" s="18">
        <f>'Formato 6 a)'!D36</f>
        <v>5647333.2071969658</v>
      </c>
      <c r="S29" s="18">
        <f>'Formato 6 a)'!E36</f>
        <v>11064.09</v>
      </c>
      <c r="T29" s="18">
        <f>'Formato 6 a)'!F36</f>
        <v>11064.09</v>
      </c>
      <c r="U29" s="18">
        <f>'Formato 6 a)'!G36</f>
        <v>5636269.117196966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608763.05582000013</v>
      </c>
      <c r="Q30" s="18">
        <f>'Formato 6 a)'!C37</f>
        <v>0</v>
      </c>
      <c r="R30" s="18">
        <f>'Formato 6 a)'!D37</f>
        <v>608763.05582000013</v>
      </c>
      <c r="S30" s="18">
        <f>'Formato 6 a)'!E37</f>
        <v>396768.71</v>
      </c>
      <c r="T30" s="18">
        <f>'Formato 6 a)'!F37</f>
        <v>396768.71</v>
      </c>
      <c r="U30" s="18">
        <f>'Formato 6 a)'!G37</f>
        <v>211994.3458200001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339725</v>
      </c>
      <c r="Q41" s="18">
        <f>'Formato 6 a)'!C48</f>
        <v>253469.02000000002</v>
      </c>
      <c r="R41" s="18">
        <f>'Formato 6 a)'!D48</f>
        <v>593194.02</v>
      </c>
      <c r="S41" s="18">
        <f>'Formato 6 a)'!E48</f>
        <v>413882.81999999995</v>
      </c>
      <c r="T41" s="18">
        <f>'Formato 6 a)'!F48</f>
        <v>413882.81999999995</v>
      </c>
      <c r="U41" s="18">
        <f>'Formato 6 a)'!G48</f>
        <v>179311.2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201725</v>
      </c>
      <c r="Q42" s="18">
        <f>'Formato 6 a)'!C49</f>
        <v>0</v>
      </c>
      <c r="R42" s="18">
        <f>'Formato 6 a)'!D49</f>
        <v>201725</v>
      </c>
      <c r="S42" s="18">
        <f>'Formato 6 a)'!E49</f>
        <v>62413.8</v>
      </c>
      <c r="T42" s="18">
        <f>'Formato 6 a)'!F49</f>
        <v>62413.8</v>
      </c>
      <c r="U42" s="18">
        <f>'Formato 6 a)'!G49</f>
        <v>139311.20000000001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0</v>
      </c>
      <c r="R44" s="18">
        <f>'Formato 6 a)'!D51</f>
        <v>40000</v>
      </c>
      <c r="S44" s="18">
        <f>'Formato 6 a)'!E51</f>
        <v>0</v>
      </c>
      <c r="T44" s="18">
        <f>'Formato 6 a)'!F51</f>
        <v>0</v>
      </c>
      <c r="U44" s="18">
        <f>'Formato 6 a)'!G51</f>
        <v>40000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88000</v>
      </c>
      <c r="Q47" s="18">
        <f>'Formato 6 a)'!C54</f>
        <v>83469.02</v>
      </c>
      <c r="R47" s="18">
        <f>'Formato 6 a)'!D54</f>
        <v>171469.02000000002</v>
      </c>
      <c r="S47" s="18">
        <f>'Formato 6 a)'!E54</f>
        <v>171469.01999999996</v>
      </c>
      <c r="T47" s="18">
        <f>'Formato 6 a)'!F54</f>
        <v>171469.01999999996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10000</v>
      </c>
      <c r="Q48" s="18">
        <f>'Formato 6 a)'!C55</f>
        <v>170000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0</v>
      </c>
      <c r="Q51" s="18">
        <f>'Formato 6 a)'!C58</f>
        <v>741592.14999999991</v>
      </c>
      <c r="R51" s="18">
        <f>'Formato 6 a)'!D58</f>
        <v>741592.14999999991</v>
      </c>
      <c r="S51" s="18">
        <f>'Formato 6 a)'!E58</f>
        <v>388009.12</v>
      </c>
      <c r="T51" s="18">
        <f>'Formato 6 a)'!F58</f>
        <v>388009.12</v>
      </c>
      <c r="U51" s="18">
        <f>'Formato 6 a)'!G58</f>
        <v>353583.02999999991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0</v>
      </c>
      <c r="Q52" s="18">
        <f>'Formato 6 a)'!C59</f>
        <v>0</v>
      </c>
      <c r="R52" s="18">
        <f>'Formato 6 a)'!D59</f>
        <v>0</v>
      </c>
      <c r="S52" s="18">
        <f>'Formato 6 a)'!E59</f>
        <v>0</v>
      </c>
      <c r="T52" s="18">
        <f>'Formato 6 a)'!F59</f>
        <v>0</v>
      </c>
      <c r="U52" s="18">
        <f>'Formato 6 a)'!G59</f>
        <v>0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741592.14999999991</v>
      </c>
      <c r="R53" s="18">
        <f>'Formato 6 a)'!D60</f>
        <v>741592.14999999991</v>
      </c>
      <c r="S53" s="18">
        <f>'Formato 6 a)'!E60</f>
        <v>388009.12</v>
      </c>
      <c r="T53" s="18">
        <f>'Formato 6 a)'!F60</f>
        <v>388009.12</v>
      </c>
      <c r="U53" s="18">
        <f>'Formato 6 a)'!G60</f>
        <v>353583.02999999991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70456846.99969998</v>
      </c>
      <c r="Q150">
        <f>'Formato 6 a)'!C159</f>
        <v>12567399.459999999</v>
      </c>
      <c r="R150">
        <f>'Formato 6 a)'!D159</f>
        <v>83024246.459699988</v>
      </c>
      <c r="S150">
        <f>'Formato 6 a)'!E159</f>
        <v>39660403.600000001</v>
      </c>
      <c r="T150">
        <f>'Formato 6 a)'!F159</f>
        <v>39660403.600000001</v>
      </c>
      <c r="U150">
        <f>'Formato 6 a)'!G159</f>
        <v>43363842.859699979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topLeftCell="A4" zoomScale="90" zoomScaleNormal="90" workbookViewId="0">
      <selection activeCell="F10" sqref="F10:F16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5" t="s">
        <v>3290</v>
      </c>
      <c r="B1" s="175"/>
      <c r="C1" s="175"/>
      <c r="D1" s="175"/>
      <c r="E1" s="175"/>
      <c r="F1" s="175"/>
      <c r="G1" s="175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431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0</v>
      </c>
      <c r="B7" s="173" t="s">
        <v>279</v>
      </c>
      <c r="C7" s="173"/>
      <c r="D7" s="173"/>
      <c r="E7" s="173"/>
      <c r="F7" s="173"/>
      <c r="G7" s="177" t="s">
        <v>280</v>
      </c>
    </row>
    <row r="8" spans="1:7" ht="30" x14ac:dyDescent="0.25">
      <c r="A8" s="172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6"/>
    </row>
    <row r="9" spans="1:7" ht="14.25" x14ac:dyDescent="0.45">
      <c r="A9" s="52" t="s">
        <v>440</v>
      </c>
      <c r="B9" s="59">
        <f>SUM(B10:GASTO_NE_FIN_01)</f>
        <v>70456846.999699995</v>
      </c>
      <c r="C9" s="59">
        <f>SUM(C10:GASTO_NE_FIN_02)</f>
        <v>-16325708.480627052</v>
      </c>
      <c r="D9" s="59">
        <f>SUM(D10:GASTO_NE_FIN_03)</f>
        <v>54131138.519072935</v>
      </c>
      <c r="E9" s="59">
        <f>SUM(E10:GASTO_NE_FIN_04)</f>
        <v>55537593.500000007</v>
      </c>
      <c r="F9" s="59">
        <f>SUM(F10:GASTO_NE_FIN_05)</f>
        <v>55537593.500000007</v>
      </c>
      <c r="G9" s="59">
        <f>SUM(G10:GASTO_NE_FIN_06)</f>
        <v>-1406454.9809270627</v>
      </c>
    </row>
    <row r="10" spans="1:7" s="24" customFormat="1" x14ac:dyDescent="0.25">
      <c r="A10" s="144" t="s">
        <v>3302</v>
      </c>
      <c r="B10" s="60">
        <v>24522412.98815316</v>
      </c>
      <c r="C10" s="60">
        <v>-8488611.4813293926</v>
      </c>
      <c r="D10" s="60">
        <v>16033801.506823767</v>
      </c>
      <c r="E10" s="60">
        <v>16037310.08</v>
      </c>
      <c r="F10" s="60">
        <v>16037310.08</v>
      </c>
      <c r="G10" s="77">
        <f>D10-E10</f>
        <v>-3508.5731762330979</v>
      </c>
    </row>
    <row r="11" spans="1:7" s="24" customFormat="1" x14ac:dyDescent="0.25">
      <c r="A11" s="144" t="s">
        <v>3303</v>
      </c>
      <c r="B11" s="60">
        <v>10693828.311840046</v>
      </c>
      <c r="C11" s="60">
        <v>1016952.9147147182</v>
      </c>
      <c r="D11" s="60">
        <v>11710781.226554764</v>
      </c>
      <c r="E11" s="60">
        <v>11844250.34</v>
      </c>
      <c r="F11" s="60">
        <v>11844250.34</v>
      </c>
      <c r="G11" s="77">
        <f t="shared" ref="G11:G17" si="0">D11-E11</f>
        <v>-133469.11344523542</v>
      </c>
    </row>
    <row r="12" spans="1:7" s="24" customFormat="1" x14ac:dyDescent="0.25">
      <c r="A12" s="144" t="s">
        <v>3304</v>
      </c>
      <c r="B12" s="60">
        <v>1785881.0342501525</v>
      </c>
      <c r="C12" s="60">
        <v>-388016.11865491117</v>
      </c>
      <c r="D12" s="60">
        <v>1397864.9155952414</v>
      </c>
      <c r="E12" s="60">
        <v>2766896.34</v>
      </c>
      <c r="F12" s="60">
        <v>2766896.34</v>
      </c>
      <c r="G12" s="77">
        <f t="shared" si="0"/>
        <v>-1369031.4244047585</v>
      </c>
    </row>
    <row r="13" spans="1:7" s="24" customFormat="1" x14ac:dyDescent="0.25">
      <c r="A13" s="144" t="s">
        <v>3305</v>
      </c>
      <c r="B13" s="60">
        <v>24543122.458934266</v>
      </c>
      <c r="C13" s="60">
        <v>-7071912.683034271</v>
      </c>
      <c r="D13" s="60">
        <v>17471209.775899995</v>
      </c>
      <c r="E13" s="60">
        <v>17356637.329999998</v>
      </c>
      <c r="F13" s="60">
        <v>17356637.329999998</v>
      </c>
      <c r="G13" s="77">
        <f t="shared" si="0"/>
        <v>114572.44589999691</v>
      </c>
    </row>
    <row r="14" spans="1:7" s="24" customFormat="1" x14ac:dyDescent="0.25">
      <c r="A14" s="144" t="s">
        <v>3306</v>
      </c>
      <c r="B14" s="60">
        <v>6156969.1008900506</v>
      </c>
      <c r="C14" s="60">
        <v>-753988.82507962268</v>
      </c>
      <c r="D14" s="60">
        <v>5402980.275810428</v>
      </c>
      <c r="E14" s="60">
        <v>5440684.8300000001</v>
      </c>
      <c r="F14" s="60">
        <v>5440684.8300000001</v>
      </c>
      <c r="G14" s="77">
        <f t="shared" si="0"/>
        <v>-37704.554189572111</v>
      </c>
    </row>
    <row r="15" spans="1:7" s="24" customFormat="1" x14ac:dyDescent="0.25">
      <c r="A15" s="144" t="s">
        <v>3307</v>
      </c>
      <c r="B15" s="60">
        <v>1939129.222470934</v>
      </c>
      <c r="C15" s="60">
        <v>-443288.14501079451</v>
      </c>
      <c r="D15" s="60">
        <v>1495841.0774601395</v>
      </c>
      <c r="E15" s="60">
        <v>1468005.74</v>
      </c>
      <c r="F15" s="60">
        <v>1468005.74</v>
      </c>
      <c r="G15" s="77">
        <f t="shared" si="0"/>
        <v>27835.337460139534</v>
      </c>
    </row>
    <row r="16" spans="1:7" s="24" customFormat="1" x14ac:dyDescent="0.25">
      <c r="A16" s="144" t="s">
        <v>3308</v>
      </c>
      <c r="B16" s="60">
        <v>815503.88316137646</v>
      </c>
      <c r="C16" s="60">
        <v>-196844.14223277662</v>
      </c>
      <c r="D16" s="60">
        <v>618659.74092859984</v>
      </c>
      <c r="E16" s="60">
        <v>623808.84</v>
      </c>
      <c r="F16" s="60">
        <v>623808.84</v>
      </c>
      <c r="G16" s="77">
        <f t="shared" si="0"/>
        <v>-5149.0990714001236</v>
      </c>
    </row>
    <row r="17" spans="1:7" s="24" customFormat="1" ht="14.25" x14ac:dyDescent="0.45">
      <c r="A17" s="144" t="s">
        <v>557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70456846.999699995</v>
      </c>
      <c r="C29" s="61">
        <f>GASTO_NE_T2+GASTO_E_T2</f>
        <v>-16325708.480627052</v>
      </c>
      <c r="D29" s="61">
        <f>GASTO_NE_T3+GASTO_E_T3</f>
        <v>54131138.519072935</v>
      </c>
      <c r="E29" s="61">
        <f>GASTO_NE_T4+GASTO_E_T4</f>
        <v>55537593.500000007</v>
      </c>
      <c r="F29" s="61">
        <f>GASTO_NE_T5+GASTO_E_T5</f>
        <v>55537593.500000007</v>
      </c>
      <c r="G29" s="61">
        <f>GASTO_NE_T6+GASTO_E_T6</f>
        <v>-1406454.9809270627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70456846.999699995</v>
      </c>
      <c r="Q2" s="18">
        <f>GASTO_NE_T2</f>
        <v>-16325708.480627052</v>
      </c>
      <c r="R2" s="18">
        <f>GASTO_NE_T3</f>
        <v>54131138.519072935</v>
      </c>
      <c r="S2" s="18">
        <f>GASTO_NE_T4</f>
        <v>55537593.500000007</v>
      </c>
      <c r="T2" s="18">
        <f>GASTO_NE_T5</f>
        <v>55537593.500000007</v>
      </c>
      <c r="U2" s="18">
        <f>GASTO_NE_T6</f>
        <v>-1406454.9809270627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70456846.999699995</v>
      </c>
      <c r="Q4" s="18">
        <f>TOTAL_E_T2</f>
        <v>-16325708.480627052</v>
      </c>
      <c r="R4" s="18">
        <f>TOTAL_E_T3</f>
        <v>54131138.519072935</v>
      </c>
      <c r="S4" s="18">
        <f>TOTAL_E_T4</f>
        <v>55537593.500000007</v>
      </c>
      <c r="T4" s="18">
        <f>TOTAL_E_T5</f>
        <v>55537593.500000007</v>
      </c>
      <c r="U4" s="18">
        <f>TOTAL_E_T6</f>
        <v>-1406454.9809270627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topLeftCell="A61" zoomScale="90" zoomScaleNormal="90" workbookViewId="0">
      <selection activeCell="G20" sqref="G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1" t="s">
        <v>3289</v>
      </c>
      <c r="B1" s="182"/>
      <c r="C1" s="182"/>
      <c r="D1" s="182"/>
      <c r="E1" s="182"/>
      <c r="F1" s="182"/>
      <c r="G1" s="182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59" t="s">
        <v>396</v>
      </c>
      <c r="B3" s="160"/>
      <c r="C3" s="160"/>
      <c r="D3" s="160"/>
      <c r="E3" s="160"/>
      <c r="F3" s="160"/>
      <c r="G3" s="161"/>
    </row>
    <row r="4" spans="1:7" x14ac:dyDescent="0.25">
      <c r="A4" s="159" t="s">
        <v>397</v>
      </c>
      <c r="B4" s="160"/>
      <c r="C4" s="160"/>
      <c r="D4" s="160"/>
      <c r="E4" s="160"/>
      <c r="F4" s="160"/>
      <c r="G4" s="161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60" t="s">
        <v>0</v>
      </c>
      <c r="B7" s="165" t="s">
        <v>279</v>
      </c>
      <c r="C7" s="166"/>
      <c r="D7" s="166"/>
      <c r="E7" s="166"/>
      <c r="F7" s="167"/>
      <c r="G7" s="177" t="s">
        <v>3286</v>
      </c>
    </row>
    <row r="8" spans="1:7" ht="30.75" customHeight="1" x14ac:dyDescent="0.25">
      <c r="A8" s="160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6"/>
    </row>
    <row r="9" spans="1:7" ht="14.25" x14ac:dyDescent="0.45">
      <c r="A9" s="52" t="s">
        <v>363</v>
      </c>
      <c r="B9" s="70">
        <f>SUM(B10,B19,B27,B37)</f>
        <v>70456846.999699995</v>
      </c>
      <c r="C9" s="70">
        <f t="shared" ref="C9:G9" si="0">SUM(C10,C19,C27,C37)</f>
        <v>-16325708.483208492</v>
      </c>
      <c r="D9" s="70">
        <f t="shared" si="0"/>
        <v>54131138.516491495</v>
      </c>
      <c r="E9" s="70">
        <f t="shared" si="0"/>
        <v>55537593.500000015</v>
      </c>
      <c r="F9" s="70">
        <f t="shared" si="0"/>
        <v>55537593.500000015</v>
      </c>
      <c r="G9" s="70">
        <f t="shared" si="0"/>
        <v>-1406454.9835085066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70456846.999699995</v>
      </c>
      <c r="C19" s="71">
        <f t="shared" ref="C19:F19" si="3">SUM(C20:C26)</f>
        <v>-16325708.483208492</v>
      </c>
      <c r="D19" s="71">
        <f t="shared" si="3"/>
        <v>54131138.516491495</v>
      </c>
      <c r="E19" s="71">
        <f t="shared" si="3"/>
        <v>55537593.500000015</v>
      </c>
      <c r="F19" s="71">
        <f t="shared" si="3"/>
        <v>55537593.500000015</v>
      </c>
      <c r="G19" s="71">
        <f>SUM(G20:G26)</f>
        <v>-1406454.9835085066</v>
      </c>
    </row>
    <row r="20" spans="1:7" x14ac:dyDescent="0.25">
      <c r="A20" s="63" t="s">
        <v>374</v>
      </c>
      <c r="B20" s="71">
        <v>70456846.999699995</v>
      </c>
      <c r="C20" s="71">
        <v>-16325708.483208492</v>
      </c>
      <c r="D20" s="71">
        <v>54131138.516491495</v>
      </c>
      <c r="E20" s="71">
        <v>55537593.500000015</v>
      </c>
      <c r="F20" s="71">
        <v>55537593.500000015</v>
      </c>
      <c r="G20" s="72">
        <v>-1406454.9835085066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70456846.999699995</v>
      </c>
      <c r="C77" s="73">
        <f t="shared" ref="C77:F77" si="18">C43+C9</f>
        <v>-16325708.483208492</v>
      </c>
      <c r="D77" s="73">
        <f t="shared" si="18"/>
        <v>54131138.516491495</v>
      </c>
      <c r="E77" s="73">
        <f t="shared" si="18"/>
        <v>55537593.500000015</v>
      </c>
      <c r="F77" s="73">
        <f t="shared" si="18"/>
        <v>55537593.500000015</v>
      </c>
      <c r="G77" s="73">
        <f>G43+G9</f>
        <v>-1406454.9835085066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70456846.999699995</v>
      </c>
      <c r="Q2" s="18">
        <f>'Formato 6 c)'!C9</f>
        <v>-16325708.483208492</v>
      </c>
      <c r="R2" s="18">
        <f>'Formato 6 c)'!D9</f>
        <v>54131138.516491495</v>
      </c>
      <c r="S2" s="18">
        <f>'Formato 6 c)'!E9</f>
        <v>55537593.500000015</v>
      </c>
      <c r="T2" s="18">
        <f>'Formato 6 c)'!F9</f>
        <v>55537593.500000015</v>
      </c>
      <c r="U2" s="18">
        <f>'Formato 6 c)'!G9</f>
        <v>-1406454.9835085066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70456846.999699995</v>
      </c>
      <c r="Q12" s="18">
        <f>'Formato 6 c)'!C19</f>
        <v>-16325708.483208492</v>
      </c>
      <c r="R12" s="18">
        <f>'Formato 6 c)'!D19</f>
        <v>54131138.516491495</v>
      </c>
      <c r="S12" s="18">
        <f>'Formato 6 c)'!E19</f>
        <v>55537593.500000015</v>
      </c>
      <c r="T12" s="18">
        <f>'Formato 6 c)'!F19</f>
        <v>55537593.500000015</v>
      </c>
      <c r="U12" s="18">
        <f>'Formato 6 c)'!G19</f>
        <v>-1406454.9835085066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70456846.999699995</v>
      </c>
      <c r="Q13" s="18">
        <f>'Formato 6 c)'!C20</f>
        <v>-16325708.483208492</v>
      </c>
      <c r="R13" s="18">
        <f>'Formato 6 c)'!D20</f>
        <v>54131138.516491495</v>
      </c>
      <c r="S13" s="18">
        <f>'Formato 6 c)'!E20</f>
        <v>55537593.500000015</v>
      </c>
      <c r="T13" s="18">
        <f>'Formato 6 c)'!F20</f>
        <v>55537593.500000015</v>
      </c>
      <c r="U13" s="18">
        <f>'Formato 6 c)'!G20</f>
        <v>-1406454.9835085066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70456846.999699995</v>
      </c>
      <c r="Q68" s="18">
        <f>'Formato 6 c)'!C77</f>
        <v>-16325708.483208492</v>
      </c>
      <c r="R68" s="18">
        <f>'Formato 6 c)'!D77</f>
        <v>54131138.516491495</v>
      </c>
      <c r="S68" s="18">
        <f>'Formato 6 c)'!E77</f>
        <v>55537593.500000015</v>
      </c>
      <c r="T68" s="18">
        <f>'Formato 6 c)'!F77</f>
        <v>55537593.500000015</v>
      </c>
      <c r="U68" s="18">
        <f>'Formato 6 c)'!G77</f>
        <v>-1406454.9835085066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2020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4</v>
      </c>
    </row>
    <row r="16" spans="2:3" ht="14.25" x14ac:dyDescent="0.4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31 de diciembre de 2020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31 de diciembre de 2020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31 de diciembre de 2020 (m = g – l)</v>
      </c>
    </row>
    <row r="20" spans="4:9" ht="57" x14ac:dyDescent="0.45">
      <c r="D20" s="21" t="str">
        <f>CONCATENATE(ANIO_INFORME, " (d)")</f>
        <v>2020 (d)</v>
      </c>
      <c r="E20" s="22" t="str">
        <f>CONCATENATE("31 de diciembre de ",ANIO_INFORME-1, " (e)")</f>
        <v>31 de diciembre de 2019 (e)</v>
      </c>
      <c r="F20" s="31" t="str">
        <f>CONCATENATE("Saldo al 31 de diciembre de ",ANIO_INFORME-1, " (d)")</f>
        <v>Saldo al 31 de diciembre de 2019 (d)</v>
      </c>
    </row>
    <row r="23" spans="4:9" ht="14.25" x14ac:dyDescent="0.45">
      <c r="D23" s="33">
        <f>ANIO_INFORME + 1</f>
        <v>2021</v>
      </c>
      <c r="E23" s="34" t="str">
        <f>CONCATENATE(ANIO_INFORME + 2, " (d)")</f>
        <v>2022 (d)</v>
      </c>
      <c r="F23" s="34" t="str">
        <f>CONCATENATE(ANIO_INFORME + 3, " (d)")</f>
        <v>2023 (d)</v>
      </c>
      <c r="G23" s="34" t="str">
        <f>CONCATENATE(ANIO_INFORME + 4, " (d)")</f>
        <v>2024 (d)</v>
      </c>
      <c r="H23" s="34" t="str">
        <f>CONCATENATE(ANIO_INFORME + 5, " (d)")</f>
        <v>2025 (d)</v>
      </c>
      <c r="I23" s="34" t="str">
        <f>CONCATENATE(ANIO_INFORME + 6, " (d)")</f>
        <v>2026 (d)</v>
      </c>
    </row>
    <row r="25" spans="4:9" x14ac:dyDescent="0.25">
      <c r="D25" s="35" t="str">
        <f>CONCATENATE(ANIO_INFORME - 5, " ",CHAR(185)," (c)")</f>
        <v>2015 ¹ (c)</v>
      </c>
      <c r="E25" s="35" t="str">
        <f>CONCATENATE(ANIO_INFORME - 4, " ",CHAR(185)," (c)")</f>
        <v>2016 ¹ (c)</v>
      </c>
      <c r="F25" s="35" t="str">
        <f>CONCATENATE(ANIO_INFORME - 3, " ",CHAR(185)," (c)")</f>
        <v>2017 ¹ (c)</v>
      </c>
      <c r="G25" s="35" t="str">
        <f>CONCATENATE(ANIO_INFORME - 2, " ",CHAR(185)," (c)")</f>
        <v>2018 ¹ (c)</v>
      </c>
      <c r="H25" s="35" t="str">
        <f>CONCATENATE(ANIO_INFORME - 1, " ",CHAR(185)," (c)")</f>
        <v>2019 ¹ (c)</v>
      </c>
      <c r="I25" s="33">
        <f>ANIO_INFORME</f>
        <v>2020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topLeftCell="A7" zoomScale="90" zoomScaleNormal="90" workbookViewId="0">
      <selection activeCell="B10" sqref="B10:F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5" t="s">
        <v>3287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8"/>
    </row>
    <row r="3" spans="1:7" x14ac:dyDescent="0.25">
      <c r="A3" s="162" t="s">
        <v>277</v>
      </c>
      <c r="B3" s="163"/>
      <c r="C3" s="163"/>
      <c r="D3" s="163"/>
      <c r="E3" s="163"/>
      <c r="F3" s="163"/>
      <c r="G3" s="164"/>
    </row>
    <row r="4" spans="1:7" x14ac:dyDescent="0.25">
      <c r="A4" s="162" t="s">
        <v>399</v>
      </c>
      <c r="B4" s="163"/>
      <c r="C4" s="163"/>
      <c r="D4" s="163"/>
      <c r="E4" s="163"/>
      <c r="F4" s="163"/>
      <c r="G4" s="164"/>
    </row>
    <row r="5" spans="1:7" ht="14.25" x14ac:dyDescent="0.45">
      <c r="A5" s="162" t="str">
        <f>TRIMESTRE</f>
        <v>Del 1 de enero al 31 de diciembre de 2020 (b)</v>
      </c>
      <c r="B5" s="163"/>
      <c r="C5" s="163"/>
      <c r="D5" s="163"/>
      <c r="E5" s="163"/>
      <c r="F5" s="163"/>
      <c r="G5" s="164"/>
    </row>
    <row r="6" spans="1:7" ht="14.25" x14ac:dyDescent="0.45">
      <c r="A6" s="165" t="s">
        <v>118</v>
      </c>
      <c r="B6" s="166"/>
      <c r="C6" s="166"/>
      <c r="D6" s="166"/>
      <c r="E6" s="166"/>
      <c r="F6" s="166"/>
      <c r="G6" s="167"/>
    </row>
    <row r="7" spans="1:7" x14ac:dyDescent="0.25">
      <c r="A7" s="171" t="s">
        <v>361</v>
      </c>
      <c r="B7" s="176" t="s">
        <v>279</v>
      </c>
      <c r="C7" s="176"/>
      <c r="D7" s="176"/>
      <c r="E7" s="176"/>
      <c r="F7" s="176"/>
      <c r="G7" s="176" t="s">
        <v>280</v>
      </c>
    </row>
    <row r="8" spans="1:7" ht="29.25" customHeight="1" x14ac:dyDescent="0.25">
      <c r="A8" s="172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3"/>
    </row>
    <row r="9" spans="1:7" ht="14.25" x14ac:dyDescent="0.45">
      <c r="A9" s="52" t="s">
        <v>400</v>
      </c>
      <c r="B9" s="66">
        <f>SUM(B10,B11,B12,B15,B16,B19)</f>
        <v>34739381.109068751</v>
      </c>
      <c r="C9" s="66">
        <f t="shared" ref="C9:F9" si="0">SUM(C10,C11,C12,C15,C16,C19)</f>
        <v>-2000991.9525772529</v>
      </c>
      <c r="D9" s="66">
        <f t="shared" si="0"/>
        <v>32738389.156491496</v>
      </c>
      <c r="E9" s="66">
        <f t="shared" si="0"/>
        <v>32738389.159999996</v>
      </c>
      <c r="F9" s="66">
        <f t="shared" si="0"/>
        <v>32738389.159999996</v>
      </c>
      <c r="G9" s="66">
        <f>SUM(G10,G11,G12,G15,G16,G19)</f>
        <v>-3.5085007548332214E-3</v>
      </c>
    </row>
    <row r="10" spans="1:7" x14ac:dyDescent="0.25">
      <c r="A10" s="53" t="s">
        <v>401</v>
      </c>
      <c r="B10" s="67">
        <v>34739381.109068751</v>
      </c>
      <c r="C10" s="67">
        <v>-2000991.9525772529</v>
      </c>
      <c r="D10" s="67">
        <v>32738389.156491496</v>
      </c>
      <c r="E10" s="67">
        <v>32738389.159999996</v>
      </c>
      <c r="F10" s="67">
        <v>32738389.159999996</v>
      </c>
      <c r="G10" s="67">
        <f>D10-E10</f>
        <v>-3.5085007548332214E-3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34739381.109068751</v>
      </c>
      <c r="C33" s="66">
        <f t="shared" ref="C33:G33" si="9">C21+C9</f>
        <v>-2000991.9525772529</v>
      </c>
      <c r="D33" s="66">
        <f t="shared" si="9"/>
        <v>32738389.156491496</v>
      </c>
      <c r="E33" s="66">
        <f t="shared" si="9"/>
        <v>32738389.159999996</v>
      </c>
      <c r="F33" s="66">
        <f t="shared" si="9"/>
        <v>32738389.159999996</v>
      </c>
      <c r="G33" s="66">
        <f t="shared" si="9"/>
        <v>-3.5085007548332214E-3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34739381.109068751</v>
      </c>
      <c r="Q2" s="18">
        <f>'Formato 6 d)'!C9</f>
        <v>-2000991.9525772529</v>
      </c>
      <c r="R2" s="18">
        <f>'Formato 6 d)'!D9</f>
        <v>32738389.156491496</v>
      </c>
      <c r="S2" s="18">
        <f>'Formato 6 d)'!E9</f>
        <v>32738389.159999996</v>
      </c>
      <c r="T2" s="18">
        <f>'Formato 6 d)'!F9</f>
        <v>32738389.159999996</v>
      </c>
      <c r="U2" s="18">
        <f>'Formato 6 d)'!G9</f>
        <v>-3.5085007548332214E-3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34739381.109068751</v>
      </c>
      <c r="Q3" s="18">
        <f>'Formato 6 d)'!C10</f>
        <v>-2000991.9525772529</v>
      </c>
      <c r="R3" s="18">
        <f>'Formato 6 d)'!D10</f>
        <v>32738389.156491496</v>
      </c>
      <c r="S3" s="18">
        <f>'Formato 6 d)'!E10</f>
        <v>32738389.159999996</v>
      </c>
      <c r="T3" s="18">
        <f>'Formato 6 d)'!F10</f>
        <v>32738389.159999996</v>
      </c>
      <c r="U3" s="18">
        <f>'Formato 6 d)'!G10</f>
        <v>-3.5085007548332214E-3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34739381.109068751</v>
      </c>
      <c r="Q24" s="18">
        <f>'Formato 6 d)'!C33</f>
        <v>-2000991.9525772529</v>
      </c>
      <c r="R24" s="18">
        <f>'Formato 6 d)'!D33</f>
        <v>32738389.156491496</v>
      </c>
      <c r="S24" s="18">
        <f>'Formato 6 d)'!E33</f>
        <v>32738389.159999996</v>
      </c>
      <c r="T24" s="18">
        <f>'Formato 6 d)'!F33</f>
        <v>32738389.159999996</v>
      </c>
      <c r="U24" s="18">
        <f>'Formato 6 d)'!G33</f>
        <v>-3.5085007548332214E-3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A32" sqref="A3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4" t="s">
        <v>413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414</v>
      </c>
      <c r="B3" s="160"/>
      <c r="C3" s="160"/>
      <c r="D3" s="160"/>
      <c r="E3" s="160"/>
      <c r="F3" s="160"/>
      <c r="G3" s="161"/>
    </row>
    <row r="4" spans="1:7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x14ac:dyDescent="0.25">
      <c r="A6" s="171" t="s">
        <v>3288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ht="48" customHeight="1" x14ac:dyDescent="0.25">
      <c r="A7" s="172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4" t="s">
        <v>451</v>
      </c>
      <c r="B1" s="174"/>
      <c r="C1" s="174"/>
      <c r="D1" s="174"/>
      <c r="E1" s="174"/>
      <c r="F1" s="174"/>
      <c r="G1" s="174"/>
    </row>
    <row r="2" spans="1:7" customFormat="1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customFormat="1" ht="14.25" x14ac:dyDescent="0.45">
      <c r="A3" s="159" t="s">
        <v>452</v>
      </c>
      <c r="B3" s="160"/>
      <c r="C3" s="160"/>
      <c r="D3" s="160"/>
      <c r="E3" s="160"/>
      <c r="F3" s="160"/>
      <c r="G3" s="161"/>
    </row>
    <row r="4" spans="1:7" customFormat="1" ht="14.25" x14ac:dyDescent="0.45">
      <c r="A4" s="159" t="s">
        <v>118</v>
      </c>
      <c r="B4" s="160"/>
      <c r="C4" s="160"/>
      <c r="D4" s="160"/>
      <c r="E4" s="160"/>
      <c r="F4" s="160"/>
      <c r="G4" s="161"/>
    </row>
    <row r="5" spans="1:7" customFormat="1" ht="14.25" x14ac:dyDescent="0.45">
      <c r="A5" s="159" t="s">
        <v>415</v>
      </c>
      <c r="B5" s="160"/>
      <c r="C5" s="160"/>
      <c r="D5" s="160"/>
      <c r="E5" s="160"/>
      <c r="F5" s="160"/>
      <c r="G5" s="161"/>
    </row>
    <row r="6" spans="1:7" customFormat="1" x14ac:dyDescent="0.25">
      <c r="A6" s="186" t="s">
        <v>3142</v>
      </c>
      <c r="B6" s="51">
        <f>ANIO1P</f>
        <v>2021</v>
      </c>
      <c r="C6" s="184" t="str">
        <f>ANIO2P</f>
        <v>2022 (d)</v>
      </c>
      <c r="D6" s="184" t="str">
        <f>ANIO3P</f>
        <v>2023 (d)</v>
      </c>
      <c r="E6" s="184" t="str">
        <f>ANIO4P</f>
        <v>2024 (d)</v>
      </c>
      <c r="F6" s="184" t="str">
        <f>ANIO5P</f>
        <v>2025 (d)</v>
      </c>
      <c r="G6" s="184" t="str">
        <f>ANIO6P</f>
        <v>2026 (d)</v>
      </c>
    </row>
    <row r="7" spans="1:7" customFormat="1" ht="48" customHeight="1" x14ac:dyDescent="0.25">
      <c r="A7" s="187"/>
      <c r="B7" s="88" t="s">
        <v>3291</v>
      </c>
      <c r="C7" s="185"/>
      <c r="D7" s="185"/>
      <c r="E7" s="185"/>
      <c r="F7" s="185"/>
      <c r="G7" s="185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466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467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1" t="s">
        <v>3288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2"/>
      <c r="B6" s="190"/>
      <c r="C6" s="190"/>
      <c r="D6" s="190"/>
      <c r="E6" s="190"/>
      <c r="F6" s="190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8" t="s">
        <v>3292</v>
      </c>
      <c r="B39" s="188"/>
      <c r="C39" s="188"/>
      <c r="D39" s="188"/>
      <c r="E39" s="188"/>
      <c r="F39" s="188"/>
      <c r="G39" s="188"/>
    </row>
    <row r="40" spans="1:7" ht="15" customHeight="1" x14ac:dyDescent="0.25">
      <c r="A40" s="188" t="s">
        <v>3293</v>
      </c>
      <c r="B40" s="188"/>
      <c r="C40" s="188"/>
      <c r="D40" s="188"/>
      <c r="E40" s="188"/>
      <c r="F40" s="188"/>
      <c r="G40" s="188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topLeftCell="A4" zoomScale="90" zoomScaleNormal="90" workbookViewId="0">
      <selection activeCell="F8" sqref="F8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4" t="s">
        <v>490</v>
      </c>
      <c r="B1" s="174"/>
      <c r="C1" s="174"/>
      <c r="D1" s="174"/>
      <c r="E1" s="174"/>
      <c r="F1" s="174"/>
      <c r="G1" s="174"/>
    </row>
    <row r="2" spans="1:7" ht="14.25" x14ac:dyDescent="0.45">
      <c r="A2" s="156" t="str">
        <f>ENTIDAD</f>
        <v>Municipio de León, Gobierno del Estado de Guanajuato</v>
      </c>
      <c r="B2" s="157"/>
      <c r="C2" s="157"/>
      <c r="D2" s="157"/>
      <c r="E2" s="157"/>
      <c r="F2" s="157"/>
      <c r="G2" s="158"/>
    </row>
    <row r="3" spans="1:7" ht="14.25" x14ac:dyDescent="0.45">
      <c r="A3" s="159" t="s">
        <v>491</v>
      </c>
      <c r="B3" s="160"/>
      <c r="C3" s="160"/>
      <c r="D3" s="160"/>
      <c r="E3" s="160"/>
      <c r="F3" s="160"/>
      <c r="G3" s="161"/>
    </row>
    <row r="4" spans="1:7" ht="14.25" x14ac:dyDescent="0.45">
      <c r="A4" s="165" t="s">
        <v>118</v>
      </c>
      <c r="B4" s="166"/>
      <c r="C4" s="166"/>
      <c r="D4" s="166"/>
      <c r="E4" s="166"/>
      <c r="F4" s="166"/>
      <c r="G4" s="167"/>
    </row>
    <row r="5" spans="1:7" x14ac:dyDescent="0.25">
      <c r="A5" s="193" t="s">
        <v>3142</v>
      </c>
      <c r="B5" s="189" t="str">
        <f>ANIO5R</f>
        <v>2015 ¹ (c)</v>
      </c>
      <c r="C5" s="189" t="str">
        <f>ANIO4R</f>
        <v>2016 ¹ (c)</v>
      </c>
      <c r="D5" s="189" t="str">
        <f>ANIO3R</f>
        <v>2017 ¹ (c)</v>
      </c>
      <c r="E5" s="189" t="str">
        <f>ANIO2R</f>
        <v>2018 ¹ (c)</v>
      </c>
      <c r="F5" s="189" t="str">
        <f>ANIO1R</f>
        <v>2019 ¹ (c)</v>
      </c>
      <c r="G5" s="51">
        <f>ANIO_INFORME</f>
        <v>2020</v>
      </c>
    </row>
    <row r="6" spans="1:7" ht="32.1" customHeight="1" x14ac:dyDescent="0.25">
      <c r="A6" s="194"/>
      <c r="B6" s="190"/>
      <c r="C6" s="190"/>
      <c r="D6" s="190"/>
      <c r="E6" s="190"/>
      <c r="F6" s="190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88" t="s">
        <v>3292</v>
      </c>
      <c r="B32" s="188"/>
      <c r="C32" s="188"/>
      <c r="D32" s="188"/>
      <c r="E32" s="188"/>
      <c r="F32" s="188"/>
      <c r="G32" s="188"/>
    </row>
    <row r="33" spans="1:7" x14ac:dyDescent="0.25">
      <c r="A33" s="188" t="s">
        <v>3293</v>
      </c>
      <c r="B33" s="188"/>
      <c r="C33" s="188"/>
      <c r="D33" s="188"/>
      <c r="E33" s="188"/>
      <c r="F33" s="188"/>
      <c r="G33" s="188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tabSelected="1" zoomScale="90" zoomScaleNormal="90" workbookViewId="0">
      <selection activeCell="A3" sqref="A3:F3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8" t="s">
        <v>495</v>
      </c>
      <c r="B1" s="168"/>
      <c r="C1" s="168"/>
      <c r="D1" s="168"/>
      <c r="E1" s="168"/>
      <c r="F1" s="168"/>
      <c r="G1" s="111"/>
    </row>
    <row r="2" spans="1:7" ht="14.25" x14ac:dyDescent="0.45">
      <c r="A2" s="156" t="str">
        <f>ENTE_PUBLICO</f>
        <v>PATRONATO DEL PARQUE ZOOLÓGICO DE LEÓN, Gobierno del Estado de Guanajuato</v>
      </c>
      <c r="B2" s="157"/>
      <c r="C2" s="157"/>
      <c r="D2" s="157"/>
      <c r="E2" s="157"/>
      <c r="F2" s="158"/>
    </row>
    <row r="3" spans="1:7" ht="14.25" x14ac:dyDescent="0.45">
      <c r="A3" s="165" t="s">
        <v>496</v>
      </c>
      <c r="B3" s="166"/>
      <c r="C3" s="166"/>
      <c r="D3" s="166"/>
      <c r="E3" s="166"/>
      <c r="F3" s="167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C61" zoomScale="90" zoomScaleNormal="90" workbookViewId="0">
      <selection activeCell="E81" sqref="E81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8" t="s">
        <v>545</v>
      </c>
      <c r="B1" s="168"/>
      <c r="C1" s="168"/>
      <c r="D1" s="168"/>
      <c r="E1" s="168"/>
      <c r="F1" s="168"/>
    </row>
    <row r="2" spans="1:6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8"/>
    </row>
    <row r="3" spans="1:6" x14ac:dyDescent="0.25">
      <c r="A3" s="159" t="s">
        <v>117</v>
      </c>
      <c r="B3" s="160"/>
      <c r="C3" s="160"/>
      <c r="D3" s="160"/>
      <c r="E3" s="160"/>
      <c r="F3" s="161"/>
    </row>
    <row r="4" spans="1:6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4"/>
    </row>
    <row r="5" spans="1:6" ht="14.25" x14ac:dyDescent="0.45">
      <c r="A5" s="165" t="s">
        <v>118</v>
      </c>
      <c r="B5" s="166"/>
      <c r="C5" s="166"/>
      <c r="D5" s="166"/>
      <c r="E5" s="166"/>
      <c r="F5" s="167"/>
    </row>
    <row r="6" spans="1:6" s="3" customFormat="1" ht="28.5" x14ac:dyDescent="0.45">
      <c r="A6" s="133" t="s">
        <v>3284</v>
      </c>
      <c r="B6" s="134" t="str">
        <f>ANIO</f>
        <v>2020 (d)</v>
      </c>
      <c r="C6" s="131" t="str">
        <f>ULTIMO</f>
        <v>31 de diciembre de 2019 (e)</v>
      </c>
      <c r="D6" s="135" t="s">
        <v>0</v>
      </c>
      <c r="E6" s="134" t="str">
        <f>ANIO</f>
        <v>2020 (d)</v>
      </c>
      <c r="F6" s="131" t="str">
        <f>ULTIMO</f>
        <v>31 de diciembre de 2019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1320833.0899999999</v>
      </c>
      <c r="C9" s="60">
        <f>SUM(C10:C16)</f>
        <v>3400001.2800000003</v>
      </c>
      <c r="D9" s="100" t="s">
        <v>54</v>
      </c>
      <c r="E9" s="60">
        <f>SUM(E10:E18)</f>
        <v>2548529.1100000003</v>
      </c>
      <c r="F9" s="60">
        <f>SUM(F10:F18)</f>
        <v>1773749.74</v>
      </c>
    </row>
    <row r="10" spans="1:6" x14ac:dyDescent="0.25">
      <c r="A10" s="96" t="s">
        <v>4</v>
      </c>
      <c r="B10" s="149">
        <v>54999.66</v>
      </c>
      <c r="C10" s="60">
        <v>79999.66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1265833.43</v>
      </c>
      <c r="C11" s="60">
        <v>463536.92</v>
      </c>
      <c r="D11" s="101" t="s">
        <v>56</v>
      </c>
      <c r="E11" s="60">
        <v>1905271.33</v>
      </c>
      <c r="F11" s="60">
        <v>887823.94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2856464.7</v>
      </c>
      <c r="D13" s="101" t="s">
        <v>58</v>
      </c>
      <c r="E13" s="60">
        <v>0</v>
      </c>
      <c r="F13" s="60">
        <v>401452.31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643257.78</v>
      </c>
      <c r="F16" s="60">
        <v>484473.49</v>
      </c>
    </row>
    <row r="17" spans="1:6" x14ac:dyDescent="0.25">
      <c r="A17" s="95" t="s">
        <v>11</v>
      </c>
      <c r="B17" s="60">
        <f>SUM(B18:B24)</f>
        <v>46214.17</v>
      </c>
      <c r="C17" s="60">
        <f>SUM(C18:C24)</f>
        <v>52558.66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46214.17</v>
      </c>
      <c r="C20" s="60">
        <v>52558.66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654449.19999999995</v>
      </c>
      <c r="C31" s="60">
        <f>SUM(C32:C36)</f>
        <v>754979.11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0</v>
      </c>
      <c r="C32" s="60">
        <v>754979.11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654449.19999999995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1066536.7</v>
      </c>
      <c r="C37" s="60">
        <v>818666.43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1152444.99</v>
      </c>
      <c r="F38" s="60">
        <f>SUM(F39:F41)</f>
        <v>938998.93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1152444.99</v>
      </c>
      <c r="F40" s="60">
        <v>938998.93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3088033.1599999997</v>
      </c>
      <c r="C47" s="61">
        <f>C9+C17+C25+C31+C38+C41+C37</f>
        <v>5026205.4800000004</v>
      </c>
      <c r="D47" s="99" t="s">
        <v>91</v>
      </c>
      <c r="E47" s="61">
        <f>E9+E19+E23+E26+E27+E31+E38+E42</f>
        <v>3700974.1000000006</v>
      </c>
      <c r="F47" s="61">
        <f>F9+F19+F23+F26+F27+F31+F38+F42</f>
        <v>2712748.67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60">
        <v>85974230.969999999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32497613.059999999</v>
      </c>
      <c r="C53" s="60">
        <v>30427732.530000001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7120.08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-9066442.3300000001</v>
      </c>
      <c r="C55" s="60">
        <v>-7186953.5800000001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3700974.1000000006</v>
      </c>
      <c r="F59" s="61">
        <f>F47+F57</f>
        <v>2712748.67</v>
      </c>
    </row>
    <row r="60" spans="1:6" x14ac:dyDescent="0.25">
      <c r="A60" s="55" t="s">
        <v>50</v>
      </c>
      <c r="B60" s="61">
        <f>SUM(B50:B58)</f>
        <v>109929867.27</v>
      </c>
      <c r="C60" s="61">
        <f>SUM(C50:C58)</f>
        <v>109215009.92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113017900.42999999</v>
      </c>
      <c r="C62" s="61">
        <f>SUM(C47+C60)</f>
        <v>114241215.40000001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36106994.079999998</v>
      </c>
      <c r="F63" s="77">
        <f>SUM(F64:F66)</f>
        <v>35548750.980000004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24677964.690000001</v>
      </c>
      <c r="F66" s="77">
        <v>24119721.59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73209932.24999997</v>
      </c>
      <c r="F68" s="77">
        <f>SUM(F69:F73)</f>
        <v>75979715.751658663</v>
      </c>
    </row>
    <row r="69" spans="1:6" x14ac:dyDescent="0.25">
      <c r="A69" s="12"/>
      <c r="B69" s="54"/>
      <c r="C69" s="54"/>
      <c r="D69" s="103" t="s">
        <v>107</v>
      </c>
      <c r="E69" s="77">
        <v>-4026755.1000000164</v>
      </c>
      <c r="F69" s="77">
        <v>3412126.4016586691</v>
      </c>
    </row>
    <row r="70" spans="1:6" x14ac:dyDescent="0.25">
      <c r="A70" s="12"/>
      <c r="B70" s="54"/>
      <c r="C70" s="54"/>
      <c r="D70" s="103" t="s">
        <v>108</v>
      </c>
      <c r="E70" s="77">
        <v>75979715.75</v>
      </c>
      <c r="F70" s="77">
        <v>72567589.349999994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109316926.32999997</v>
      </c>
      <c r="F79" s="61">
        <f>F63+F68+F75</f>
        <v>111528466.73165867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113017900.42999996</v>
      </c>
      <c r="F81" s="61">
        <f>F59+F79</f>
        <v>114241215.40165867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1320833.0899999999</v>
      </c>
      <c r="Q4" s="18">
        <f>'Formato 1'!C9</f>
        <v>3400001.2800000003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54999.66</v>
      </c>
      <c r="Q5" s="18">
        <f>'Formato 1'!C10</f>
        <v>79999.66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1265833.43</v>
      </c>
      <c r="Q6" s="18">
        <f>'Formato 1'!C11</f>
        <v>463536.92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2856464.7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46214.17</v>
      </c>
      <c r="Q12" s="18">
        <f>'Formato 1'!C17</f>
        <v>52558.66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46214.17</v>
      </c>
      <c r="Q15" s="18">
        <f>'Formato 1'!C20</f>
        <v>52558.66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654449.19999999995</v>
      </c>
      <c r="Q26" s="18">
        <f>'Formato 1'!C31</f>
        <v>754979.11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0</v>
      </c>
      <c r="Q27" s="18">
        <f>'Formato 1'!C32</f>
        <v>754979.11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654449.19999999995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1066536.7</v>
      </c>
      <c r="Q32" s="18">
        <f>'Formato 1'!C37</f>
        <v>818666.43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1066536.7</v>
      </c>
      <c r="Q33" s="18">
        <f>'Formato 1'!C37</f>
        <v>818666.43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3088033.1599999997</v>
      </c>
      <c r="Q42" s="18">
        <f>'Formato 1'!C47</f>
        <v>5026205.4800000004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85974230.969999999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32497613.059999999</v>
      </c>
      <c r="Q47">
        <f>'Formato 1'!C53</f>
        <v>30427732.530000001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7120.08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-9066442.3300000001</v>
      </c>
      <c r="Q49">
        <f>'Formato 1'!C55</f>
        <v>-7186953.5800000001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109929867.27</v>
      </c>
      <c r="Q53">
        <f>'Formato 1'!C60</f>
        <v>109215009.92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113017900.42999999</v>
      </c>
      <c r="Q54">
        <f>'Formato 1'!C62</f>
        <v>114241215.40000001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2548529.1100000003</v>
      </c>
      <c r="Q57">
        <f>'Formato 1'!F9</f>
        <v>1773749.74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1905271.33</v>
      </c>
      <c r="Q59">
        <f>'Formato 1'!F11</f>
        <v>887823.94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401452.31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643257.78</v>
      </c>
      <c r="Q64">
        <f>'Formato 1'!F16</f>
        <v>484473.49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1152444.99</v>
      </c>
      <c r="Q87">
        <f>'Formato 1'!F38</f>
        <v>938998.93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1152444.99</v>
      </c>
      <c r="Q89">
        <f>'Formato 1'!F40</f>
        <v>938998.93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3700974.1000000006</v>
      </c>
      <c r="Q95">
        <f>'Formato 1'!F47</f>
        <v>2712748.67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3700974.1000000006</v>
      </c>
      <c r="Q104">
        <f>'Formato 1'!F59</f>
        <v>2712748.67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36106994.079999998</v>
      </c>
      <c r="Q106">
        <f>'Formato 1'!F63</f>
        <v>35548750.980000004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24677964.690000001</v>
      </c>
      <c r="Q109">
        <f>'Formato 1'!F66</f>
        <v>24119721.59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73209932.24999997</v>
      </c>
      <c r="Q110">
        <f>'Formato 1'!F68</f>
        <v>75979715.751658663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-4026755.1000000164</v>
      </c>
      <c r="Q111">
        <f>'Formato 1'!F69</f>
        <v>3412126.4016586691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75979715.75</v>
      </c>
      <c r="Q112">
        <f>'Formato 1'!F70</f>
        <v>72567589.349999994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109316926.32999997</v>
      </c>
      <c r="Q119">
        <f>'Formato 1'!F79</f>
        <v>111528466.73165867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113017900.42999996</v>
      </c>
      <c r="Q120">
        <f>'Formato 1'!F81</f>
        <v>114241215.40165867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topLeftCell="A19" zoomScale="90" zoomScaleNormal="90" workbookViewId="0">
      <selection activeCell="F18" sqref="F18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0" t="s">
        <v>544</v>
      </c>
      <c r="B1" s="170"/>
      <c r="C1" s="170"/>
      <c r="D1" s="170"/>
      <c r="E1" s="170"/>
      <c r="F1" s="170"/>
      <c r="G1" s="170"/>
      <c r="H1" s="170"/>
    </row>
    <row r="2" spans="1:9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8"/>
    </row>
    <row r="3" spans="1:9" x14ac:dyDescent="0.25">
      <c r="A3" s="159" t="s">
        <v>120</v>
      </c>
      <c r="B3" s="160"/>
      <c r="C3" s="160"/>
      <c r="D3" s="160"/>
      <c r="E3" s="160"/>
      <c r="F3" s="160"/>
      <c r="G3" s="160"/>
      <c r="H3" s="161"/>
    </row>
    <row r="4" spans="1:9" ht="14.25" x14ac:dyDescent="0.45">
      <c r="A4" s="162" t="str">
        <f>PERIODO_INFORME</f>
        <v>Al 31 de diciembre de 2019 y al 31 de diciembre de 2020 (b)</v>
      </c>
      <c r="B4" s="163"/>
      <c r="C4" s="163"/>
      <c r="D4" s="163"/>
      <c r="E4" s="163"/>
      <c r="F4" s="163"/>
      <c r="G4" s="163"/>
      <c r="H4" s="164"/>
    </row>
    <row r="5" spans="1:9" ht="14.25" x14ac:dyDescent="0.45">
      <c r="A5" s="165" t="s">
        <v>118</v>
      </c>
      <c r="B5" s="166"/>
      <c r="C5" s="166"/>
      <c r="D5" s="166"/>
      <c r="E5" s="166"/>
      <c r="F5" s="166"/>
      <c r="G5" s="166"/>
      <c r="H5" s="167"/>
    </row>
    <row r="6" spans="1:9" ht="45" x14ac:dyDescent="0.25">
      <c r="A6" s="104" t="s">
        <v>121</v>
      </c>
      <c r="B6" s="105" t="str">
        <f>ULTIMO_SALDO</f>
        <v>Saldo al 31 de diciembre de 2019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ht="14.25" customHeight="1" x14ac:dyDescent="0.25">
      <c r="A18" s="106" t="s">
        <v>136</v>
      </c>
      <c r="B18" s="150">
        <v>2712748.67</v>
      </c>
      <c r="C18" s="132"/>
      <c r="D18" s="132"/>
      <c r="E18" s="132"/>
      <c r="F18" s="151">
        <v>3700974.1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v>2712748.67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v>3700974.1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9" t="s">
        <v>3300</v>
      </c>
      <c r="B33" s="169"/>
      <c r="C33" s="169"/>
      <c r="D33" s="169"/>
      <c r="E33" s="169"/>
      <c r="F33" s="169"/>
      <c r="G33" s="169"/>
      <c r="H33" s="169"/>
    </row>
    <row r="34" spans="1:8" ht="12" customHeight="1" x14ac:dyDescent="0.25">
      <c r="A34" s="169"/>
      <c r="B34" s="169"/>
      <c r="C34" s="169"/>
      <c r="D34" s="169"/>
      <c r="E34" s="169"/>
      <c r="F34" s="169"/>
      <c r="G34" s="169"/>
      <c r="H34" s="169"/>
    </row>
    <row r="35" spans="1:8" ht="12" customHeight="1" x14ac:dyDescent="0.25">
      <c r="A35" s="169"/>
      <c r="B35" s="169"/>
      <c r="C35" s="169"/>
      <c r="D35" s="169"/>
      <c r="E35" s="169"/>
      <c r="F35" s="169"/>
      <c r="G35" s="169"/>
      <c r="H35" s="169"/>
    </row>
    <row r="36" spans="1:8" ht="12" customHeight="1" x14ac:dyDescent="0.25">
      <c r="A36" s="169"/>
      <c r="B36" s="169"/>
      <c r="C36" s="169"/>
      <c r="D36" s="169"/>
      <c r="E36" s="169"/>
      <c r="F36" s="169"/>
      <c r="G36" s="169"/>
      <c r="H36" s="169"/>
    </row>
    <row r="37" spans="1:8" ht="12" customHeight="1" x14ac:dyDescent="0.25">
      <c r="A37" s="169"/>
      <c r="B37" s="169"/>
      <c r="C37" s="169"/>
      <c r="D37" s="169"/>
      <c r="E37" s="169"/>
      <c r="F37" s="169"/>
      <c r="G37" s="169"/>
      <c r="H37" s="169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2712748.67</v>
      </c>
      <c r="Q12" s="18"/>
      <c r="R12" s="18"/>
      <c r="S12" s="18"/>
      <c r="T12" s="18">
        <f>'Formato 2'!F18</f>
        <v>3700974.1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2712748.67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3700974.1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8" t="s">
        <v>543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11"/>
    </row>
    <row r="2" spans="1:12" ht="14.25" x14ac:dyDescent="0.45">
      <c r="A2" s="156" t="str">
        <f>ENTE_PUBLICO_A</f>
        <v>PATRONATO DEL PARQUE ZOOLÓGICO DE LEÓN, Gobierno del Estado de Guanajuato (a)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2" x14ac:dyDescent="0.25">
      <c r="A3" s="159" t="s">
        <v>146</v>
      </c>
      <c r="B3" s="160"/>
      <c r="C3" s="160"/>
      <c r="D3" s="160"/>
      <c r="E3" s="160"/>
      <c r="F3" s="160"/>
      <c r="G3" s="160"/>
      <c r="H3" s="160"/>
      <c r="I3" s="160"/>
      <c r="J3" s="160"/>
      <c r="K3" s="161"/>
    </row>
    <row r="4" spans="1:12" ht="14.25" x14ac:dyDescent="0.45">
      <c r="A4" s="162" t="str">
        <f>TRIMESTRE</f>
        <v>Del 1 de enero al 31 de diciembre de 2020 (b)</v>
      </c>
      <c r="B4" s="163"/>
      <c r="C4" s="163"/>
      <c r="D4" s="163"/>
      <c r="E4" s="163"/>
      <c r="F4" s="163"/>
      <c r="G4" s="163"/>
      <c r="H4" s="163"/>
      <c r="I4" s="163"/>
      <c r="J4" s="163"/>
      <c r="K4" s="164"/>
    </row>
    <row r="5" spans="1:12" ht="14.25" x14ac:dyDescent="0.45">
      <c r="A5" s="159" t="s">
        <v>118</v>
      </c>
      <c r="B5" s="160"/>
      <c r="C5" s="160"/>
      <c r="D5" s="160"/>
      <c r="E5" s="160"/>
      <c r="F5" s="160"/>
      <c r="G5" s="160"/>
      <c r="H5" s="160"/>
      <c r="I5" s="160"/>
      <c r="J5" s="160"/>
      <c r="K5" s="161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31 de diciembre de 2020 (k)</v>
      </c>
      <c r="J6" s="131" t="str">
        <f>MONTO2</f>
        <v>Monto pagado de la inversión actualizado al 31 de diciembre de 2020 (l)</v>
      </c>
      <c r="K6" s="131" t="str">
        <f>SALDO_PENDIENTE</f>
        <v>Saldo pendiente por pagar de la inversión al 31 de diciembre de 2020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2021-01-22T05:08:35Z</dcterms:modified>
</cp:coreProperties>
</file>