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olderku\Akun IG Investasi\"/>
    </mc:Choice>
  </mc:AlternateContent>
  <xr:revisionPtr revIDLastSave="0" documentId="13_ncr:1_{C84936E0-8EBD-424F-BAC0-AD14A470D9B1}" xr6:coauthVersionLast="47" xr6:coauthVersionMax="47" xr10:uidLastSave="{00000000-0000-0000-0000-000000000000}"/>
  <bookViews>
    <workbookView xWindow="-108" yWindow="-108" windowWidth="23256" windowHeight="12456" xr2:uid="{9A6AFC1D-C16C-42B4-89BB-2D4A22607E6D}"/>
  </bookViews>
  <sheets>
    <sheet name="Ratios" sheetId="1" r:id="rId1"/>
    <sheet name="Graham Screen - Defensive" sheetId="3" r:id="rId2"/>
    <sheet name="Graham Screen - Enterprising" sheetId="8" r:id="rId3"/>
    <sheet name="Buffett Screen - Quantitative" sheetId="10" r:id="rId4"/>
    <sheet name="Peter Lynch Screen" sheetId="5" r:id="rId5"/>
    <sheet name="Piotroski F-Score" sheetId="4" r:id="rId6"/>
    <sheet name="Valuation (Equity-Bond Method)" sheetId="6" r:id="rId7"/>
    <sheet name="Valuasi NNWC (Graham)" sheetId="11" r:id="rId8"/>
    <sheet name="Valuasi NCAV (Graham)" sheetId="13" r:id="rId9"/>
    <sheet name="Graham Number" sheetId="14" r:id="rId10"/>
    <sheet name="Graham Formula (modified) " sheetId="15" r:id="rId11"/>
    <sheet name="Guide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7" i="6"/>
  <c r="E6" i="5"/>
  <c r="G24" i="5" s="1"/>
  <c r="D11" i="1"/>
  <c r="C11" i="1"/>
  <c r="I9" i="1"/>
  <c r="J9" i="1"/>
  <c r="K9" i="1"/>
  <c r="M9" i="1" s="1"/>
  <c r="L9" i="1"/>
  <c r="C6" i="6"/>
  <c r="D6" i="6"/>
  <c r="G34" i="1"/>
  <c r="G77" i="1" s="1"/>
  <c r="G81" i="1" s="1"/>
  <c r="G29" i="1"/>
  <c r="G82" i="1" s="1"/>
  <c r="G23" i="1"/>
  <c r="G16" i="1"/>
  <c r="F34" i="1"/>
  <c r="F29" i="1"/>
  <c r="F23" i="1"/>
  <c r="F16" i="1"/>
  <c r="F66" i="1" s="1"/>
  <c r="D45" i="1"/>
  <c r="E45" i="1"/>
  <c r="F45" i="1"/>
  <c r="E34" i="1"/>
  <c r="E29" i="1"/>
  <c r="E26" i="1"/>
  <c r="D26" i="1"/>
  <c r="E23" i="1"/>
  <c r="E21" i="1"/>
  <c r="F21" i="1"/>
  <c r="G21" i="1"/>
  <c r="E16" i="1"/>
  <c r="E12" i="1"/>
  <c r="F12" i="1"/>
  <c r="G12" i="1"/>
  <c r="G72" i="1" s="1"/>
  <c r="E11" i="1"/>
  <c r="F11" i="1"/>
  <c r="G11" i="1"/>
  <c r="B8" i="3" s="1"/>
  <c r="E82" i="1"/>
  <c r="F82" i="1"/>
  <c r="D79" i="1"/>
  <c r="E79" i="1"/>
  <c r="F79" i="1"/>
  <c r="G79" i="1"/>
  <c r="C79" i="1"/>
  <c r="D78" i="1"/>
  <c r="D80" i="1" s="1"/>
  <c r="E78" i="1"/>
  <c r="E80" i="1" s="1"/>
  <c r="F78" i="1"/>
  <c r="F80" i="1" s="1"/>
  <c r="G78" i="1"/>
  <c r="G80" i="1" s="1"/>
  <c r="F77" i="1"/>
  <c r="F81" i="1" s="1"/>
  <c r="E77" i="1"/>
  <c r="E81" i="1" s="1"/>
  <c r="D77" i="1"/>
  <c r="D81" i="1" s="1"/>
  <c r="D73" i="1"/>
  <c r="E73" i="1"/>
  <c r="F73" i="1"/>
  <c r="G73" i="1"/>
  <c r="C73" i="1"/>
  <c r="D69" i="1"/>
  <c r="E69" i="1"/>
  <c r="F69" i="1"/>
  <c r="G69" i="1"/>
  <c r="C69" i="1"/>
  <c r="C45" i="1"/>
  <c r="D34" i="1"/>
  <c r="C34" i="1"/>
  <c r="C77" i="1" s="1"/>
  <c r="C81" i="1" s="1"/>
  <c r="D29" i="1"/>
  <c r="D82" i="1" s="1"/>
  <c r="C29" i="1"/>
  <c r="C82" i="1" s="1"/>
  <c r="D23" i="1"/>
  <c r="C23" i="1"/>
  <c r="D21" i="1"/>
  <c r="C21" i="1"/>
  <c r="D16" i="1"/>
  <c r="C16" i="1"/>
  <c r="C6" i="11" s="1"/>
  <c r="E6" i="11" s="1"/>
  <c r="D12" i="1"/>
  <c r="D71" i="1" s="1"/>
  <c r="C12" i="1"/>
  <c r="C71" i="1" s="1"/>
  <c r="C9" i="15"/>
  <c r="C11" i="15" s="1"/>
  <c r="C9" i="14"/>
  <c r="C5" i="14"/>
  <c r="C6" i="14"/>
  <c r="C9" i="13"/>
  <c r="C6" i="13"/>
  <c r="C5" i="13"/>
  <c r="E12" i="11"/>
  <c r="E10" i="11"/>
  <c r="C7" i="11"/>
  <c r="E7" i="11" s="1"/>
  <c r="C5" i="11"/>
  <c r="E5" i="11" s="1"/>
  <c r="B9" i="10"/>
  <c r="C9" i="10" s="1"/>
  <c r="B7" i="10"/>
  <c r="C7" i="10" s="1"/>
  <c r="B5" i="10"/>
  <c r="C5" i="10" s="1"/>
  <c r="B11" i="8"/>
  <c r="C11" i="8" s="1"/>
  <c r="B10" i="8"/>
  <c r="C10" i="8" s="1"/>
  <c r="B8" i="8"/>
  <c r="C8" i="8" s="1"/>
  <c r="C46" i="6"/>
  <c r="C45" i="6"/>
  <c r="C44" i="6"/>
  <c r="C43" i="6"/>
  <c r="C42" i="6"/>
  <c r="C7" i="6"/>
  <c r="C26" i="6"/>
  <c r="C25" i="6"/>
  <c r="C24" i="6"/>
  <c r="C22" i="6"/>
  <c r="C23" i="6"/>
  <c r="D13" i="6"/>
  <c r="F30" i="5"/>
  <c r="G30" i="5" s="1"/>
  <c r="F19" i="5"/>
  <c r="F16" i="5"/>
  <c r="G16" i="5" s="1"/>
  <c r="F15" i="5"/>
  <c r="F13" i="5"/>
  <c r="G15" i="5"/>
  <c r="F7" i="5"/>
  <c r="D60" i="1"/>
  <c r="E60" i="1"/>
  <c r="F60" i="1"/>
  <c r="D62" i="1"/>
  <c r="E62" i="1"/>
  <c r="F62" i="1"/>
  <c r="C62" i="1"/>
  <c r="C60" i="1"/>
  <c r="D64" i="1"/>
  <c r="E64" i="1"/>
  <c r="F64" i="1"/>
  <c r="D65" i="1"/>
  <c r="E65" i="1"/>
  <c r="F65" i="1"/>
  <c r="C65" i="1"/>
  <c r="C64" i="1"/>
  <c r="E13" i="4"/>
  <c r="F13" i="4" s="1"/>
  <c r="E11" i="4"/>
  <c r="F11" i="4" s="1"/>
  <c r="E9" i="4"/>
  <c r="F9" i="4" s="1"/>
  <c r="E8" i="4"/>
  <c r="F8" i="4" s="1"/>
  <c r="E6" i="4"/>
  <c r="F6" i="4" s="1"/>
  <c r="E5" i="4"/>
  <c r="F5" i="4" s="1"/>
  <c r="B11" i="3"/>
  <c r="C11" i="3" s="1"/>
  <c r="B7" i="3"/>
  <c r="C7" i="3" s="1"/>
  <c r="B5" i="3"/>
  <c r="C5" i="3" s="1"/>
  <c r="G54" i="1"/>
  <c r="F54" i="1"/>
  <c r="E54" i="1"/>
  <c r="F14" i="5"/>
  <c r="G14" i="5" s="1"/>
  <c r="E66" i="1"/>
  <c r="C88" i="1"/>
  <c r="D88" i="1" s="1"/>
  <c r="D52" i="6" s="1"/>
  <c r="C87" i="1"/>
  <c r="D87" i="1" s="1"/>
  <c r="C86" i="1"/>
  <c r="D86" i="1" s="1"/>
  <c r="C54" i="1"/>
  <c r="E72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D94" i="1" s="1"/>
  <c r="C91" i="1"/>
  <c r="C94" i="1" s="1"/>
  <c r="C78" i="1"/>
  <c r="C80" i="1" s="1"/>
  <c r="F70" i="1"/>
  <c r="E70" i="1"/>
  <c r="D70" i="1"/>
  <c r="C70" i="1"/>
  <c r="B9" i="3" s="1"/>
  <c r="C9" i="3" s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D54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B6" i="8" s="1"/>
  <c r="C6" i="8" s="1"/>
  <c r="F44" i="1"/>
  <c r="E44" i="1"/>
  <c r="D44" i="1"/>
  <c r="C44" i="1"/>
  <c r="B6" i="10" s="1"/>
  <c r="C6" i="10" s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F14" i="1"/>
  <c r="E14" i="1"/>
  <c r="D14" i="1"/>
  <c r="C14" i="1"/>
  <c r="G70" i="1" l="1"/>
  <c r="F71" i="1"/>
  <c r="G94" i="1"/>
  <c r="F94" i="1"/>
  <c r="E94" i="1"/>
  <c r="B4" i="10"/>
  <c r="C4" i="10" s="1"/>
  <c r="C46" i="1"/>
  <c r="C7" i="13"/>
  <c r="C10" i="13" s="1"/>
  <c r="C12" i="13" s="1"/>
  <c r="E7" i="4"/>
  <c r="F7" i="4" s="1"/>
  <c r="B8" i="10"/>
  <c r="C8" i="10" s="1"/>
  <c r="F46" i="1"/>
  <c r="E46" i="1"/>
  <c r="D46" i="1"/>
  <c r="C7" i="14"/>
  <c r="C11" i="14" s="1"/>
  <c r="E8" i="11"/>
  <c r="E11" i="11" s="1"/>
  <c r="E14" i="11" s="1"/>
  <c r="F22" i="5"/>
  <c r="G22" i="5" s="1"/>
  <c r="F23" i="5"/>
  <c r="G23" i="5" s="1"/>
  <c r="F24" i="5"/>
  <c r="G25" i="5"/>
  <c r="F26" i="5"/>
  <c r="B7" i="8"/>
  <c r="C7" i="8" s="1"/>
  <c r="E10" i="4"/>
  <c r="F10" i="4" s="1"/>
  <c r="B5" i="8"/>
  <c r="C5" i="8" s="1"/>
  <c r="F20" i="5"/>
  <c r="G19" i="5" s="1"/>
  <c r="B9" i="8"/>
  <c r="C9" i="8" s="1"/>
  <c r="B6" i="3"/>
  <c r="C6" i="3" s="1"/>
  <c r="C61" i="1"/>
  <c r="C63" i="1" s="1"/>
  <c r="E12" i="4"/>
  <c r="F12" i="4" s="1"/>
  <c r="G13" i="5"/>
  <c r="C66" i="1"/>
  <c r="F61" i="1"/>
  <c r="F63" i="1" s="1"/>
  <c r="E61" i="1"/>
  <c r="E63" i="1" s="1"/>
  <c r="F29" i="5"/>
  <c r="G29" i="5" s="1"/>
  <c r="B12" i="3"/>
  <c r="C12" i="3" s="1"/>
  <c r="D61" i="1"/>
  <c r="D63" i="1" s="1"/>
  <c r="D66" i="1"/>
  <c r="F21" i="5"/>
  <c r="G21" i="5" s="1"/>
  <c r="C8" i="3"/>
  <c r="B10" i="3"/>
  <c r="C10" i="3" s="1"/>
  <c r="H70" i="1"/>
  <c r="D8" i="6" s="1"/>
  <c r="D17" i="6" s="1"/>
  <c r="D72" i="1"/>
  <c r="E71" i="1"/>
  <c r="G71" i="1"/>
  <c r="H71" i="1" s="1"/>
  <c r="F72" i="1"/>
  <c r="C72" i="1"/>
  <c r="I14" i="1"/>
  <c r="H14" i="1"/>
  <c r="F14" i="4" l="1"/>
  <c r="C74" i="1"/>
  <c r="F12" i="5" s="1"/>
  <c r="G12" i="5" s="1"/>
  <c r="D10" i="6"/>
  <c r="D16" i="6" s="1"/>
  <c r="F74" i="1"/>
  <c r="E74" i="1"/>
  <c r="D74" i="1"/>
  <c r="D9" i="6" l="1"/>
  <c r="D15" i="6" s="1"/>
  <c r="D22" i="6" l="1"/>
  <c r="D23" i="6" l="1"/>
  <c r="D24" i="6" s="1"/>
  <c r="D25" i="6" s="1"/>
  <c r="D26" i="6" s="1"/>
  <c r="D29" i="6" s="1"/>
  <c r="D30" i="6" l="1"/>
  <c r="D33" i="6" s="1"/>
  <c r="D36" i="6" s="1"/>
  <c r="D42" i="6" s="1"/>
  <c r="D43" i="6" s="1"/>
  <c r="D44" i="6" s="1"/>
  <c r="D45" i="6" s="1"/>
  <c r="D46" i="6" s="1"/>
  <c r="D49" i="6" s="1"/>
  <c r="D50" i="6" s="1"/>
  <c r="D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7" authorId="0" shapeId="0" xr:uid="{DB473CB9-A221-49AA-9B6E-D63CB971647A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Kliik link untuk penjelasan lebih lanjut tentang COGS</t>
        </r>
      </text>
    </comment>
    <comment ref="B10" authorId="0" shapeId="0" xr:uid="{251AFEBE-5171-47CA-9C80-61BF1A9C439D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Klik untuk mencari angka dividen di LK</t>
        </r>
      </text>
    </comment>
    <comment ref="B13" authorId="0" shapeId="0" xr:uid="{19BE48DA-9018-403C-9988-7B957A210152}">
      <text>
        <r>
          <rPr>
            <b/>
            <sz val="9"/>
            <color indexed="81"/>
            <rFont val="Tahoma"/>
            <family val="2"/>
          </rPr>
          <t xml:space="preserve">@investasijalanan:
</t>
        </r>
        <r>
          <rPr>
            <sz val="9"/>
            <color indexed="81"/>
            <rFont val="Tahoma"/>
            <family val="2"/>
          </rPr>
          <t xml:space="preserve">
Klik untuk mengetahui cara mencari angka depresiasi di LK</t>
        </r>
      </text>
    </comment>
    <comment ref="B31" authorId="0" shapeId="0" xr:uid="{350F1569-D582-43FA-8E12-692FFA8FC8E2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Klik untuk melihat cara mencari angka interest expense di LK
</t>
        </r>
      </text>
    </comment>
    <comment ref="B34" authorId="0" shapeId="0" xr:uid="{047BC034-DE8E-46E1-AD1F-0E6CFF8F1AB5}">
      <text>
        <r>
          <rPr>
            <b/>
            <sz val="9"/>
            <color indexed="81"/>
            <rFont val="Tahoma"/>
            <family val="2"/>
          </rPr>
          <t>@investasiijalanan:</t>
        </r>
        <r>
          <rPr>
            <sz val="9"/>
            <color indexed="81"/>
            <rFont val="Tahoma"/>
            <family val="2"/>
          </rPr>
          <t xml:space="preserve">
Klik link untuk mengetahui cara mencari angka Capex di LK
</t>
        </r>
      </text>
    </comment>
    <comment ref="B57" authorId="0" shapeId="0" xr:uid="{457BA648-EFA0-4CA6-8D02-3218357FE0B6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Klink link untuk mengetahui lebih banyak tentang DOL di IG @investasijalanan</t>
        </r>
      </text>
    </comment>
    <comment ref="B63" authorId="0" shapeId="0" xr:uid="{FEF670AD-E747-4F25-BDA2-AFE1AFD87742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Klik link untuk mengetahui lebih banyak tentang Cash Conversion Cycle</t>
        </r>
      </text>
    </comment>
    <comment ref="B69" authorId="0" shapeId="0" xr:uid="{A6C1A14B-4A32-4F19-8268-A533AE24DB98}">
      <text>
        <r>
          <rPr>
            <b/>
            <sz val="9"/>
            <color indexed="81"/>
            <rFont val="Tahoma"/>
            <family val="2"/>
          </rPr>
          <t xml:space="preserve">@investasijalanan
</t>
        </r>
        <r>
          <rPr>
            <sz val="9"/>
            <color indexed="81"/>
            <rFont val="Tahoma"/>
            <family val="2"/>
          </rPr>
          <t>Klik untuk penjelasan lebih lanjut tentang PSR di IG @investasijalanan</t>
        </r>
      </text>
    </comment>
    <comment ref="B70" authorId="0" shapeId="0" xr:uid="{606EA232-2133-4A76-BE11-27D153F5C3F6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Klik untuk penjelasan lebih lanjut tentang PER di IG @investasijalanan</t>
        </r>
      </text>
    </comment>
    <comment ref="B73" authorId="0" shapeId="0" xr:uid="{32E90181-3B7F-4072-9DF5-750618BD6342}">
      <text>
        <r>
          <rPr>
            <b/>
            <sz val="9"/>
            <color indexed="81"/>
            <rFont val="Tahoma"/>
            <family val="2"/>
          </rPr>
          <t>@investasijalanan</t>
        </r>
        <r>
          <rPr>
            <sz val="9"/>
            <color indexed="81"/>
            <rFont val="Tahoma"/>
            <family val="2"/>
          </rPr>
          <t xml:space="preserve">
Klik untuk penjelasan lebih lanjut tentang PBV di IG @investasijalanan
</t>
        </r>
      </text>
    </comment>
    <comment ref="B74" authorId="0" shapeId="0" xr:uid="{6E8A55A8-2BA8-4554-9EFC-74477CA07E63}">
      <text>
        <r>
          <rPr>
            <b/>
            <sz val="9"/>
            <color indexed="81"/>
            <rFont val="Tahoma"/>
            <family val="2"/>
          </rPr>
          <t xml:space="preserve">@investasijalanan
</t>
        </r>
        <r>
          <rPr>
            <sz val="9"/>
            <color indexed="81"/>
            <rFont val="Tahoma"/>
            <family val="2"/>
          </rPr>
          <t>Klik untuk penjelasan lebih lanjut tentang PEG di IG @investasijalanan</t>
        </r>
      </text>
    </comment>
    <comment ref="B90" authorId="0" shapeId="0" xr:uid="{8D54AE6A-04D6-485F-9158-65311F845D36}">
      <text>
        <r>
          <rPr>
            <b/>
            <sz val="9"/>
            <color indexed="81"/>
            <rFont val="Tahoma"/>
            <family val="2"/>
          </rPr>
          <t xml:space="preserve">@investasijalanan
</t>
        </r>
        <r>
          <rPr>
            <sz val="9"/>
            <color indexed="81"/>
            <rFont val="Tahoma"/>
            <family val="2"/>
          </rPr>
          <t>Klik lebih lanjut untuk penjelasan tentan analsis DuPont di IG @investasijalanan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Piapaip</author>
  </authors>
  <commentList>
    <comment ref="F25" authorId="0" shapeId="0" xr:uid="{22D77AD2-EC7D-4D7A-AE49-A2F11A835212}">
      <text>
        <r>
          <rPr>
            <b/>
            <sz val="8"/>
            <color indexed="81"/>
            <rFont val="Tahoma"/>
            <family val="2"/>
          </rPr>
          <t>@investasijalanan</t>
        </r>
        <r>
          <rPr>
            <sz val="8"/>
            <color indexed="81"/>
            <rFont val="Tahoma"/>
            <family val="2"/>
          </rPr>
          <t xml:space="preserve">
Tolong cell ini diisi dengan yield LQ45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Parahita</author>
  </authors>
  <commentList>
    <comment ref="D52" authorId="0" shapeId="0" xr:uid="{A877A4DA-47AE-47AA-9281-36424F570F9D}">
      <text>
        <r>
          <rPr>
            <b/>
            <sz val="8"/>
            <color indexed="81"/>
            <rFont val="Tahoma"/>
            <family val="2"/>
          </rPr>
          <t>Parahita:</t>
        </r>
        <r>
          <rPr>
            <sz val="8"/>
            <color indexed="81"/>
            <rFont val="Tahoma"/>
            <family val="2"/>
          </rPr>
          <t xml:space="preserve">
sebaiknya di atas 90%</t>
        </r>
      </text>
    </comment>
  </commentList>
</comments>
</file>

<file path=xl/sharedStrings.xml><?xml version="1.0" encoding="utf-8"?>
<sst xmlns="http://schemas.openxmlformats.org/spreadsheetml/2006/main" count="404" uniqueCount="312">
  <si>
    <t>ITEMS</t>
  </si>
  <si>
    <t>Revenue</t>
  </si>
  <si>
    <t>COGS (Cost of goods sold)</t>
  </si>
  <si>
    <t>Operating income</t>
  </si>
  <si>
    <t>Net Income</t>
  </si>
  <si>
    <t>Cash And Short Term Investments</t>
  </si>
  <si>
    <t>Receivables</t>
  </si>
  <si>
    <t>Inventory</t>
  </si>
  <si>
    <t>Current Assets</t>
  </si>
  <si>
    <t>Fixed Assets</t>
  </si>
  <si>
    <t>Assets</t>
  </si>
  <si>
    <t>Accounts Payable</t>
  </si>
  <si>
    <t>Current Liabilities</t>
  </si>
  <si>
    <t>Long-term Debt</t>
  </si>
  <si>
    <t>Total Debt</t>
  </si>
  <si>
    <t>Liabilities</t>
  </si>
  <si>
    <t>Equity</t>
  </si>
  <si>
    <t>Retained earnings</t>
  </si>
  <si>
    <t>Outstanding shares</t>
  </si>
  <si>
    <t>Interest expense</t>
  </si>
  <si>
    <t>Cash Flow from Operations</t>
  </si>
  <si>
    <t>Capital Expenditures</t>
  </si>
  <si>
    <t>Iss (Retirmnt) of Debt</t>
  </si>
  <si>
    <t>RATIOS</t>
  </si>
  <si>
    <t>PROFITABILITY RATIOS</t>
  </si>
  <si>
    <t>Net profit margin</t>
  </si>
  <si>
    <t>ROE (Return on Equity)</t>
  </si>
  <si>
    <t>ROA (Return on Assets)</t>
  </si>
  <si>
    <t>LIQUIDITY RATIOS</t>
  </si>
  <si>
    <t>Current ratio</t>
  </si>
  <si>
    <t>Cash ratio</t>
  </si>
  <si>
    <t>Acid-test ratio(Quick ratio)</t>
  </si>
  <si>
    <t>DEBT RATIOS</t>
  </si>
  <si>
    <t>DER (Debt to equity ratio)</t>
  </si>
  <si>
    <t>LT DER (Long-term Debt to Equity ratio)</t>
  </si>
  <si>
    <t>Interest coverage ratio</t>
  </si>
  <si>
    <t>OPERATIONAL EFFECTIVENESS</t>
  </si>
  <si>
    <t>Days Sales of Inventory</t>
  </si>
  <si>
    <t>Days Sales Outstanding</t>
  </si>
  <si>
    <t>Days Payable Outstanding</t>
  </si>
  <si>
    <t>Cash Conversion Cycle</t>
  </si>
  <si>
    <t>MARKET RATIOS</t>
  </si>
  <si>
    <t>PSR (Price to sales ratio)</t>
  </si>
  <si>
    <t>PER (Price to earnings ratio)</t>
  </si>
  <si>
    <t>Average</t>
  </si>
  <si>
    <t>Payout ratio</t>
  </si>
  <si>
    <t>Dividend yield</t>
  </si>
  <si>
    <t>PBV (Price to book value ratio)</t>
  </si>
  <si>
    <t>PEG ratio (Price to growth ratio)</t>
  </si>
  <si>
    <t>SPECIAL RATIOS &amp; NUMBERS</t>
  </si>
  <si>
    <t>FCF (Free Cash-flow)</t>
  </si>
  <si>
    <t>Net Working Capital</t>
  </si>
  <si>
    <t>Earnings Yield (Greenblatt's)</t>
  </si>
  <si>
    <t>ROC (Greenblatt's)</t>
  </si>
  <si>
    <t>P/FCF (Price to Free Cash Flow ratio)</t>
  </si>
  <si>
    <t>Altman Z-Score</t>
  </si>
  <si>
    <t>Growth &amp; Consistency</t>
  </si>
  <si>
    <t>Growth</t>
  </si>
  <si>
    <t>Operating Income</t>
  </si>
  <si>
    <t>Net Earnings</t>
  </si>
  <si>
    <t>DuPont Analysis (ROE Break Down)</t>
  </si>
  <si>
    <t>Net Profit Margin</t>
  </si>
  <si>
    <t>Assets Turnover</t>
  </si>
  <si>
    <t>Equity Multiplier</t>
  </si>
  <si>
    <t>ROE (based on current year equity)</t>
  </si>
  <si>
    <t>created by parahita</t>
  </si>
  <si>
    <t>Dividend</t>
  </si>
  <si>
    <t>Depreciation</t>
  </si>
  <si>
    <t>Ben Graham's Stock Screening</t>
  </si>
  <si>
    <t>Filter</t>
  </si>
  <si>
    <t>Value</t>
  </si>
  <si>
    <t>Result</t>
  </si>
  <si>
    <t>Criterion</t>
  </si>
  <si>
    <t>Revenue (in mio IDR)</t>
  </si>
  <si>
    <t>&gt;= 175 bio IDR</t>
  </si>
  <si>
    <t>Current Ratio</t>
  </si>
  <si>
    <t>&gt;= 2</t>
  </si>
  <si>
    <t>Net Current Assets - LT Debt</t>
  </si>
  <si>
    <t>&gt;= 0</t>
  </si>
  <si>
    <t>EPS Growth</t>
  </si>
  <si>
    <t>P/E Ratio</t>
  </si>
  <si>
    <t>&lt;= 15</t>
  </si>
  <si>
    <t>P/E Ratio x P/BV Ratio</t>
  </si>
  <si>
    <t>Long-term Debt to Equity Ratio</t>
  </si>
  <si>
    <t>&lt;= 100%</t>
  </si>
  <si>
    <t>Number of years of missing dividend payment</t>
  </si>
  <si>
    <t>= 0</t>
  </si>
  <si>
    <t>Keterangan:</t>
  </si>
  <si>
    <t xml:space="preserve">Untuk penjelasan yang lebih terperinci, silakan lihat di: </t>
  </si>
  <si>
    <t>Perhitungan Piotroski's F-Score</t>
  </si>
  <si>
    <t>No</t>
  </si>
  <si>
    <t>Kriteria</t>
  </si>
  <si>
    <t>Test</t>
  </si>
  <si>
    <t>Jawaban (Y/T)</t>
  </si>
  <si>
    <t>Skor</t>
  </si>
  <si>
    <t>Apakah net income positif?</t>
  </si>
  <si>
    <t>Operating Cash Flow</t>
  </si>
  <si>
    <t>Apakah operating cash flow positif?</t>
  </si>
  <si>
    <t>Return on Assets</t>
  </si>
  <si>
    <t>Apakah ROA lebih tingi dari tahun sebelumnya?</t>
  </si>
  <si>
    <t>Quality of Earnings</t>
  </si>
  <si>
    <t>Apakah operating cash flow lebih tinggi daripada net income?</t>
  </si>
  <si>
    <t>Long-term Debt vs Assets</t>
  </si>
  <si>
    <t>Apakah long-term debt to assets lebih rendah dari tahun sebelumnya?</t>
  </si>
  <si>
    <t>Apakah current ratio lebih tinggi dari tahun sebelumnya?</t>
  </si>
  <si>
    <t>Shares Outstanding</t>
  </si>
  <si>
    <t>Apakah tidak ada pertambahan jumlah saham beredar?</t>
  </si>
  <si>
    <t>Gross Margin</t>
  </si>
  <si>
    <t>Apakah gross margin lebih tinggi dari tahun sebelumnya?</t>
  </si>
  <si>
    <t>Apakah assets turnover lebih tinggi dari tahun sebelumnya?</t>
  </si>
  <si>
    <t>F-SCORE</t>
  </si>
  <si>
    <t>Assets Turnover ratio</t>
  </si>
  <si>
    <t>Inventory Turnover ratio</t>
  </si>
  <si>
    <t>A/R Turnover ratio</t>
  </si>
  <si>
    <t>Peter Lynch's Stock Screen</t>
  </si>
  <si>
    <t>STEP 1</t>
  </si>
  <si>
    <t>Company Type 
(by Growth)</t>
  </si>
  <si>
    <t>Is it a financial company? (Y/N)</t>
  </si>
  <si>
    <t>N</t>
  </si>
  <si>
    <t>Is it a utilities company? (Y/N)</t>
  </si>
  <si>
    <t>STEP 2</t>
  </si>
  <si>
    <t>Test for All Companies</t>
  </si>
  <si>
    <t>Parameter</t>
  </si>
  <si>
    <t>PEG</t>
  </si>
  <si>
    <t>Change in Inventory-to-Sales Ratio</t>
  </si>
  <si>
    <t>Total Debt to Equity Ratio</t>
  </si>
  <si>
    <t>Equity to Assets Ratio</t>
  </si>
  <si>
    <t>ROA</t>
  </si>
  <si>
    <t>STEP 3</t>
  </si>
  <si>
    <t>For Fast Growers</t>
  </si>
  <si>
    <t>Sales (bio IDR)</t>
  </si>
  <si>
    <t>For Stalwarts</t>
  </si>
  <si>
    <t>EPS</t>
  </si>
  <si>
    <t>Slow Growers</t>
  </si>
  <si>
    <t>Yield LQ45 (last year) (please fill in)</t>
  </si>
  <si>
    <t>Yield</t>
  </si>
  <si>
    <t>STEP 4</t>
  </si>
  <si>
    <t>Bonus Criteria</t>
  </si>
  <si>
    <t>FCF/Share to Price ratio</t>
  </si>
  <si>
    <t>Net Cash/Share to Price ratio</t>
  </si>
  <si>
    <t>Average P/E</t>
  </si>
  <si>
    <t>Long-term EPS Growth</t>
  </si>
  <si>
    <t>Risk Premium</t>
  </si>
  <si>
    <t>Required Return</t>
  </si>
  <si>
    <t>EOY P/E (est.)</t>
  </si>
  <si>
    <t>Dividend Payout ratio</t>
  </si>
  <si>
    <t>Long-term EPS Growth (proj.)</t>
  </si>
  <si>
    <t>Long-term P/E (proj.)</t>
  </si>
  <si>
    <t>Proyeksi EPS</t>
  </si>
  <si>
    <t>Proyeksi EPS pada akhir tahun</t>
  </si>
  <si>
    <t>Projected Stock price</t>
  </si>
  <si>
    <t>Total EPS (5 Years)</t>
  </si>
  <si>
    <t>Total Dividends (5 Years)</t>
  </si>
  <si>
    <t>Total Stock Price</t>
  </si>
  <si>
    <t>STEP 5</t>
  </si>
  <si>
    <t>Price Calculation</t>
  </si>
  <si>
    <t>Perhitungan Harga Wajar Saham</t>
  </si>
  <si>
    <t>Harga Wajar Saham</t>
  </si>
  <si>
    <t>Fair Value</t>
  </si>
  <si>
    <t>Margin of Safety</t>
  </si>
  <si>
    <t>Growth Predictability</t>
  </si>
  <si>
    <t>Keterangan</t>
  </si>
  <si>
    <t>Isi cell yang berwarna hijau</t>
  </si>
  <si>
    <t>Ratios</t>
  </si>
  <si>
    <t>Description</t>
  </si>
  <si>
    <t>Remarks</t>
  </si>
  <si>
    <t>(Revenue - COGS) / Revenue</t>
  </si>
  <si>
    <t>Dapat digunakan untuk menganalisa kemampuan perusahaan bersaing dalam industrinya</t>
  </si>
  <si>
    <t>Operating income / Revenue</t>
  </si>
  <si>
    <t>Bisa dianggap sebagai berapa besar margin yang diperoleh dari aktivitas operasionalnya</t>
  </si>
  <si>
    <t>Net income / Revenue</t>
  </si>
  <si>
    <t>Net income / ((This year Equity + Last year equity)/2)</t>
  </si>
  <si>
    <t>Cari perusahaan dengan ROE &gt; 20%</t>
  </si>
  <si>
    <t>EBIT / ((This year Assets + Last year assets)/2)</t>
  </si>
  <si>
    <t>EBIT = Net earnings + Interest expense (1 - Tax rate)</t>
  </si>
  <si>
    <t>CROIC (Cash Return on Invested Capital)</t>
  </si>
  <si>
    <t>Free Cash Flow / Invested Capital</t>
  </si>
  <si>
    <t>Current assets / current liabilities</t>
  </si>
  <si>
    <t>Current ratio sebaiknya &gt; 1 kecuali untuk perusahaan utilitas</t>
  </si>
  <si>
    <t>(Cash and marketable securities) / Current liabilities</t>
  </si>
  <si>
    <t>(Current assets - Inventory) / Current liabilities</t>
  </si>
  <si>
    <t>Tes yang lebih berat untuk menganalisa kondisi likuiditas perusahaan</t>
  </si>
  <si>
    <t>Liabilities / Shareholder equity</t>
  </si>
  <si>
    <t>Sebagai alternatif gunakan liabilities yang mengandung interest untuk keperluan analisa</t>
  </si>
  <si>
    <t>Long-term debt / Shareholder equity</t>
  </si>
  <si>
    <t>Operating income / Interest expense</t>
  </si>
  <si>
    <t>Sebaiknya &gt; 5x</t>
  </si>
  <si>
    <t>Degree of Leverage (DOL)</t>
  </si>
  <si>
    <t>∆%EBIT/∆%Sales</t>
  </si>
  <si>
    <t>Stock price / (Revenue / Outstanding shares)</t>
  </si>
  <si>
    <t>Dipopulerkan oleh Kenneth L.Fisher</t>
  </si>
  <si>
    <t>Stock price / Net earnings</t>
  </si>
  <si>
    <t>Metode valuasi paling sederhana dan banyak digunakan</t>
  </si>
  <si>
    <t>Dividend per share / Earning per share</t>
  </si>
  <si>
    <t>Dividend per share / Stock price</t>
  </si>
  <si>
    <t>Stock price / Book value per share</t>
  </si>
  <si>
    <t>PER / Long-term growth</t>
  </si>
  <si>
    <t>Salah satu metode valuasi paling sederhana dan merupakan perbaikan dari PER. Set PEG ratio maksimum = 1 untuk mendapatkan harga wajar</t>
  </si>
  <si>
    <t/>
  </si>
  <si>
    <t>FCF (Free Cash Flow)</t>
  </si>
  <si>
    <t>Operating cash flow - Capital expenditure</t>
  </si>
  <si>
    <t>Current assets - current liabilities</t>
  </si>
  <si>
    <t>Operating income per share / Enterprise value per share</t>
  </si>
  <si>
    <t>Versi Joel Greenblatt dan mungkin berbeda dari definisi umum</t>
  </si>
  <si>
    <t>ROC (Return on capital) (Greenblatt's)</t>
  </si>
  <si>
    <t>Operating income per share / (Working capital per share + Fixed assets per share)</t>
  </si>
  <si>
    <t>Stock price / Free cash flow to te firm per share</t>
  </si>
  <si>
    <t>Altman Z-Score = 1.2x(working capital/total assets) + 1.4 x(retained earning/total assets) + 3.3x(EBIT/total assets) + 0.6x(market value of equity/liabilities) + 0.999x(sales/total assets)</t>
  </si>
  <si>
    <t>Z &gt; 2.99 -“Safe” Zones</t>
  </si>
  <si>
    <t>1.8 &lt; Z &lt; 2.99 -“Grey” Zones</t>
  </si>
  <si>
    <t>Z &lt; 1.80 -“Distress” Zones</t>
  </si>
  <si>
    <t>CAGR of revenue/operating income/net earnings for 4 years</t>
  </si>
  <si>
    <t>Growth Consistency</t>
  </si>
  <si>
    <t>Predictability level of revenue/operating income/net earnings</t>
  </si>
  <si>
    <t>Sebaiknya &gt; 90%</t>
  </si>
  <si>
    <t>Klik link ini untuk mengunjungi IG @investasijalanan</t>
  </si>
  <si>
    <t>(untuk Enterprising Investors)</t>
  </si>
  <si>
    <t>(untuk Defensive Investors)</t>
  </si>
  <si>
    <t>&lt;= 9</t>
  </si>
  <si>
    <t>&gt;= 1.5</t>
  </si>
  <si>
    <t>Debt/NCAV</t>
  </si>
  <si>
    <t>&lt;= 110%</t>
  </si>
  <si>
    <t>Earnings stability</t>
  </si>
  <si>
    <t>Always positive</t>
  </si>
  <si>
    <t>Earnings growth</t>
  </si>
  <si>
    <t>Niy &gt; NIy-5</t>
  </si>
  <si>
    <t>Intangible assets</t>
  </si>
  <si>
    <t>Tangible assets</t>
  </si>
  <si>
    <t>Price/Tangible Assets</t>
  </si>
  <si>
    <t>&lt;= 120%</t>
  </si>
  <si>
    <t>&gt;= 30%</t>
  </si>
  <si>
    <t>EPS Growth (5 yrs)</t>
  </si>
  <si>
    <t>&lt;= 22.5</t>
  </si>
  <si>
    <t>Invested Capital = Equity +Total debt
Excess Cash = Cash - MAX(0, Current Liabilities - Current Assets)</t>
  </si>
  <si>
    <t>ABCD Financial Data</t>
  </si>
  <si>
    <t>Penjelasan Piotroski's F-Score di IG @investasijalanan</t>
  </si>
  <si>
    <t>Klik untuk penjelasan screening Ben Graham di IG @investasijalanan</t>
  </si>
  <si>
    <t>Klik untuk penjelasan Piotroski's F-Score di IG @investasijalanan</t>
  </si>
  <si>
    <t>Klik untuk penjelasan Ben Graham screening di IG @investasijalanan</t>
  </si>
  <si>
    <r>
      <t xml:space="preserve">Warren Buffett's Stock Screening
</t>
    </r>
    <r>
      <rPr>
        <b/>
        <sz val="18"/>
        <color theme="1"/>
        <rFont val="Calibri"/>
        <family val="2"/>
        <scheme val="minor"/>
      </rPr>
      <t>(Quantitative only)</t>
    </r>
  </si>
  <si>
    <t>Klik untuk penjelasan Warren Buffett screening di IG @investasijalanan</t>
  </si>
  <si>
    <t>Earnings predictability</t>
  </si>
  <si>
    <t>LT debt/earnings &lt;= 5</t>
  </si>
  <si>
    <t>ROE</t>
  </si>
  <si>
    <t>&gt;= 15%</t>
  </si>
  <si>
    <t>Free cash flow</t>
  </si>
  <si>
    <t>RORE</t>
  </si>
  <si>
    <t>Level of debt*</t>
  </si>
  <si>
    <t>ROTC*</t>
  </si>
  <si>
    <t>*Filter Level of debt dan ROTC tidak berlaku untuk bank dan institusi keuangan</t>
  </si>
  <si>
    <t>Laba terus naik</t>
  </si>
  <si>
    <t>Positif</t>
  </si>
  <si>
    <t>Kapan menjual saham fast growers?</t>
  </si>
  <si>
    <t>Referensi strategi investasi Peter Lynch:</t>
  </si>
  <si>
    <t>Checklist untuk saham turnaround</t>
  </si>
  <si>
    <t>Checklist untuk saham stalwart</t>
  </si>
  <si>
    <t>Strategi Growth at A Reasonable Price (GARP)</t>
  </si>
  <si>
    <t>Checklist untuk saham fast growers</t>
  </si>
  <si>
    <t>6 Kategori Saham Peter Lynch</t>
  </si>
  <si>
    <t>Cara melihat data summary laporan keuangan di Reuters</t>
  </si>
  <si>
    <t>Full value</t>
  </si>
  <si>
    <t>Estimation</t>
  </si>
  <si>
    <t>Account receivables</t>
  </si>
  <si>
    <t>Estimated value</t>
  </si>
  <si>
    <t>Total liabilities</t>
  </si>
  <si>
    <t>Asset value estimation</t>
  </si>
  <si>
    <t>Net-Net Working Capital</t>
  </si>
  <si>
    <t>Klik untuk penjelasan lebih lanjut tentang metode valuasi NNWC</t>
  </si>
  <si>
    <t>Penjelasan metode valuasi Net-Net Working Capital di IG @investasijalanan</t>
  </si>
  <si>
    <t>Ben Graham's Net-Net Working Capital</t>
  </si>
  <si>
    <t>VALUE/SHARE</t>
  </si>
  <si>
    <t>Ben Graham's NCAV</t>
  </si>
  <si>
    <t>Total Liabilities</t>
  </si>
  <si>
    <t>Klik untuk penjelasan lebih lanjut tentang metode valuasi NCAV</t>
  </si>
  <si>
    <t>Net Current Asset Value (NCAV)</t>
  </si>
  <si>
    <t>NCAV/Share</t>
  </si>
  <si>
    <t>VALUE/SHARE (2/3 x NCAV)</t>
  </si>
  <si>
    <t>Penjelasan metode valuasi NCAV di IG @investasijalanan</t>
  </si>
  <si>
    <t>Book Value</t>
  </si>
  <si>
    <t>Book value/share (BVPS)</t>
  </si>
  <si>
    <t>Earnings Per Share (EPS)</t>
  </si>
  <si>
    <t>Graham's Number</t>
  </si>
  <si>
    <t>Klik untuk penjelasan lebih lanjut tentang Graham's Number</t>
  </si>
  <si>
    <t>Graham Formula (modified)</t>
  </si>
  <si>
    <t>Klik untuk penjelasan lebih lanjut tentang Graham Formula</t>
  </si>
  <si>
    <t>Kupon obligasi high grade (AAA) (%)</t>
  </si>
  <si>
    <t>Future growth rate (%)</t>
  </si>
  <si>
    <t>EPS (Earnings per share) (adj)</t>
  </si>
  <si>
    <t>DPS (Dividend per share) (adj)</t>
  </si>
  <si>
    <t>Times Interest Earned Ratio (TIER)</t>
  </si>
  <si>
    <t>Stock price (adj. to stock split)</t>
  </si>
  <si>
    <t>v3.1</t>
  </si>
  <si>
    <t>PEG ratio (Price to earnings growth ratio)</t>
  </si>
  <si>
    <t>BI 7-DRR</t>
  </si>
  <si>
    <t>BI 7 Days Repo Rate (BI 7-DRR) (%)</t>
  </si>
  <si>
    <t>Operating profit margin</t>
  </si>
  <si>
    <t>Gross profit margin</t>
  </si>
  <si>
    <t>Gross profit margin (GPM)</t>
  </si>
  <si>
    <t>Operating profit margin (OPM)</t>
  </si>
  <si>
    <t>Net profit margin (NPM)</t>
  </si>
  <si>
    <t>Cash Return on Invested Capital (CROIC)</t>
  </si>
  <si>
    <t>Growth
Predictability</t>
  </si>
  <si>
    <t>Dividend per Share (DPS)</t>
  </si>
  <si>
    <t>(Hanya isi cell yang berwarna hijau)</t>
  </si>
  <si>
    <t>v5.0</t>
  </si>
  <si>
    <t>Klik link ini untuk mengetahui tentang Peter Lynch' screen di IG @investasijalanan</t>
  </si>
  <si>
    <t>Penjelasan Screening Ben Graham di IG @investasijalanan</t>
  </si>
  <si>
    <t>Penjelasan lebih lanjut Ben Graham screening di IG @investasijalanan</t>
  </si>
  <si>
    <t>Penjelasan lebih lanjut Warren Buffett screening di IG @investasijalanan</t>
  </si>
  <si>
    <t>Penjelasan lebih lanjut tentang Peter Lynch Screening di IG @investasijalanan</t>
  </si>
  <si>
    <t>Penjelasan Graham's Number di IG @investasijalanan</t>
  </si>
  <si>
    <t>Penjelasan Graham Formula di IG @investasijalanan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</si>
</sst>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#,##0.0"/>
    <numFmt numFmtId="166" formatCode="_-* #,##0.0000_-;\-* #,##0.0000_-;_-* &quot;-&quot;??_-;_-@_-"/>
    <numFmt numFmtId="167" formatCode="_-* #,##0_-;\-* #,##0_-;_-* &quot;-&quot;??_-;_-@_-"/>
  </numFmts>
  <fonts count="3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mbria"/>
      <family val="1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i/>
      <u/>
      <sz val="10"/>
      <color theme="10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Arial"/>
      <family val="2"/>
    </font>
    <font>
      <sz val="11"/>
      <color theme="1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7" fillId="0" borderId="0" xfId="0" applyFont="1" applyAlignment="1">
      <alignment horizontal="right"/>
    </xf>
    <xf numFmtId="3" fontId="0" fillId="8" borderId="2" xfId="0" applyNumberFormat="1" applyFill="1" applyBorder="1" applyProtection="1">
      <protection locked="0"/>
    </xf>
    <xf numFmtId="0" fontId="9" fillId="0" borderId="0" xfId="4"/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14" fillId="9" borderId="2" xfId="0" applyFont="1" applyFill="1" applyBorder="1" applyAlignment="1">
      <alignment horizontal="center" vertical="center"/>
    </xf>
    <xf numFmtId="0" fontId="7" fillId="0" borderId="0" xfId="0" applyFont="1"/>
    <xf numFmtId="0" fontId="22" fillId="0" borderId="1" xfId="5" applyFont="1" applyFill="1" applyBorder="1" applyAlignment="1" applyProtection="1">
      <alignment horizontal="center" vertical="center"/>
    </xf>
    <xf numFmtId="10" fontId="24" fillId="9" borderId="2" xfId="4" applyNumberFormat="1" applyFont="1" applyFill="1" applyBorder="1" applyProtection="1">
      <protection locked="0"/>
    </xf>
    <xf numFmtId="0" fontId="9" fillId="0" borderId="0" xfId="4" applyAlignment="1">
      <alignment vertical="top"/>
    </xf>
    <xf numFmtId="0" fontId="9" fillId="0" borderId="0" xfId="4" applyAlignment="1">
      <alignment vertical="top" wrapText="1"/>
    </xf>
    <xf numFmtId="0" fontId="9" fillId="0" borderId="15" xfId="4" applyBorder="1"/>
    <xf numFmtId="0" fontId="9" fillId="0" borderId="16" xfId="4" applyBorder="1" applyAlignment="1">
      <alignment vertical="top"/>
    </xf>
    <xf numFmtId="0" fontId="9" fillId="0" borderId="16" xfId="4" applyBorder="1" applyAlignment="1">
      <alignment vertical="top" wrapText="1"/>
    </xf>
    <xf numFmtId="0" fontId="9" fillId="0" borderId="17" xfId="4" applyBorder="1"/>
    <xf numFmtId="0" fontId="9" fillId="0" borderId="18" xfId="4" applyBorder="1"/>
    <xf numFmtId="0" fontId="5" fillId="18" borderId="2" xfId="4" applyFont="1" applyFill="1" applyBorder="1" applyAlignment="1">
      <alignment horizontal="center" vertical="top"/>
    </xf>
    <xf numFmtId="0" fontId="5" fillId="18" borderId="2" xfId="4" applyFont="1" applyFill="1" applyBorder="1" applyAlignment="1">
      <alignment horizontal="center" vertical="top" wrapText="1"/>
    </xf>
    <xf numFmtId="0" fontId="9" fillId="0" borderId="19" xfId="4" applyBorder="1"/>
    <xf numFmtId="0" fontId="7" fillId="0" borderId="0" xfId="4" applyFont="1" applyAlignment="1">
      <alignment horizontal="center" vertical="top"/>
    </xf>
    <xf numFmtId="0" fontId="7" fillId="0" borderId="4" xfId="4" applyFont="1" applyBorder="1" applyAlignment="1">
      <alignment horizontal="center" vertical="top" wrapText="1"/>
    </xf>
    <xf numFmtId="0" fontId="7" fillId="0" borderId="5" xfId="4" applyFont="1" applyBorder="1" applyAlignment="1">
      <alignment horizontal="center" vertical="top" wrapText="1"/>
    </xf>
    <xf numFmtId="0" fontId="9" fillId="0" borderId="2" xfId="4" applyBorder="1" applyAlignment="1">
      <alignment vertical="top"/>
    </xf>
    <xf numFmtId="0" fontId="9" fillId="0" borderId="2" xfId="4" applyBorder="1" applyAlignment="1">
      <alignment horizontal="left" vertical="top" wrapText="1"/>
    </xf>
    <xf numFmtId="0" fontId="9" fillId="0" borderId="2" xfId="4" applyBorder="1" applyAlignment="1">
      <alignment vertical="top" wrapText="1"/>
    </xf>
    <xf numFmtId="0" fontId="9" fillId="0" borderId="3" xfId="4" applyBorder="1" applyAlignment="1">
      <alignment vertical="top"/>
    </xf>
    <xf numFmtId="0" fontId="9" fillId="0" borderId="4" xfId="4" applyBorder="1" applyAlignment="1">
      <alignment horizontal="left" vertical="top" wrapText="1"/>
    </xf>
    <xf numFmtId="0" fontId="9" fillId="0" borderId="5" xfId="4" applyBorder="1" applyAlignment="1">
      <alignment vertical="top" wrapText="1"/>
    </xf>
    <xf numFmtId="0" fontId="27" fillId="0" borderId="2" xfId="4" applyFont="1" applyBorder="1" applyAlignment="1">
      <alignment horizontal="left" vertical="top" wrapText="1"/>
    </xf>
    <xf numFmtId="0" fontId="9" fillId="0" borderId="5" xfId="4" quotePrefix="1" applyBorder="1" applyAlignment="1">
      <alignment vertical="top" wrapText="1"/>
    </xf>
    <xf numFmtId="0" fontId="9" fillId="0" borderId="21" xfId="4" applyBorder="1"/>
    <xf numFmtId="0" fontId="9" fillId="0" borderId="22" xfId="4" applyBorder="1" applyAlignment="1">
      <alignment vertical="top"/>
    </xf>
    <xf numFmtId="0" fontId="9" fillId="0" borderId="22" xfId="4" applyBorder="1" applyAlignment="1">
      <alignment vertical="top" wrapText="1"/>
    </xf>
    <xf numFmtId="0" fontId="9" fillId="0" borderId="23" xfId="4" applyBorder="1"/>
    <xf numFmtId="0" fontId="1" fillId="0" borderId="2" xfId="4" applyFont="1" applyBorder="1" applyAlignment="1">
      <alignment vertical="top" wrapText="1"/>
    </xf>
    <xf numFmtId="4" fontId="0" fillId="6" borderId="2" xfId="1" applyNumberFormat="1" applyFont="1" applyFill="1" applyBorder="1" applyProtection="1"/>
    <xf numFmtId="10" fontId="0" fillId="8" borderId="2" xfId="0" applyNumberFormat="1" applyFill="1" applyBorder="1" applyAlignment="1" applyProtection="1">
      <alignment horizontal="right" vertical="center"/>
      <protection locked="0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7" fillId="0" borderId="0" xfId="0" applyNumberFormat="1" applyFont="1" applyAlignment="1">
      <alignment horizontal="right"/>
    </xf>
    <xf numFmtId="0" fontId="5" fillId="20" borderId="0" xfId="0" applyFont="1" applyFill="1"/>
    <xf numFmtId="3" fontId="5" fillId="20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2" xfId="4" applyFont="1" applyBorder="1" applyAlignment="1">
      <alignment vertical="top"/>
    </xf>
    <xf numFmtId="4" fontId="0" fillId="6" borderId="2" xfId="0" applyNumberFormat="1" applyFill="1" applyBorder="1"/>
    <xf numFmtId="3" fontId="0" fillId="0" borderId="2" xfId="0" applyNumberFormat="1" applyBorder="1"/>
    <xf numFmtId="3" fontId="0" fillId="0" borderId="0" xfId="0" applyNumberFormat="1"/>
    <xf numFmtId="3" fontId="3" fillId="0" borderId="2" xfId="2" applyNumberFormat="1" applyBorder="1" applyProtection="1"/>
    <xf numFmtId="3" fontId="34" fillId="0" borderId="0" xfId="0" applyNumberFormat="1" applyFont="1"/>
    <xf numFmtId="3" fontId="31" fillId="0" borderId="0" xfId="0" applyNumberFormat="1" applyFont="1"/>
    <xf numFmtId="3" fontId="0" fillId="0" borderId="3" xfId="0" applyNumberFormat="1" applyBorder="1"/>
    <xf numFmtId="164" fontId="6" fillId="0" borderId="4" xfId="0" applyNumberFormat="1" applyFont="1" applyBorder="1"/>
    <xf numFmtId="3" fontId="0" fillId="0" borderId="5" xfId="0" applyNumberFormat="1" applyBorder="1"/>
    <xf numFmtId="164" fontId="6" fillId="0" borderId="0" xfId="0" applyNumberFormat="1" applyFont="1"/>
    <xf numFmtId="10" fontId="6" fillId="0" borderId="0" xfId="0" applyNumberFormat="1" applyFont="1"/>
    <xf numFmtId="3" fontId="0" fillId="6" borderId="2" xfId="0" applyNumberFormat="1" applyFill="1" applyBorder="1"/>
    <xf numFmtId="3" fontId="0" fillId="0" borderId="4" xfId="0" applyNumberFormat="1" applyBorder="1"/>
    <xf numFmtId="0" fontId="0" fillId="0" borderId="2" xfId="0" applyBorder="1"/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5" borderId="9" xfId="0" applyFont="1" applyFill="1" applyBorder="1"/>
    <xf numFmtId="0" fontId="0" fillId="0" borderId="1" xfId="0" applyBorder="1"/>
    <xf numFmtId="0" fontId="0" fillId="0" borderId="10" xfId="0" applyBorder="1"/>
    <xf numFmtId="10" fontId="0" fillId="6" borderId="2" xfId="0" applyNumberFormat="1" applyFill="1" applyBorder="1"/>
    <xf numFmtId="0" fontId="0" fillId="0" borderId="7" xfId="0" applyBorder="1"/>
    <xf numFmtId="0" fontId="0" fillId="0" borderId="8" xfId="0" applyBorder="1"/>
    <xf numFmtId="165" fontId="0" fillId="6" borderId="2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2" xfId="2" applyBorder="1" applyProtection="1"/>
    <xf numFmtId="165" fontId="0" fillId="22" borderId="14" xfId="0" applyNumberFormat="1" applyFill="1" applyBorder="1"/>
    <xf numFmtId="165" fontId="0" fillId="7" borderId="2" xfId="0" applyNumberFormat="1" applyFill="1" applyBorder="1"/>
    <xf numFmtId="10" fontId="0" fillId="7" borderId="2" xfId="0" applyNumberFormat="1" applyFill="1" applyBorder="1"/>
    <xf numFmtId="164" fontId="0" fillId="6" borderId="2" xfId="0" applyNumberFormat="1" applyFill="1" applyBorder="1"/>
    <xf numFmtId="4" fontId="0" fillId="0" borderId="12" xfId="0" applyNumberFormat="1" applyBorder="1"/>
    <xf numFmtId="0" fontId="7" fillId="5" borderId="0" xfId="0" applyFont="1" applyFill="1"/>
    <xf numFmtId="4" fontId="0" fillId="0" borderId="0" xfId="0" applyNumberFormat="1"/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0" fontId="0" fillId="6" borderId="2" xfId="0" applyNumberFormat="1" applyFill="1" applyBorder="1" applyAlignment="1">
      <alignment horizontal="center"/>
    </xf>
    <xf numFmtId="0" fontId="8" fillId="0" borderId="0" xfId="0" applyFont="1"/>
    <xf numFmtId="165" fontId="0" fillId="0" borderId="0" xfId="0" applyNumberFormat="1"/>
    <xf numFmtId="3" fontId="3" fillId="0" borderId="0" xfId="2" applyNumberFormat="1" applyProtection="1"/>
    <xf numFmtId="0" fontId="3" fillId="5" borderId="1" xfId="2" applyFill="1" applyBorder="1" applyProtection="1"/>
    <xf numFmtId="0" fontId="12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/>
    <xf numFmtId="10" fontId="0" fillId="0" borderId="2" xfId="0" applyNumberFormat="1" applyBorder="1"/>
    <xf numFmtId="165" fontId="0" fillId="0" borderId="2" xfId="0" applyNumberFormat="1" applyBorder="1"/>
    <xf numFmtId="0" fontId="0" fillId="0" borderId="6" xfId="0" applyBorder="1"/>
    <xf numFmtId="10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3" fillId="0" borderId="0" xfId="2" applyProtection="1"/>
    <xf numFmtId="10" fontId="0" fillId="0" borderId="2" xfId="3" applyNumberFormat="1" applyFont="1" applyBorder="1" applyProtection="1"/>
    <xf numFmtId="10" fontId="0" fillId="0" borderId="2" xfId="3" applyNumberFormat="1" applyFont="1" applyBorder="1" applyAlignment="1" applyProtection="1">
      <alignment horizontal="right"/>
    </xf>
    <xf numFmtId="10" fontId="0" fillId="0" borderId="2" xfId="0" applyNumberFormat="1" applyBorder="1" applyAlignment="1">
      <alignment horizontal="right"/>
    </xf>
    <xf numFmtId="9" fontId="0" fillId="0" borderId="2" xfId="3" applyFont="1" applyBorder="1" applyProtection="1"/>
    <xf numFmtId="166" fontId="0" fillId="0" borderId="2" xfId="1" applyNumberFormat="1" applyFont="1" applyBorder="1" applyProtection="1"/>
    <xf numFmtId="167" fontId="0" fillId="0" borderId="2" xfId="1" applyNumberFormat="1" applyFont="1" applyBorder="1" applyProtection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15" xfId="0" applyBorder="1"/>
    <xf numFmtId="0" fontId="7" fillId="0" borderId="16" xfId="0" applyFont="1" applyBorder="1"/>
    <xf numFmtId="0" fontId="0" fillId="0" borderId="16" xfId="0" applyBorder="1"/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0" fillId="0" borderId="19" xfId="0" applyFont="1" applyBorder="1"/>
    <xf numFmtId="0" fontId="0" fillId="0" borderId="19" xfId="0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10" borderId="2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 wrapText="1"/>
    </xf>
    <xf numFmtId="3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vertical="center"/>
    </xf>
    <xf numFmtId="0" fontId="0" fillId="0" borderId="21" xfId="0" applyBorder="1"/>
    <xf numFmtId="0" fontId="7" fillId="0" borderId="22" xfId="0" applyFont="1" applyBorder="1"/>
    <xf numFmtId="0" fontId="0" fillId="0" borderId="22" xfId="0" applyBorder="1"/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/>
    <xf numFmtId="0" fontId="19" fillId="0" borderId="0" xfId="4" applyFont="1"/>
    <xf numFmtId="0" fontId="9" fillId="0" borderId="11" xfId="4" applyBorder="1"/>
    <xf numFmtId="0" fontId="19" fillId="0" borderId="12" xfId="4" applyFont="1" applyBorder="1"/>
    <xf numFmtId="0" fontId="9" fillId="0" borderId="13" xfId="4" applyBorder="1"/>
    <xf numFmtId="0" fontId="9" fillId="0" borderId="7" xfId="4" applyBorder="1"/>
    <xf numFmtId="0" fontId="9" fillId="0" borderId="8" xfId="4" applyBorder="1"/>
    <xf numFmtId="0" fontId="23" fillId="0" borderId="1" xfId="4" applyFont="1" applyBorder="1" applyAlignment="1">
      <alignment horizontal="center" vertical="center"/>
    </xf>
    <xf numFmtId="0" fontId="24" fillId="0" borderId="2" xfId="4" applyFont="1" applyBorder="1"/>
    <xf numFmtId="3" fontId="24" fillId="6" borderId="2" xfId="4" applyNumberFormat="1" applyFont="1" applyFill="1" applyBorder="1"/>
    <xf numFmtId="4" fontId="24" fillId="6" borderId="2" xfId="4" applyNumberFormat="1" applyFont="1" applyFill="1" applyBorder="1"/>
    <xf numFmtId="10" fontId="24" fillId="6" borderId="2" xfId="4" applyNumberFormat="1" applyFont="1" applyFill="1" applyBorder="1"/>
    <xf numFmtId="9" fontId="24" fillId="6" borderId="2" xfId="4" applyNumberFormat="1" applyFont="1" applyFill="1" applyBorder="1"/>
    <xf numFmtId="0" fontId="24" fillId="0" borderId="0" xfId="4" applyFont="1"/>
    <xf numFmtId="0" fontId="25" fillId="0" borderId="0" xfId="4" applyFont="1"/>
    <xf numFmtId="0" fontId="25" fillId="0" borderId="22" xfId="4" applyFont="1" applyBorder="1" applyAlignment="1">
      <alignment horizontal="center" vertical="center"/>
    </xf>
    <xf numFmtId="0" fontId="24" fillId="0" borderId="22" xfId="4" applyFont="1" applyBorder="1" applyAlignment="1">
      <alignment horizontal="center" vertical="center"/>
    </xf>
    <xf numFmtId="0" fontId="24" fillId="0" borderId="0" xfId="4" applyFont="1" applyAlignment="1">
      <alignment horizontal="center"/>
    </xf>
    <xf numFmtId="3" fontId="24" fillId="0" borderId="0" xfId="4" applyNumberFormat="1" applyFont="1" applyAlignment="1">
      <alignment horizontal="center"/>
    </xf>
    <xf numFmtId="0" fontId="24" fillId="0" borderId="24" xfId="4" applyFont="1" applyBorder="1" applyAlignment="1">
      <alignment horizontal="center"/>
    </xf>
    <xf numFmtId="3" fontId="24" fillId="0" borderId="24" xfId="4" applyNumberFormat="1" applyFont="1" applyBorder="1" applyAlignment="1">
      <alignment horizontal="center"/>
    </xf>
    <xf numFmtId="0" fontId="24" fillId="0" borderId="22" xfId="4" applyFont="1" applyBorder="1"/>
    <xf numFmtId="0" fontId="25" fillId="0" borderId="22" xfId="4" applyFont="1" applyBorder="1" applyAlignment="1">
      <alignment horizontal="center"/>
    </xf>
    <xf numFmtId="3" fontId="12" fillId="6" borderId="24" xfId="4" applyNumberFormat="1" applyFont="1" applyFill="1" applyBorder="1" applyAlignment="1">
      <alignment horizontal="center"/>
    </xf>
    <xf numFmtId="0" fontId="12" fillId="14" borderId="0" xfId="4" applyFont="1" applyFill="1"/>
    <xf numFmtId="3" fontId="12" fillId="15" borderId="0" xfId="4" applyNumberFormat="1" applyFont="1" applyFill="1" applyAlignment="1">
      <alignment horizontal="center"/>
    </xf>
    <xf numFmtId="10" fontId="12" fillId="16" borderId="0" xfId="4" applyNumberFormat="1" applyFont="1" applyFill="1" applyAlignment="1">
      <alignment horizontal="center"/>
    </xf>
    <xf numFmtId="0" fontId="12" fillId="17" borderId="0" xfId="4" applyFont="1" applyFill="1"/>
    <xf numFmtId="10" fontId="12" fillId="4" borderId="0" xfId="4" applyNumberFormat="1" applyFont="1" applyFill="1" applyAlignment="1">
      <alignment horizontal="center"/>
    </xf>
    <xf numFmtId="0" fontId="23" fillId="0" borderId="0" xfId="4" applyFont="1"/>
    <xf numFmtId="0" fontId="8" fillId="0" borderId="0" xfId="4" applyFont="1"/>
    <xf numFmtId="0" fontId="9" fillId="0" borderId="9" xfId="4" applyBorder="1"/>
    <xf numFmtId="0" fontId="19" fillId="0" borderId="1" xfId="4" applyFont="1" applyBorder="1"/>
    <xf numFmtId="0" fontId="9" fillId="0" borderId="10" xfId="4" applyBorder="1"/>
    <xf numFmtId="0" fontId="26" fillId="0" borderId="0" xfId="4" applyFont="1"/>
    <xf numFmtId="3" fontId="0" fillId="22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3" fontId="0" fillId="22" borderId="0" xfId="0" applyNumberFormat="1" applyFill="1" applyAlignment="1">
      <alignment horizontal="right"/>
    </xf>
    <xf numFmtId="0" fontId="7" fillId="22" borderId="0" xfId="0" applyFont="1" applyFill="1" applyAlignment="1">
      <alignment horizontal="center"/>
    </xf>
    <xf numFmtId="3" fontId="7" fillId="22" borderId="0" xfId="0" applyNumberFormat="1" applyFont="1" applyFill="1" applyAlignment="1">
      <alignment horizontal="right"/>
    </xf>
    <xf numFmtId="0" fontId="0" fillId="22" borderId="0" xfId="0" applyFill="1" applyAlignment="1">
      <alignment horizontal="center"/>
    </xf>
    <xf numFmtId="0" fontId="5" fillId="20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0" fillId="9" borderId="0" xfId="0" applyNumberFormat="1" applyFill="1" applyAlignment="1" applyProtection="1">
      <alignment horizontal="right"/>
      <protection locked="0"/>
    </xf>
    <xf numFmtId="4" fontId="0" fillId="9" borderId="0" xfId="0" applyNumberFormat="1" applyFill="1" applyAlignment="1" applyProtection="1">
      <alignment horizontal="right"/>
      <protection locked="0"/>
    </xf>
    <xf numFmtId="1" fontId="0" fillId="9" borderId="0" xfId="3" applyNumberFormat="1" applyFont="1" applyFill="1" applyAlignment="1" applyProtection="1">
      <alignment horizontal="right"/>
      <protection locked="0"/>
    </xf>
    <xf numFmtId="0" fontId="7" fillId="9" borderId="2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/>
    <xf numFmtId="0" fontId="35" fillId="12" borderId="2" xfId="0" applyFont="1" applyFill="1" applyBorder="1"/>
    <xf numFmtId="0" fontId="35" fillId="12" borderId="2" xfId="0" applyFont="1" applyFill="1" applyBorder="1" applyProtection="1">
      <protection locked="0"/>
    </xf>
    <xf numFmtId="0" fontId="16" fillId="24" borderId="2" xfId="0" applyFont="1" applyFill="1" applyBorder="1" applyAlignment="1">
      <alignment horizontal="center" vertical="center" wrapText="1"/>
    </xf>
    <xf numFmtId="0" fontId="4" fillId="19" borderId="0" xfId="0" applyFont="1" applyFill="1" applyAlignment="1" applyProtection="1">
      <alignment horizontal="center" vertical="center"/>
      <protection locked="0"/>
    </xf>
    <xf numFmtId="0" fontId="3" fillId="20" borderId="1" xfId="2" applyFill="1" applyBorder="1" applyAlignment="1" applyProtection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3" fillId="20" borderId="1" xfId="2" applyNumberFormat="1" applyFill="1" applyBorder="1" applyAlignment="1" applyProtection="1">
      <alignment horizontal="center" vertical="center" wrapText="1"/>
    </xf>
    <xf numFmtId="0" fontId="3" fillId="0" borderId="0" xfId="2" applyAlignment="1" applyProtection="1">
      <alignment horizontal="left"/>
    </xf>
    <xf numFmtId="0" fontId="3" fillId="0" borderId="0" xfId="2" applyProtection="1"/>
    <xf numFmtId="0" fontId="29" fillId="19" borderId="0" xfId="0" applyFont="1" applyFill="1" applyAlignment="1">
      <alignment horizontal="center" vertical="center" wrapText="1"/>
    </xf>
    <xf numFmtId="0" fontId="28" fillId="19" borderId="0" xfId="0" applyFont="1" applyFill="1" applyAlignment="1">
      <alignment horizontal="center" vertical="center" wrapText="1"/>
    </xf>
    <xf numFmtId="0" fontId="16" fillId="13" borderId="6" xfId="0" applyFont="1" applyFill="1" applyBorder="1" applyAlignment="1">
      <alignment horizontal="center" vertical="center"/>
    </xf>
    <xf numFmtId="0" fontId="16" fillId="13" borderId="14" xfId="0" applyFont="1" applyFill="1" applyBorder="1" applyAlignment="1">
      <alignment horizontal="center" vertical="center"/>
    </xf>
    <xf numFmtId="0" fontId="16" fillId="13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19" borderId="0" xfId="0" applyFont="1" applyFill="1" applyAlignment="1">
      <alignment horizontal="center"/>
    </xf>
    <xf numFmtId="0" fontId="3" fillId="20" borderId="0" xfId="2" applyFill="1" applyBorder="1" applyAlignment="1" applyProtection="1">
      <alignment horizontal="center"/>
    </xf>
    <xf numFmtId="0" fontId="16" fillId="11" borderId="6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3" fillId="0" borderId="0" xfId="2"/>
    <xf numFmtId="0" fontId="20" fillId="21" borderId="0" xfId="4" applyFont="1" applyFill="1" applyAlignment="1">
      <alignment horizontal="center" vertical="center"/>
    </xf>
    <xf numFmtId="0" fontId="21" fillId="21" borderId="0" xfId="4" applyFont="1" applyFill="1" applyAlignment="1">
      <alignment horizontal="center" vertical="center"/>
    </xf>
    <xf numFmtId="0" fontId="3" fillId="0" borderId="0" xfId="2" applyFill="1" applyBorder="1" applyAlignment="1" applyProtection="1">
      <alignment horizontal="center" vertical="center"/>
    </xf>
    <xf numFmtId="0" fontId="3" fillId="0" borderId="0" xfId="2" applyBorder="1" applyAlignment="1" applyProtection="1">
      <alignment horizontal="center" vertical="center"/>
    </xf>
    <xf numFmtId="0" fontId="25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5" fillId="14" borderId="0" xfId="4" applyFont="1" applyFill="1" applyAlignment="1">
      <alignment horizontal="center" vertical="center"/>
    </xf>
    <xf numFmtId="0" fontId="3" fillId="0" borderId="0" xfId="2" applyBorder="1" applyAlignment="1" applyProtection="1"/>
    <xf numFmtId="0" fontId="3" fillId="20" borderId="0" xfId="2" applyFill="1" applyAlignment="1" applyProtection="1">
      <alignment horizontal="center"/>
    </xf>
    <xf numFmtId="0" fontId="3" fillId="0" borderId="0" xfId="2" applyFill="1" applyProtection="1"/>
    <xf numFmtId="0" fontId="3" fillId="20" borderId="0" xfId="2" applyFill="1" applyAlignment="1">
      <alignment horizontal="center"/>
    </xf>
    <xf numFmtId="0" fontId="3" fillId="0" borderId="0" xfId="2" applyFill="1"/>
    <xf numFmtId="0" fontId="7" fillId="5" borderId="3" xfId="4" applyFont="1" applyFill="1" applyBorder="1" applyAlignment="1">
      <alignment vertical="top"/>
    </xf>
    <xf numFmtId="0" fontId="9" fillId="0" borderId="4" xfId="4" applyBorder="1" applyAlignment="1">
      <alignment vertical="top"/>
    </xf>
    <xf numFmtId="0" fontId="9" fillId="0" borderId="5" xfId="4" applyBorder="1" applyAlignment="1">
      <alignment vertical="top"/>
    </xf>
    <xf numFmtId="0" fontId="7" fillId="3" borderId="3" xfId="4" applyFont="1" applyFill="1" applyBorder="1" applyAlignment="1">
      <alignment vertical="top"/>
    </xf>
    <xf numFmtId="0" fontId="9" fillId="3" borderId="4" xfId="4" applyFill="1" applyBorder="1" applyAlignment="1">
      <alignment vertical="top"/>
    </xf>
    <xf numFmtId="0" fontId="9" fillId="3" borderId="5" xfId="4" applyFill="1" applyBorder="1" applyAlignment="1">
      <alignment vertical="top"/>
    </xf>
    <xf numFmtId="0" fontId="9" fillId="0" borderId="2" xfId="4" applyBorder="1" applyAlignment="1">
      <alignment vertical="center"/>
    </xf>
    <xf numFmtId="0" fontId="9" fillId="0" borderId="2" xfId="4" applyBorder="1" applyAlignment="1">
      <alignment horizontal="left" vertical="center" wrapText="1"/>
    </xf>
    <xf numFmtId="0" fontId="9" fillId="0" borderId="2" xfId="4" applyBorder="1" applyAlignment="1">
      <alignment vertical="center" wrapText="1"/>
    </xf>
  </cellXfs>
  <cellStyles count="6">
    <cellStyle name="Comma" xfId="1" builtinId="3"/>
    <cellStyle name="Hyperlink" xfId="2" builtinId="8"/>
    <cellStyle name="Hyperlink 2" xfId="5" xr:uid="{E5CE9662-A1F1-4BBB-9AA4-45A9FC34A76F}"/>
    <cellStyle name="Normal" xfId="0" builtinId="0"/>
    <cellStyle name="Normal 2" xfId="4" xr:uid="{3F26D0E5-806F-436E-88E7-E2C74E8C6209}"/>
    <cellStyle name="Percent" xfId="3" builtinId="5"/>
  </cellStyles>
  <dxfs count="12">
    <dxf>
      <fill>
        <patternFill>
          <fgColor theme="6" tint="-0.499984740745262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CVlw6N3BT5K/" TargetMode="External"/><Relationship Id="rId13" Type="http://schemas.openxmlformats.org/officeDocument/2006/relationships/hyperlink" Target="https://www.instagram.com/p/CnsvSsHJJfD/" TargetMode="External"/><Relationship Id="rId3" Type="http://schemas.openxmlformats.org/officeDocument/2006/relationships/hyperlink" Target="https://www.instagram.com/p/CZAnDcFK7kw/" TargetMode="External"/><Relationship Id="rId7" Type="http://schemas.openxmlformats.org/officeDocument/2006/relationships/hyperlink" Target="https://www.instagram.com/p/CrZrmezp9b_/" TargetMode="External"/><Relationship Id="rId12" Type="http://schemas.openxmlformats.org/officeDocument/2006/relationships/hyperlink" Target="https://www.instagram.com/p/Cn3IL0PpcIR/" TargetMode="External"/><Relationship Id="rId2" Type="http://schemas.openxmlformats.org/officeDocument/2006/relationships/hyperlink" Target="https://www.instagram.com/p/CcjY6OYvCa6/?utm_source=ig_web_copy_link&amp;igshid=MzRlODBiNWFlZA==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instagram.com/p/CssAV9hpRln/?utm_source=ig_web_copy_link&amp;igshid=MzRlODBiNWFlZA==" TargetMode="External"/><Relationship Id="rId6" Type="http://schemas.openxmlformats.org/officeDocument/2006/relationships/hyperlink" Target="https://www.instagram.com/p/CXP_CI6J9ck/?igshid=OGQ2MjdiOTE=" TargetMode="External"/><Relationship Id="rId11" Type="http://schemas.openxmlformats.org/officeDocument/2006/relationships/hyperlink" Target="https://www.instagram.com/p/Cu5j4L8S8-D/" TargetMode="External"/><Relationship Id="rId5" Type="http://schemas.openxmlformats.org/officeDocument/2006/relationships/hyperlink" Target="https://www.instagram.com/p/CXSx6S-JW5_/?igshid=OGQ2MjdiOTE=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instagram.com/p/Cu5j4L8S8-D/" TargetMode="External"/><Relationship Id="rId4" Type="http://schemas.openxmlformats.org/officeDocument/2006/relationships/hyperlink" Target="https://www.instagram.com/p/CXXCpxfhs6U/" TargetMode="External"/><Relationship Id="rId9" Type="http://schemas.openxmlformats.org/officeDocument/2006/relationships/hyperlink" Target="https://www.instagram.com/p/Cu5j4L8S8-D/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p/CjmGXsAJDaV/" TargetMode="External"/><Relationship Id="rId1" Type="http://schemas.openxmlformats.org/officeDocument/2006/relationships/hyperlink" Target="https://www.instagram.com/p/CjmGXsAJDaV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p/CjmGXsAJDaV/" TargetMode="External"/><Relationship Id="rId1" Type="http://schemas.openxmlformats.org/officeDocument/2006/relationships/hyperlink" Target="https://www.instagram.com/p/CjmGXsAJDa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n0ZEjtyhVc/?igshid=OGQ2MjdiOTE=" TargetMode="External"/><Relationship Id="rId2" Type="http://schemas.openxmlformats.org/officeDocument/2006/relationships/hyperlink" Target="http://parahita.wordpress.com/2010/05/26/memilih-saham-a-la-benjamin-graham-bagian-1/" TargetMode="External"/><Relationship Id="rId1" Type="http://schemas.openxmlformats.org/officeDocument/2006/relationships/hyperlink" Target="https://www.instagram.com/p/Cn0ZEjtyhVc/?igshid=OGQ2MjdiOTE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n0ZEjtyhVc/?igshid=OGQ2MjdiOTE=" TargetMode="External"/><Relationship Id="rId2" Type="http://schemas.openxmlformats.org/officeDocument/2006/relationships/hyperlink" Target="http://parahita.wordpress.com/2010/05/26/memilih-saham-a-la-benjamin-graham-bagian-1/" TargetMode="External"/><Relationship Id="rId1" Type="http://schemas.openxmlformats.org/officeDocument/2006/relationships/hyperlink" Target="https://www.instagram.com/p/Cn0ZEjtyhVc/?igshid=OGQ2MjdiOTE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hYVvkDP-Nq/?igshid=OGQ2MjdiOTE=" TargetMode="External"/><Relationship Id="rId2" Type="http://schemas.openxmlformats.org/officeDocument/2006/relationships/hyperlink" Target="http://parahita.wordpress.com/2010/05/26/memilih-saham-a-la-benjamin-graham-bagian-1/" TargetMode="External"/><Relationship Id="rId1" Type="http://schemas.openxmlformats.org/officeDocument/2006/relationships/hyperlink" Target="https://www.instagram.com/p/ChYVvkDP-Nq/?igshid=OGQ2MjdiOTE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CaI9OeCJVXJ/?utm_source=ig_web_copy_link&amp;igshid=MzRlODBiNWFlZA==" TargetMode="External"/><Relationship Id="rId3" Type="http://schemas.openxmlformats.org/officeDocument/2006/relationships/hyperlink" Target="https://www.instagram.com/p/Cepd444JV8s/?utm_source=ig_web_copy_link&amp;igshid=MzRlODBiNWFlZA==" TargetMode="External"/><Relationship Id="rId7" Type="http://schemas.openxmlformats.org/officeDocument/2006/relationships/hyperlink" Target="https://www.instagram.com/p/CeH8f_gJKQ6/?utm_source=ig_web_copy_link&amp;igshid=MzRlODBiNWFlZA==" TargetMode="External"/><Relationship Id="rId2" Type="http://schemas.openxmlformats.org/officeDocument/2006/relationships/hyperlink" Target="https://www.instagram.com/p/Cha3B0dBwfO/?igshid=OGQ2MjdiOTE=" TargetMode="External"/><Relationship Id="rId1" Type="http://schemas.openxmlformats.org/officeDocument/2006/relationships/hyperlink" Target="https://www.instagram.com/p/Cha3B0dBwfO/?igshid=OGQ2MjdiOTE=" TargetMode="External"/><Relationship Id="rId6" Type="http://schemas.openxmlformats.org/officeDocument/2006/relationships/hyperlink" Target="https://www.instagram.com/p/Cfu5i83pE7H/?utm_source=ig_web_copy_link&amp;igshid=MzRlODBiNWFlZA==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instagram.com/p/Cezn7PDpQxr/?utm_source=ig_web_copy_link&amp;igshid=MzRlODBiNWFlZA==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instagram.com/p/CeXQAk3pxnh/?utm_source=ig_web_copy_link&amp;igshid=MzRlODBiNWFlZA==" TargetMode="External"/><Relationship Id="rId9" Type="http://schemas.openxmlformats.org/officeDocument/2006/relationships/hyperlink" Target="https://www.instagram.com/p/Cha3B0dBwfO/?igshid=OGQ2MjdiOTE=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n56w2PpKIr/?igshid=OGQ2MjdiOTE=" TargetMode="External"/><Relationship Id="rId2" Type="http://schemas.openxmlformats.org/officeDocument/2006/relationships/hyperlink" Target="http://parahita.wordpress.com/2011/01/18/piotroski-f-score-good-fundamentals-low-price/" TargetMode="External"/><Relationship Id="rId1" Type="http://schemas.openxmlformats.org/officeDocument/2006/relationships/hyperlink" Target="https://www.instagram.com/p/Cn56w2PpKIr/?igshid=OGQ2MjdiOTE=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investasijalanan/" TargetMode="External"/><Relationship Id="rId2" Type="http://schemas.openxmlformats.org/officeDocument/2006/relationships/hyperlink" Target="https://www.instagram.com/investasijalanan/" TargetMode="External"/><Relationship Id="rId1" Type="http://schemas.openxmlformats.org/officeDocument/2006/relationships/hyperlink" Target="http://parahita.wordpress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p/CjmGXsAJDaV/" TargetMode="External"/><Relationship Id="rId1" Type="http://schemas.openxmlformats.org/officeDocument/2006/relationships/hyperlink" Target="https://www.instagram.com/p/CjmGXsAJDaV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p/CjmGXsAJDaV/" TargetMode="External"/><Relationship Id="rId1" Type="http://schemas.openxmlformats.org/officeDocument/2006/relationships/hyperlink" Target="https://www.instagram.com/p/CjmGXsAJDa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FFF5-19C9-429C-B4FE-49F6FD68E313}">
  <dimension ref="B2:T98"/>
  <sheetViews>
    <sheetView showGridLines="0" tabSelected="1" zoomScaleNormal="100" workbookViewId="0">
      <selection activeCell="B79" sqref="B79"/>
    </sheetView>
  </sheetViews>
  <sheetFormatPr defaultRowHeight="14.4" x14ac:dyDescent="0.3"/>
  <cols>
    <col min="2" max="2" width="37" customWidth="1"/>
    <col min="3" max="7" width="16.33203125" bestFit="1" customWidth="1"/>
    <col min="8" max="8" width="17.44140625" bestFit="1" customWidth="1"/>
  </cols>
  <sheetData>
    <row r="2" spans="2:20" ht="36.6" x14ac:dyDescent="0.3">
      <c r="B2" s="193" t="s">
        <v>234</v>
      </c>
      <c r="C2" s="193"/>
      <c r="D2" s="193"/>
      <c r="E2" s="193"/>
      <c r="F2" s="193"/>
      <c r="G2" s="193"/>
    </row>
    <row r="3" spans="2:20" ht="21" x14ac:dyDescent="0.3">
      <c r="B3" s="196" t="s">
        <v>303</v>
      </c>
      <c r="C3" s="196"/>
      <c r="D3" s="196"/>
      <c r="E3" s="196"/>
      <c r="F3" s="196"/>
      <c r="G3" s="196"/>
    </row>
    <row r="4" spans="2:20" x14ac:dyDescent="0.3">
      <c r="B4" s="194" t="s">
        <v>215</v>
      </c>
      <c r="C4" s="194"/>
      <c r="D4" s="194"/>
      <c r="E4" s="194"/>
      <c r="F4" s="194"/>
      <c r="G4" s="194"/>
    </row>
    <row r="5" spans="2:20" ht="18" x14ac:dyDescent="0.35">
      <c r="B5" s="190" t="s">
        <v>0</v>
      </c>
      <c r="C5" s="191">
        <v>2022</v>
      </c>
      <c r="D5" s="191">
        <v>2021</v>
      </c>
      <c r="E5" s="191">
        <v>2020</v>
      </c>
      <c r="F5" s="191">
        <v>2019</v>
      </c>
      <c r="G5" s="191">
        <v>2018</v>
      </c>
    </row>
    <row r="6" spans="2:20" x14ac:dyDescent="0.3">
      <c r="B6" s="52" t="s">
        <v>1</v>
      </c>
      <c r="C6" s="2">
        <v>3865523</v>
      </c>
      <c r="D6" s="2">
        <v>4020980</v>
      </c>
      <c r="E6" s="2">
        <v>3335411</v>
      </c>
      <c r="F6" s="2">
        <v>3067434</v>
      </c>
      <c r="G6" s="2">
        <v>2763292</v>
      </c>
      <c r="H6" s="53"/>
      <c r="I6" s="53"/>
    </row>
    <row r="7" spans="2:20" x14ac:dyDescent="0.3">
      <c r="B7" s="54" t="s">
        <v>2</v>
      </c>
      <c r="C7" s="2">
        <v>1702910</v>
      </c>
      <c r="D7" s="2">
        <v>1734948</v>
      </c>
      <c r="E7" s="2">
        <v>1496628</v>
      </c>
      <c r="F7" s="2">
        <v>1386870</v>
      </c>
      <c r="G7" s="2">
        <v>1338901</v>
      </c>
      <c r="H7" s="53"/>
      <c r="I7" s="53"/>
    </row>
    <row r="8" spans="2:20" x14ac:dyDescent="0.3">
      <c r="B8" s="52" t="s">
        <v>3</v>
      </c>
      <c r="C8" s="2">
        <v>1393066</v>
      </c>
      <c r="D8" s="2">
        <v>1576692</v>
      </c>
      <c r="E8" s="2">
        <v>1151025</v>
      </c>
      <c r="F8" s="2">
        <v>1024244</v>
      </c>
      <c r="G8" s="2">
        <v>824331</v>
      </c>
      <c r="H8" s="53"/>
      <c r="I8" s="53"/>
    </row>
    <row r="9" spans="2:20" x14ac:dyDescent="0.3">
      <c r="B9" s="52" t="s">
        <v>4</v>
      </c>
      <c r="C9" s="2">
        <v>1104714</v>
      </c>
      <c r="D9" s="2">
        <v>1260898</v>
      </c>
      <c r="E9" s="2">
        <v>934016</v>
      </c>
      <c r="F9" s="2">
        <v>807689</v>
      </c>
      <c r="G9" s="2">
        <v>663849</v>
      </c>
      <c r="H9" s="53"/>
      <c r="I9" s="55">
        <f>IF(C9&gt;0,IF(C9&gt;D9,1,0),0)</f>
        <v>0</v>
      </c>
      <c r="J9" s="55">
        <f t="shared" ref="J9:L9" si="0">IF(D9&gt;0,IF(D9&gt;E9,1,0),0)</f>
        <v>1</v>
      </c>
      <c r="K9" s="55">
        <f t="shared" si="0"/>
        <v>1</v>
      </c>
      <c r="L9" s="55">
        <f t="shared" si="0"/>
        <v>1</v>
      </c>
      <c r="M9" s="55">
        <f>SUM(I9:L9)</f>
        <v>3</v>
      </c>
      <c r="N9" s="189"/>
      <c r="O9" s="189"/>
      <c r="P9" s="189"/>
      <c r="Q9" s="189"/>
      <c r="R9" s="189"/>
      <c r="S9" s="189"/>
      <c r="T9" s="189"/>
    </row>
    <row r="10" spans="2:20" x14ac:dyDescent="0.3">
      <c r="B10" s="54" t="s">
        <v>66</v>
      </c>
      <c r="C10" s="2">
        <v>1086000</v>
      </c>
      <c r="D10" s="2">
        <v>1018142</v>
      </c>
      <c r="E10" s="2">
        <v>773988</v>
      </c>
      <c r="F10" s="2">
        <v>640028</v>
      </c>
      <c r="G10" s="2">
        <v>654882</v>
      </c>
      <c r="H10" s="53"/>
      <c r="I10" s="56"/>
    </row>
    <row r="11" spans="2:20" x14ac:dyDescent="0.3">
      <c r="B11" s="52" t="s">
        <v>287</v>
      </c>
      <c r="C11" s="51">
        <f>C9/$C$30</f>
        <v>36.823799999999999</v>
      </c>
      <c r="D11" s="51">
        <f>D9/$C$30</f>
        <v>42.029933333333332</v>
      </c>
      <c r="E11" s="51">
        <f t="shared" ref="E11:G11" si="1">E9/$C$30</f>
        <v>31.133866666666666</v>
      </c>
      <c r="F11" s="51">
        <f t="shared" si="1"/>
        <v>26.922966666666667</v>
      </c>
      <c r="G11" s="51">
        <f t="shared" si="1"/>
        <v>22.128299999999999</v>
      </c>
      <c r="H11" s="53"/>
      <c r="I11" s="53"/>
    </row>
    <row r="12" spans="2:20" x14ac:dyDescent="0.3">
      <c r="B12" s="52" t="s">
        <v>288</v>
      </c>
      <c r="C12" s="42">
        <f>C10/$C$30</f>
        <v>36.200000000000003</v>
      </c>
      <c r="D12" s="42">
        <f>D10/$C$30</f>
        <v>33.938066666666664</v>
      </c>
      <c r="E12" s="42">
        <f t="shared" ref="E12:G12" si="2">E10/$C$30</f>
        <v>25.799600000000002</v>
      </c>
      <c r="F12" s="42">
        <f t="shared" si="2"/>
        <v>21.334266666666668</v>
      </c>
      <c r="G12" s="42">
        <f t="shared" si="2"/>
        <v>21.8294</v>
      </c>
      <c r="H12" s="53"/>
      <c r="I12" s="53"/>
    </row>
    <row r="13" spans="2:20" x14ac:dyDescent="0.3">
      <c r="B13" s="52" t="s">
        <v>67</v>
      </c>
      <c r="C13" s="2">
        <v>95428</v>
      </c>
      <c r="D13" s="2">
        <v>93944</v>
      </c>
      <c r="E13" s="2">
        <v>96876</v>
      </c>
      <c r="F13" s="2">
        <v>86994</v>
      </c>
      <c r="G13" s="2">
        <v>62001</v>
      </c>
      <c r="H13" s="53"/>
      <c r="I13" s="53"/>
    </row>
    <row r="14" spans="2:20" x14ac:dyDescent="0.3">
      <c r="B14" s="57"/>
      <c r="C14" s="58">
        <f>(C9/D9)-1</f>
        <v>-0.12386727554488941</v>
      </c>
      <c r="D14" s="58">
        <f>(D9/E9)-1</f>
        <v>0.34997473276689051</v>
      </c>
      <c r="E14" s="58">
        <f>(E9/F9)-1</f>
        <v>0.15640549766060952</v>
      </c>
      <c r="F14" s="58">
        <f>(F9/G9)-1</f>
        <v>0.21667578018495171</v>
      </c>
      <c r="G14" s="59"/>
      <c r="H14" s="60">
        <f>AVERAGE(C14:F14)</f>
        <v>0.14979718376689058</v>
      </c>
      <c r="I14" s="61">
        <f>STDEV(C14:G14)</f>
        <v>0.19956594890363441</v>
      </c>
    </row>
    <row r="15" spans="2:20" x14ac:dyDescent="0.3">
      <c r="B15" s="52" t="s">
        <v>5</v>
      </c>
      <c r="C15" s="2">
        <v>923047</v>
      </c>
      <c r="D15" s="2">
        <v>1082219</v>
      </c>
      <c r="E15" s="2">
        <v>1031954</v>
      </c>
      <c r="F15" s="2">
        <v>864824</v>
      </c>
      <c r="G15" s="2">
        <v>805833</v>
      </c>
      <c r="H15" s="53"/>
    </row>
    <row r="16" spans="2:20" x14ac:dyDescent="0.3">
      <c r="B16" s="52" t="s">
        <v>6</v>
      </c>
      <c r="C16" s="2">
        <f>339221+347441</f>
        <v>686662</v>
      </c>
      <c r="D16" s="2">
        <f>372981+291077</f>
        <v>664058</v>
      </c>
      <c r="E16" s="2">
        <f>296885+366872</f>
        <v>663757</v>
      </c>
      <c r="F16" s="2">
        <f>269281+260124</f>
        <v>529405</v>
      </c>
      <c r="G16" s="2">
        <f>229662+180189</f>
        <v>409851</v>
      </c>
      <c r="H16" s="53"/>
      <c r="I16" s="53"/>
    </row>
    <row r="17" spans="2:20" x14ac:dyDescent="0.3">
      <c r="B17" s="52" t="s">
        <v>7</v>
      </c>
      <c r="C17" s="2">
        <v>542624</v>
      </c>
      <c r="D17" s="2">
        <v>454810</v>
      </c>
      <c r="E17" s="2">
        <v>309478</v>
      </c>
      <c r="F17" s="2">
        <v>299244</v>
      </c>
      <c r="G17" s="2">
        <v>311193</v>
      </c>
      <c r="H17" s="53"/>
      <c r="I17" s="53"/>
    </row>
    <row r="18" spans="2:20" x14ac:dyDescent="0.3">
      <c r="B18" s="52" t="s">
        <v>8</v>
      </c>
      <c r="C18" s="2">
        <v>2194242</v>
      </c>
      <c r="D18" s="2">
        <v>2244707</v>
      </c>
      <c r="E18" s="2">
        <v>2052081</v>
      </c>
      <c r="F18" s="2">
        <v>1716235</v>
      </c>
      <c r="G18" s="2">
        <v>1543597</v>
      </c>
      <c r="H18" s="53"/>
      <c r="I18" s="53"/>
    </row>
    <row r="19" spans="2:20" x14ac:dyDescent="0.3">
      <c r="B19" s="52" t="s">
        <v>9</v>
      </c>
      <c r="C19" s="2">
        <v>1610837</v>
      </c>
      <c r="D19" s="2">
        <v>1588101</v>
      </c>
      <c r="E19" s="2">
        <v>1568264</v>
      </c>
      <c r="F19" s="2">
        <v>1585718</v>
      </c>
      <c r="G19" s="2">
        <v>1553362</v>
      </c>
      <c r="H19" s="53"/>
      <c r="I19" s="53"/>
    </row>
    <row r="20" spans="2:20" x14ac:dyDescent="0.3">
      <c r="B20" s="52" t="s">
        <v>226</v>
      </c>
      <c r="C20" s="2">
        <v>91366</v>
      </c>
      <c r="D20" s="2">
        <v>91366</v>
      </c>
      <c r="E20" s="2">
        <v>91366</v>
      </c>
      <c r="F20" s="2">
        <v>91366</v>
      </c>
      <c r="G20" s="2">
        <v>91366</v>
      </c>
      <c r="H20" s="53"/>
      <c r="I20" s="53"/>
    </row>
    <row r="21" spans="2:20" x14ac:dyDescent="0.3">
      <c r="B21" s="52" t="s">
        <v>227</v>
      </c>
      <c r="C21" s="62">
        <f>C22-C20</f>
        <v>3990076</v>
      </c>
      <c r="D21" s="62">
        <f>D22-D20</f>
        <v>3977604</v>
      </c>
      <c r="E21" s="62">
        <f t="shared" ref="E21:G21" si="3">E22-E20</f>
        <v>3758150</v>
      </c>
      <c r="F21" s="62">
        <f t="shared" si="3"/>
        <v>3438191</v>
      </c>
      <c r="G21" s="62">
        <f t="shared" si="3"/>
        <v>3246262</v>
      </c>
      <c r="H21" s="53"/>
      <c r="I21" s="53"/>
    </row>
    <row r="22" spans="2:20" x14ac:dyDescent="0.3">
      <c r="B22" s="52" t="s">
        <v>10</v>
      </c>
      <c r="C22" s="2">
        <v>4081442</v>
      </c>
      <c r="D22" s="2">
        <v>4068970</v>
      </c>
      <c r="E22" s="2">
        <v>3849516</v>
      </c>
      <c r="F22" s="2">
        <v>3529557</v>
      </c>
      <c r="G22" s="2">
        <v>3337628</v>
      </c>
      <c r="H22" s="53"/>
      <c r="I22" s="53"/>
    </row>
    <row r="23" spans="2:20" x14ac:dyDescent="0.3">
      <c r="B23" s="52" t="s">
        <v>11</v>
      </c>
      <c r="C23" s="2">
        <f>184185+25138</f>
        <v>209323</v>
      </c>
      <c r="D23" s="2">
        <f>174491+14177</f>
        <v>188668</v>
      </c>
      <c r="E23" s="2">
        <f>181931+21760</f>
        <v>203691</v>
      </c>
      <c r="F23" s="2">
        <f>134073+12724</f>
        <v>146797</v>
      </c>
      <c r="G23" s="2">
        <f>159048+22609</f>
        <v>181657</v>
      </c>
      <c r="H23" s="53"/>
      <c r="I23" s="53"/>
    </row>
    <row r="24" spans="2:20" x14ac:dyDescent="0.3">
      <c r="B24" s="52" t="s">
        <v>12</v>
      </c>
      <c r="C24" s="2">
        <v>541048</v>
      </c>
      <c r="D24" s="2">
        <v>543370</v>
      </c>
      <c r="E24" s="2">
        <v>560043</v>
      </c>
      <c r="F24" s="2">
        <v>408870</v>
      </c>
      <c r="G24" s="2">
        <v>368380</v>
      </c>
      <c r="H24" s="53"/>
      <c r="I24" s="53"/>
    </row>
    <row r="25" spans="2:20" x14ac:dyDescent="0.3">
      <c r="B25" s="52" t="s">
        <v>13</v>
      </c>
      <c r="C25" s="2">
        <v>0</v>
      </c>
      <c r="D25" s="2">
        <v>2385</v>
      </c>
      <c r="E25" s="2">
        <v>4216</v>
      </c>
      <c r="F25" s="2">
        <v>0</v>
      </c>
      <c r="G25" s="2">
        <v>0</v>
      </c>
      <c r="H25" s="53"/>
      <c r="I25" s="53"/>
    </row>
    <row r="26" spans="2:20" x14ac:dyDescent="0.3">
      <c r="B26" s="52" t="s">
        <v>14</v>
      </c>
      <c r="C26" s="2">
        <v>2385</v>
      </c>
      <c r="D26" s="2">
        <f>6285+2385</f>
        <v>8670</v>
      </c>
      <c r="E26" s="2">
        <f>2974+4216</f>
        <v>7190</v>
      </c>
      <c r="F26" s="2">
        <v>0</v>
      </c>
      <c r="G26" s="2">
        <v>0</v>
      </c>
      <c r="H26" s="53"/>
      <c r="I26" s="53"/>
    </row>
    <row r="27" spans="2:20" x14ac:dyDescent="0.3">
      <c r="B27" s="52" t="s">
        <v>15</v>
      </c>
      <c r="C27" s="2">
        <v>575967</v>
      </c>
      <c r="D27" s="2">
        <v>597785</v>
      </c>
      <c r="E27" s="2">
        <v>627776</v>
      </c>
      <c r="F27" s="2">
        <v>464850</v>
      </c>
      <c r="G27" s="2">
        <v>435014</v>
      </c>
      <c r="H27" s="53"/>
      <c r="I27" s="53"/>
    </row>
    <row r="28" spans="2:20" x14ac:dyDescent="0.3">
      <c r="B28" s="52" t="s">
        <v>16</v>
      </c>
      <c r="C28" s="2">
        <v>3505468</v>
      </c>
      <c r="D28" s="2">
        <v>3471178</v>
      </c>
      <c r="E28" s="2">
        <v>3221733</v>
      </c>
      <c r="F28" s="2">
        <v>3064700</v>
      </c>
      <c r="G28" s="2">
        <v>2902607</v>
      </c>
      <c r="H28" s="53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2:20" x14ac:dyDescent="0.3">
      <c r="B29" s="52" t="s">
        <v>17</v>
      </c>
      <c r="C29" s="2">
        <f>322984+1030686</f>
        <v>1353670</v>
      </c>
      <c r="D29" s="2">
        <f>322984+1000451</f>
        <v>1323435</v>
      </c>
      <c r="E29" s="2">
        <f>322984+750330</f>
        <v>1073314</v>
      </c>
      <c r="F29" s="2">
        <f>322984+594561</f>
        <v>917545</v>
      </c>
      <c r="G29" s="2">
        <f>322984+432468</f>
        <v>755452</v>
      </c>
      <c r="H29" s="53"/>
      <c r="I29" s="53"/>
    </row>
    <row r="30" spans="2:20" x14ac:dyDescent="0.3">
      <c r="B30" s="52" t="s">
        <v>18</v>
      </c>
      <c r="C30" s="2">
        <v>30000</v>
      </c>
      <c r="D30" s="2">
        <v>30000</v>
      </c>
      <c r="E30" s="2">
        <v>30000</v>
      </c>
      <c r="F30" s="2">
        <v>30000</v>
      </c>
      <c r="G30" s="2">
        <v>30000</v>
      </c>
      <c r="H30" s="53"/>
      <c r="I30" s="53"/>
    </row>
    <row r="31" spans="2:20" x14ac:dyDescent="0.3">
      <c r="B31" s="54" t="s">
        <v>19</v>
      </c>
      <c r="C31" s="2">
        <v>780</v>
      </c>
      <c r="D31" s="2">
        <v>862</v>
      </c>
      <c r="E31" s="2">
        <v>522</v>
      </c>
      <c r="F31" s="2">
        <v>154</v>
      </c>
      <c r="G31" s="2">
        <v>141</v>
      </c>
      <c r="H31" s="53"/>
      <c r="I31" s="53"/>
    </row>
    <row r="32" spans="2:20" x14ac:dyDescent="0.3">
      <c r="B32" s="57"/>
      <c r="C32" s="63"/>
      <c r="D32" s="63"/>
      <c r="E32" s="63"/>
      <c r="F32" s="63"/>
      <c r="G32" s="59"/>
      <c r="H32" s="53"/>
      <c r="I32" s="53"/>
    </row>
    <row r="33" spans="2:9" x14ac:dyDescent="0.3">
      <c r="B33" s="52" t="s">
        <v>20</v>
      </c>
      <c r="C33" s="2">
        <v>1107137</v>
      </c>
      <c r="D33" s="2">
        <v>1199317</v>
      </c>
      <c r="E33" s="2">
        <v>1035754</v>
      </c>
      <c r="F33" s="2">
        <v>836914</v>
      </c>
      <c r="G33" s="2">
        <v>846389</v>
      </c>
      <c r="H33" s="53"/>
      <c r="I33" s="53"/>
    </row>
    <row r="34" spans="2:9" x14ac:dyDescent="0.3">
      <c r="B34" s="54" t="s">
        <v>21</v>
      </c>
      <c r="C34" s="2">
        <f>115641+62762</f>
        <v>178403</v>
      </c>
      <c r="D34" s="2">
        <f>111002+11551</f>
        <v>122553</v>
      </c>
      <c r="E34" s="2">
        <f>93047+2092</f>
        <v>95139</v>
      </c>
      <c r="F34" s="2">
        <f>122790+14560</f>
        <v>137350</v>
      </c>
      <c r="G34" s="2">
        <f>114316+132638</f>
        <v>246954</v>
      </c>
      <c r="H34" s="53"/>
      <c r="I34" s="53"/>
    </row>
    <row r="35" spans="2:9" x14ac:dyDescent="0.3">
      <c r="B35" s="52" t="s">
        <v>22</v>
      </c>
      <c r="C35" s="2">
        <v>-6285</v>
      </c>
      <c r="D35" s="2">
        <v>-6375</v>
      </c>
      <c r="E35" s="2">
        <v>-2183</v>
      </c>
      <c r="F35" s="2">
        <v>0</v>
      </c>
      <c r="G35" s="2">
        <v>0</v>
      </c>
      <c r="H35" s="53"/>
      <c r="I35" s="53"/>
    </row>
    <row r="36" spans="2:9" x14ac:dyDescent="0.3">
      <c r="B36" s="64" t="s">
        <v>290</v>
      </c>
      <c r="C36" s="2">
        <v>755</v>
      </c>
      <c r="D36" s="2">
        <v>865</v>
      </c>
      <c r="E36" s="2">
        <v>805</v>
      </c>
      <c r="F36" s="2">
        <v>635</v>
      </c>
      <c r="G36" s="2">
        <v>420</v>
      </c>
    </row>
    <row r="38" spans="2:9" ht="18" x14ac:dyDescent="0.3">
      <c r="B38" s="195" t="s">
        <v>23</v>
      </c>
      <c r="C38" s="195"/>
      <c r="D38" s="195"/>
      <c r="E38" s="195"/>
      <c r="F38" s="195"/>
      <c r="G38" s="195"/>
    </row>
    <row r="39" spans="2:9" ht="18" x14ac:dyDescent="0.3">
      <c r="B39" s="65"/>
      <c r="C39" s="66"/>
      <c r="D39" s="66"/>
      <c r="E39" s="66"/>
      <c r="F39" s="66"/>
      <c r="G39" s="67"/>
    </row>
    <row r="40" spans="2:9" x14ac:dyDescent="0.3">
      <c r="B40" s="68" t="s">
        <v>24</v>
      </c>
      <c r="C40" s="69"/>
      <c r="D40" s="69"/>
      <c r="E40" s="69"/>
      <c r="F40" s="69"/>
      <c r="G40" s="70"/>
    </row>
    <row r="41" spans="2:9" x14ac:dyDescent="0.3">
      <c r="B41" s="64" t="s">
        <v>297</v>
      </c>
      <c r="C41" s="71">
        <f>(C6-C7)/C6</f>
        <v>0.5594619408550926</v>
      </c>
      <c r="D41" s="71">
        <f>(D6-D7)/D6</f>
        <v>0.56852608070669342</v>
      </c>
      <c r="E41" s="71">
        <f>(E6-E7)/E6</f>
        <v>0.55129128014508555</v>
      </c>
      <c r="F41" s="71">
        <f>(F6-F7)/F6</f>
        <v>0.5478729126690256</v>
      </c>
      <c r="G41" s="71">
        <f>(G6-G7)/G6</f>
        <v>0.51546886829187799</v>
      </c>
    </row>
    <row r="42" spans="2:9" x14ac:dyDescent="0.3">
      <c r="B42" s="64" t="s">
        <v>298</v>
      </c>
      <c r="C42" s="71">
        <f>C8/C6</f>
        <v>0.3603822820353158</v>
      </c>
      <c r="D42" s="71">
        <f>D8/D6</f>
        <v>0.3921163497455844</v>
      </c>
      <c r="E42" s="71">
        <f>E8/E6</f>
        <v>0.34509240390464624</v>
      </c>
      <c r="F42" s="71">
        <f>F8/F6</f>
        <v>0.33390905884201583</v>
      </c>
      <c r="G42" s="71">
        <f>G8/G6</f>
        <v>0.29831483607233689</v>
      </c>
    </row>
    <row r="43" spans="2:9" x14ac:dyDescent="0.3">
      <c r="B43" s="64" t="s">
        <v>299</v>
      </c>
      <c r="C43" s="71">
        <f>C9/C6</f>
        <v>0.28578642527802833</v>
      </c>
      <c r="D43" s="71">
        <f>D9/D6</f>
        <v>0.31357977408492455</v>
      </c>
      <c r="E43" s="71">
        <f>E9/E6</f>
        <v>0.28003025714072416</v>
      </c>
      <c r="F43" s="71">
        <f>F9/F6</f>
        <v>0.26331096284386235</v>
      </c>
      <c r="G43" s="71">
        <f>G9/G6</f>
        <v>0.24023845471271224</v>
      </c>
    </row>
    <row r="44" spans="2:9" x14ac:dyDescent="0.3">
      <c r="B44" s="64" t="s">
        <v>26</v>
      </c>
      <c r="C44" s="71">
        <f>C9/(AVERAGE(C28:D28))</f>
        <v>0.31668913687178624</v>
      </c>
      <c r="D44" s="71">
        <f>D9/(AVERAGE(D28:E28))</f>
        <v>0.37678612490140689</v>
      </c>
      <c r="E44" s="71">
        <f>E9/(AVERAGE(E28:F28))</f>
        <v>0.29715293235448464</v>
      </c>
      <c r="F44" s="71">
        <f>F9/(AVERAGE(F28:G28))</f>
        <v>0.27070469141272602</v>
      </c>
      <c r="G44" s="64"/>
    </row>
    <row r="45" spans="2:9" x14ac:dyDescent="0.3">
      <c r="B45" s="64" t="s">
        <v>27</v>
      </c>
      <c r="C45" s="71">
        <f>C9/AVERAGE(C22:D22)</f>
        <v>0.2710817563578381</v>
      </c>
      <c r="D45" s="71">
        <f t="shared" ref="D45:F45" si="4">D9/AVERAGE(D22:E22)</f>
        <v>0.31846946499621265</v>
      </c>
      <c r="E45" s="71">
        <f t="shared" si="4"/>
        <v>0.25315266565326022</v>
      </c>
      <c r="F45" s="71">
        <f t="shared" si="4"/>
        <v>0.23523146675093215</v>
      </c>
      <c r="G45" s="64"/>
    </row>
    <row r="46" spans="2:9" x14ac:dyDescent="0.3">
      <c r="B46" s="64" t="s">
        <v>300</v>
      </c>
      <c r="C46" s="71">
        <f>C77/(C28+C26)</f>
        <v>0.2647585289349354</v>
      </c>
      <c r="D46" s="71">
        <f t="shared" ref="D46:F46" si="5">D77/(D28+D26)</f>
        <v>0.30942845779470829</v>
      </c>
      <c r="E46" s="71">
        <f t="shared" si="5"/>
        <v>0.29130920743542044</v>
      </c>
      <c r="F46" s="71">
        <f t="shared" si="5"/>
        <v>0.22826508304238588</v>
      </c>
      <c r="G46" s="64"/>
    </row>
    <row r="47" spans="2:9" x14ac:dyDescent="0.3">
      <c r="B47" s="72"/>
      <c r="G47" s="73"/>
    </row>
    <row r="48" spans="2:9" x14ac:dyDescent="0.3">
      <c r="B48" s="68" t="s">
        <v>28</v>
      </c>
      <c r="C48" s="69"/>
      <c r="D48" s="69"/>
      <c r="E48" s="69"/>
      <c r="F48" s="69"/>
      <c r="G48" s="70"/>
    </row>
    <row r="49" spans="2:7" x14ac:dyDescent="0.3">
      <c r="B49" s="64" t="s">
        <v>29</v>
      </c>
      <c r="C49" s="74">
        <f>C18/C24</f>
        <v>4.0555403587112417</v>
      </c>
      <c r="D49" s="74">
        <f>D18/D24</f>
        <v>4.1310837918913448</v>
      </c>
      <c r="E49" s="74">
        <f>E18/E24</f>
        <v>3.6641490028444244</v>
      </c>
      <c r="F49" s="74">
        <f>F18/F24</f>
        <v>4.1975077653043753</v>
      </c>
      <c r="G49" s="74">
        <f>G18/G24</f>
        <v>4.1902301970791029</v>
      </c>
    </row>
    <row r="50" spans="2:7" x14ac:dyDescent="0.3">
      <c r="B50" s="64" t="s">
        <v>30</v>
      </c>
      <c r="C50" s="74">
        <f>C15/C24</f>
        <v>1.7060353240377932</v>
      </c>
      <c r="D50" s="74">
        <f>D15/D24</f>
        <v>1.9916797025967572</v>
      </c>
      <c r="E50" s="74">
        <f>E15/E24</f>
        <v>1.8426335120696089</v>
      </c>
      <c r="F50" s="74">
        <f>F15/F24</f>
        <v>2.1151564066818302</v>
      </c>
      <c r="G50" s="74">
        <f>G15/G24</f>
        <v>2.1875047505293446</v>
      </c>
    </row>
    <row r="51" spans="2:7" x14ac:dyDescent="0.3">
      <c r="B51" s="64" t="s">
        <v>31</v>
      </c>
      <c r="C51" s="74">
        <f>(C18-C17)/C24</f>
        <v>3.0526274933092812</v>
      </c>
      <c r="D51" s="74">
        <f>(D18-D17)/D24</f>
        <v>3.2940666580782891</v>
      </c>
      <c r="E51" s="74">
        <f>(E18-E17)/E24</f>
        <v>3.1115521486742983</v>
      </c>
      <c r="F51" s="74">
        <f>(F18-F17)/F24</f>
        <v>3.4656272164746742</v>
      </c>
      <c r="G51" s="74">
        <f>(G18-G17)/G24</f>
        <v>3.345469352299256</v>
      </c>
    </row>
    <row r="52" spans="2:7" x14ac:dyDescent="0.3">
      <c r="B52" s="75"/>
      <c r="C52" s="76"/>
      <c r="D52" s="76"/>
      <c r="E52" s="76"/>
      <c r="F52" s="76"/>
      <c r="G52" s="77"/>
    </row>
    <row r="53" spans="2:7" x14ac:dyDescent="0.3">
      <c r="B53" s="68" t="s">
        <v>32</v>
      </c>
      <c r="C53" s="69"/>
      <c r="D53" s="69"/>
      <c r="E53" s="69"/>
      <c r="F53" s="69"/>
      <c r="G53" s="70"/>
    </row>
    <row r="54" spans="2:7" x14ac:dyDescent="0.3">
      <c r="B54" s="64" t="s">
        <v>33</v>
      </c>
      <c r="C54" s="74">
        <f>C26/C28</f>
        <v>6.8036564589949193E-4</v>
      </c>
      <c r="D54" s="74">
        <f>D26/D28</f>
        <v>2.4977111516609057E-3</v>
      </c>
      <c r="E54" s="74">
        <f>E26/E28</f>
        <v>2.2317181467241386E-3</v>
      </c>
      <c r="F54" s="74">
        <f>F26/F28</f>
        <v>0</v>
      </c>
      <c r="G54" s="74">
        <f>G26/G28</f>
        <v>0</v>
      </c>
    </row>
    <row r="55" spans="2:7" x14ac:dyDescent="0.3">
      <c r="B55" s="64" t="s">
        <v>34</v>
      </c>
      <c r="C55" s="74">
        <f>C25/C28</f>
        <v>0</v>
      </c>
      <c r="D55" s="74">
        <f>D25/D28</f>
        <v>6.8708663168526654E-4</v>
      </c>
      <c r="E55" s="74">
        <f>E25/E28</f>
        <v>1.3086124765770472E-3</v>
      </c>
      <c r="F55" s="74">
        <f>F25/F28</f>
        <v>0</v>
      </c>
      <c r="G55" s="74">
        <f>G25/G28</f>
        <v>0</v>
      </c>
    </row>
    <row r="56" spans="2:7" x14ac:dyDescent="0.3">
      <c r="B56" s="64" t="s">
        <v>289</v>
      </c>
      <c r="C56" s="74">
        <f>C8/C31</f>
        <v>1785.9820512820513</v>
      </c>
      <c r="D56" s="74">
        <f>D8/D31</f>
        <v>1829.109048723898</v>
      </c>
      <c r="E56" s="74">
        <f>E8/E31</f>
        <v>2205.0287356321837</v>
      </c>
      <c r="F56" s="74">
        <f>F8/F31</f>
        <v>6650.9350649350654</v>
      </c>
      <c r="G56" s="74">
        <f>G8/G31</f>
        <v>5846.3191489361698</v>
      </c>
    </row>
    <row r="57" spans="2:7" x14ac:dyDescent="0.3">
      <c r="B57" s="78" t="s">
        <v>187</v>
      </c>
      <c r="C57" s="74">
        <f>ABS((C8-D8)/D8)/ABS((C6-D6)/D6)</f>
        <v>3.0123743456796803</v>
      </c>
      <c r="D57" s="74">
        <f>ABS((D8-E8)/E8)/ABS((D6-E6)/E6)</f>
        <v>1.799216442608699</v>
      </c>
      <c r="E57" s="74">
        <f>ABS((E8-F8)/F8)/ABS((E6-F6)/F6)</f>
        <v>1.4168649292968902</v>
      </c>
      <c r="F57" s="74">
        <f>ABS((F8-G8)/G8)/ABS((F6-G6)/G6)</f>
        <v>2.2033819446747986</v>
      </c>
      <c r="G57" s="74"/>
    </row>
    <row r="58" spans="2:7" x14ac:dyDescent="0.3">
      <c r="B58" s="75"/>
      <c r="C58" s="76"/>
      <c r="D58" s="76"/>
      <c r="E58" s="76"/>
      <c r="F58" s="76"/>
      <c r="G58" s="77"/>
    </row>
    <row r="59" spans="2:7" x14ac:dyDescent="0.3">
      <c r="B59" s="68" t="s">
        <v>36</v>
      </c>
      <c r="C59" s="69"/>
      <c r="D59" s="69"/>
      <c r="E59" s="69"/>
      <c r="F59" s="69"/>
      <c r="G59" s="73"/>
    </row>
    <row r="60" spans="2:7" x14ac:dyDescent="0.3">
      <c r="B60" s="64" t="s">
        <v>37</v>
      </c>
      <c r="C60" s="74">
        <f>AVERAGE(C17:D17)/C7*365</f>
        <v>106.8944953050954</v>
      </c>
      <c r="D60" s="74">
        <f t="shared" ref="D60:F60" si="6">AVERAGE(D17:E17)/D7*365</f>
        <v>80.395815897652255</v>
      </c>
      <c r="E60" s="74">
        <f t="shared" si="6"/>
        <v>74.228041303516974</v>
      </c>
      <c r="F60" s="74">
        <f t="shared" si="6"/>
        <v>80.328186852408663</v>
      </c>
      <c r="G60" s="79"/>
    </row>
    <row r="61" spans="2:7" x14ac:dyDescent="0.3">
      <c r="B61" s="64" t="s">
        <v>38</v>
      </c>
      <c r="C61" s="74">
        <f>AVERAGE(C16:D16)/C6*365</f>
        <v>63.77051695203987</v>
      </c>
      <c r="D61" s="74">
        <f t="shared" ref="D61:F61" si="7">AVERAGE(D16:E16)/D6*365</f>
        <v>60.26546700058195</v>
      </c>
      <c r="E61" s="74">
        <f t="shared" si="7"/>
        <v>65.284927404748615</v>
      </c>
      <c r="F61" s="74">
        <f t="shared" si="7"/>
        <v>55.881958666429334</v>
      </c>
      <c r="G61" s="79"/>
    </row>
    <row r="62" spans="2:7" x14ac:dyDescent="0.3">
      <c r="B62" s="64" t="s">
        <v>39</v>
      </c>
      <c r="C62" s="74">
        <f>AVERAGE(C23:D23)/C7*365</f>
        <v>42.652493378980687</v>
      </c>
      <c r="D62" s="74">
        <f t="shared" ref="D62:F62" si="8">AVERAGE(D23:E23)/D7*365</f>
        <v>41.272428626102915</v>
      </c>
      <c r="E62" s="74">
        <f t="shared" si="8"/>
        <v>42.73878345186646</v>
      </c>
      <c r="F62" s="74">
        <f t="shared" si="8"/>
        <v>43.221682637882424</v>
      </c>
      <c r="G62" s="79"/>
    </row>
    <row r="63" spans="2:7" x14ac:dyDescent="0.3">
      <c r="B63" s="78" t="s">
        <v>40</v>
      </c>
      <c r="C63" s="74">
        <f>C60+C61-C62</f>
        <v>128.01251887815459</v>
      </c>
      <c r="D63" s="74">
        <f>D60+D61-D62</f>
        <v>99.388854272131312</v>
      </c>
      <c r="E63" s="74">
        <f>E60+E61-E62</f>
        <v>96.774185256399136</v>
      </c>
      <c r="F63" s="74">
        <f>F60+F61-F62</f>
        <v>92.988462880955581</v>
      </c>
      <c r="G63" s="79"/>
    </row>
    <row r="64" spans="2:7" x14ac:dyDescent="0.3">
      <c r="B64" s="64" t="s">
        <v>111</v>
      </c>
      <c r="C64" s="74">
        <f>C6/AVERAGE(C22:D22)</f>
        <v>0.94854665015707185</v>
      </c>
      <c r="D64" s="74">
        <f t="shared" ref="D64:F64" si="9">D6/AVERAGE(D22:E22)</f>
        <v>1.0155931323235274</v>
      </c>
      <c r="E64" s="74">
        <f t="shared" si="9"/>
        <v>0.90401897365698913</v>
      </c>
      <c r="F64" s="74">
        <f t="shared" si="9"/>
        <v>0.89335994297517829</v>
      </c>
      <c r="G64" s="79"/>
    </row>
    <row r="65" spans="2:9" x14ac:dyDescent="0.3">
      <c r="B65" s="64" t="s">
        <v>112</v>
      </c>
      <c r="C65" s="74">
        <f>C7/AVERAGE(C17:D17)</f>
        <v>3.4145818169422739</v>
      </c>
      <c r="D65" s="74">
        <f t="shared" ref="D65:F65" si="10">D7/AVERAGE(D17:E17)</f>
        <v>4.5400372634399595</v>
      </c>
      <c r="E65" s="74">
        <f t="shared" si="10"/>
        <v>4.9172791520595611</v>
      </c>
      <c r="F65" s="74">
        <f t="shared" si="10"/>
        <v>4.5438595629032967</v>
      </c>
      <c r="G65" s="79"/>
    </row>
    <row r="66" spans="2:9" x14ac:dyDescent="0.3">
      <c r="B66" s="64" t="s">
        <v>113</v>
      </c>
      <c r="C66" s="74">
        <f>C6/AVERAGE(C16:D16)</f>
        <v>5.7236481284055909</v>
      </c>
      <c r="D66" s="74">
        <f t="shared" ref="D66:F66" si="11">D6/AVERAGE(D16:E16)</f>
        <v>6.0565364903996413</v>
      </c>
      <c r="E66" s="74">
        <f t="shared" si="11"/>
        <v>5.5908770141858355</v>
      </c>
      <c r="F66" s="74">
        <f t="shared" si="11"/>
        <v>6.5316250308755013</v>
      </c>
      <c r="G66" s="79"/>
    </row>
    <row r="67" spans="2:9" x14ac:dyDescent="0.3">
      <c r="B67" s="72"/>
      <c r="G67" s="73"/>
    </row>
    <row r="68" spans="2:9" x14ac:dyDescent="0.3">
      <c r="B68" s="68" t="s">
        <v>41</v>
      </c>
      <c r="C68" s="69"/>
      <c r="D68" s="69"/>
      <c r="E68" s="69"/>
      <c r="F68" s="69"/>
      <c r="G68" s="70"/>
    </row>
    <row r="69" spans="2:9" x14ac:dyDescent="0.3">
      <c r="B69" s="78" t="s">
        <v>42</v>
      </c>
      <c r="C69" s="74">
        <f>C36/(C6/$C$30)</f>
        <v>5.8594917169035083</v>
      </c>
      <c r="D69" s="74">
        <f t="shared" ref="D69:G69" si="12">D36/(D6/$C$30)</f>
        <v>6.453650602589418</v>
      </c>
      <c r="E69" s="74">
        <f t="shared" si="12"/>
        <v>7.2404870044501255</v>
      </c>
      <c r="F69" s="74">
        <f t="shared" si="12"/>
        <v>6.2104025710088626</v>
      </c>
      <c r="G69" s="74">
        <f t="shared" si="12"/>
        <v>4.5597786987404874</v>
      </c>
    </row>
    <row r="70" spans="2:9" x14ac:dyDescent="0.3">
      <c r="B70" s="78" t="s">
        <v>43</v>
      </c>
      <c r="C70" s="74">
        <f>C36/C11</f>
        <v>20.503044226831562</v>
      </c>
      <c r="D70" s="74">
        <f>D36/D11</f>
        <v>20.580570355413364</v>
      </c>
      <c r="E70" s="74">
        <f>E36/E11</f>
        <v>25.856088118404823</v>
      </c>
      <c r="F70" s="74">
        <f>F36/F11</f>
        <v>23.585810875225487</v>
      </c>
      <c r="G70" s="74">
        <f>G36/G11</f>
        <v>18.980219899404837</v>
      </c>
      <c r="H70" s="80">
        <f>AVERAGE(C70:G70)</f>
        <v>21.901146695056013</v>
      </c>
      <c r="I70" s="1" t="s">
        <v>44</v>
      </c>
    </row>
    <row r="71" spans="2:9" x14ac:dyDescent="0.3">
      <c r="B71" s="64" t="s">
        <v>45</v>
      </c>
      <c r="C71" s="71">
        <f>C12/C11</f>
        <v>0.98305986888914243</v>
      </c>
      <c r="D71" s="71">
        <f>D12/D11</f>
        <v>0.80747372110987559</v>
      </c>
      <c r="E71" s="71">
        <f>E12/E11</f>
        <v>0.82866674660819517</v>
      </c>
      <c r="F71" s="71">
        <f>F12/F11</f>
        <v>0.79241886419153906</v>
      </c>
      <c r="G71" s="71">
        <f>G12/G11</f>
        <v>0.98649241017159028</v>
      </c>
      <c r="H71" s="81">
        <f>AVERAGE(C71:G71)</f>
        <v>0.87962232219406855</v>
      </c>
      <c r="I71" s="1" t="s">
        <v>44</v>
      </c>
    </row>
    <row r="72" spans="2:9" x14ac:dyDescent="0.3">
      <c r="B72" s="64" t="s">
        <v>46</v>
      </c>
      <c r="C72" s="71">
        <f>C12/C36</f>
        <v>4.7947019867549671E-2</v>
      </c>
      <c r="D72" s="71">
        <f>D12/D36</f>
        <v>3.9234759152215797E-2</v>
      </c>
      <c r="E72" s="71">
        <f>E12/E36</f>
        <v>3.2049192546583852E-2</v>
      </c>
      <c r="F72" s="71">
        <f>F12/F36</f>
        <v>3.3597270341207353E-2</v>
      </c>
      <c r="G72" s="71">
        <f>G12/G36</f>
        <v>5.1974761904761906E-2</v>
      </c>
    </row>
    <row r="73" spans="2:9" x14ac:dyDescent="0.3">
      <c r="B73" s="78" t="s">
        <v>47</v>
      </c>
      <c r="C73" s="74">
        <f>C36/(C28/$C$30)</f>
        <v>6.4613341214354261</v>
      </c>
      <c r="D73" s="74">
        <f t="shared" ref="D73:G73" si="13">D36/(D28/$C$30)</f>
        <v>7.4758482567013269</v>
      </c>
      <c r="E73" s="74">
        <f t="shared" si="13"/>
        <v>7.4959656805824695</v>
      </c>
      <c r="F73" s="74">
        <f t="shared" si="13"/>
        <v>6.2159428329037096</v>
      </c>
      <c r="G73" s="74">
        <f t="shared" si="13"/>
        <v>4.3409252440995285</v>
      </c>
    </row>
    <row r="74" spans="2:9" x14ac:dyDescent="0.3">
      <c r="B74" s="78" t="s">
        <v>292</v>
      </c>
      <c r="C74" s="74">
        <f>C70/($H$14*100)</f>
        <v>1.3687202730551811</v>
      </c>
      <c r="D74" s="74">
        <f>D70/($H$14*100)</f>
        <v>1.3738956793366801</v>
      </c>
      <c r="E74" s="74">
        <f>E70/($H$14*100)</f>
        <v>1.7260730454479847</v>
      </c>
      <c r="F74" s="74">
        <f>F70/($H$14*100)</f>
        <v>1.5745163081255882</v>
      </c>
      <c r="G74" s="64"/>
    </row>
    <row r="75" spans="2:9" x14ac:dyDescent="0.3">
      <c r="B75" s="75"/>
      <c r="C75" s="76"/>
      <c r="D75" s="76"/>
      <c r="E75" s="76"/>
      <c r="F75" s="76"/>
      <c r="G75" s="77"/>
    </row>
    <row r="76" spans="2:9" x14ac:dyDescent="0.3">
      <c r="B76" s="68" t="s">
        <v>49</v>
      </c>
      <c r="C76" s="69"/>
      <c r="D76" s="69"/>
      <c r="E76" s="69"/>
      <c r="F76" s="69"/>
      <c r="G76" s="70"/>
    </row>
    <row r="77" spans="2:9" x14ac:dyDescent="0.3">
      <c r="B77" s="64" t="s">
        <v>50</v>
      </c>
      <c r="C77" s="62">
        <f>C33-C34</f>
        <v>928734</v>
      </c>
      <c r="D77" s="62">
        <f t="shared" ref="D77:G77" si="14">D33-D34</f>
        <v>1076764</v>
      </c>
      <c r="E77" s="62">
        <f t="shared" si="14"/>
        <v>940615</v>
      </c>
      <c r="F77" s="62">
        <f t="shared" si="14"/>
        <v>699564</v>
      </c>
      <c r="G77" s="62">
        <f t="shared" si="14"/>
        <v>599435</v>
      </c>
    </row>
    <row r="78" spans="2:9" x14ac:dyDescent="0.3">
      <c r="B78" s="64" t="s">
        <v>51</v>
      </c>
      <c r="C78" s="62">
        <f>C18-C24</f>
        <v>1653194</v>
      </c>
      <c r="D78" s="62">
        <f t="shared" ref="D78:G78" si="15">D18-D24</f>
        <v>1701337</v>
      </c>
      <c r="E78" s="62">
        <f t="shared" si="15"/>
        <v>1492038</v>
      </c>
      <c r="F78" s="62">
        <f t="shared" si="15"/>
        <v>1307365</v>
      </c>
      <c r="G78" s="62">
        <f t="shared" si="15"/>
        <v>1175217</v>
      </c>
    </row>
    <row r="79" spans="2:9" x14ac:dyDescent="0.3">
      <c r="B79" s="64" t="s">
        <v>52</v>
      </c>
      <c r="C79" s="82">
        <f>(C8/$C$30)/(C36+(C27/$C$30))</f>
        <v>5.997881595199029E-2</v>
      </c>
      <c r="D79" s="82">
        <f t="shared" ref="D79:G79" si="16">(D8/$C$30)/(D36+(D27/$C$30))</f>
        <v>5.9390717530671579E-2</v>
      </c>
      <c r="E79" s="82">
        <f t="shared" si="16"/>
        <v>4.6453927099833335E-2</v>
      </c>
      <c r="F79" s="82">
        <f t="shared" si="16"/>
        <v>5.2485363710200177E-2</v>
      </c>
      <c r="G79" s="82">
        <f t="shared" si="16"/>
        <v>6.3239747958843767E-2</v>
      </c>
    </row>
    <row r="80" spans="2:9" x14ac:dyDescent="0.3">
      <c r="B80" s="64" t="s">
        <v>53</v>
      </c>
      <c r="C80" s="82">
        <f>(C8/$C$30)/((C78+C19)/$C$30)</f>
        <v>0.42679312788389567</v>
      </c>
      <c r="D80" s="82">
        <f t="shared" ref="D80:G80" si="17">(D8/$C$30)/((D78+D19)/$C$30)</f>
        <v>0.47931956765866995</v>
      </c>
      <c r="E80" s="82">
        <f t="shared" si="17"/>
        <v>0.37611484095360526</v>
      </c>
      <c r="F80" s="82">
        <f t="shared" si="17"/>
        <v>0.35403201359933334</v>
      </c>
      <c r="G80" s="82">
        <f t="shared" si="17"/>
        <v>0.30210999938062993</v>
      </c>
    </row>
    <row r="81" spans="2:9" x14ac:dyDescent="0.3">
      <c r="B81" s="64" t="s">
        <v>54</v>
      </c>
      <c r="C81" s="74">
        <f>C36/(C77/$C$30)</f>
        <v>24.388037909670583</v>
      </c>
      <c r="D81" s="74">
        <f t="shared" ref="D81:G81" si="18">D36/(D77/$C$30)</f>
        <v>24.09998848401321</v>
      </c>
      <c r="E81" s="74">
        <f t="shared" si="18"/>
        <v>25.674691558182676</v>
      </c>
      <c r="F81" s="74">
        <f t="shared" si="18"/>
        <v>27.23124689092063</v>
      </c>
      <c r="G81" s="74">
        <f t="shared" si="18"/>
        <v>21.019793639010068</v>
      </c>
    </row>
    <row r="82" spans="2:9" x14ac:dyDescent="0.3">
      <c r="B82" s="64" t="s">
        <v>55</v>
      </c>
      <c r="C82" s="51">
        <f>(((C18-C24)/C22)*1.2)+((C29/C22)*1.4)+((C8/C22)*3.3)+(((C36*$C$30)/C27)*0.6)+((C6/C22)*0.999)</f>
        <v>26.617990790717077</v>
      </c>
      <c r="D82" s="51">
        <f t="shared" ref="D82:G82" si="19">(((D18-D24)/D22)*1.2)+((D29/D22)*1.4)+((D8/D22)*3.3)+(((D36*$C$30)/D27)*0.6)+((D6/D22)*0.999)</f>
        <v>29.269194442767791</v>
      </c>
      <c r="E82" s="51">
        <f t="shared" si="19"/>
        <v>25.789235537379849</v>
      </c>
      <c r="F82" s="51">
        <f t="shared" si="19"/>
        <v>27.222837510854788</v>
      </c>
      <c r="G82" s="51">
        <f t="shared" si="19"/>
        <v>19.760296907392419</v>
      </c>
    </row>
    <row r="83" spans="2:9" x14ac:dyDescent="0.3">
      <c r="B83" s="76"/>
      <c r="C83" s="83"/>
      <c r="D83" s="83"/>
      <c r="E83" s="83"/>
      <c r="F83" s="83"/>
      <c r="G83" s="83"/>
    </row>
    <row r="84" spans="2:9" x14ac:dyDescent="0.3">
      <c r="B84" s="84" t="s">
        <v>56</v>
      </c>
      <c r="C84" s="85"/>
      <c r="D84" s="85"/>
      <c r="E84" s="85"/>
      <c r="F84" s="85"/>
      <c r="G84" s="85"/>
    </row>
    <row r="85" spans="2:9" ht="28.8" x14ac:dyDescent="0.3">
      <c r="B85" s="86"/>
      <c r="C85" s="192" t="s">
        <v>57</v>
      </c>
      <c r="D85" s="192" t="s">
        <v>301</v>
      </c>
      <c r="E85" s="87"/>
      <c r="F85" s="87"/>
      <c r="G85" s="87"/>
      <c r="H85" s="87"/>
      <c r="I85" s="87"/>
    </row>
    <row r="86" spans="2:9" x14ac:dyDescent="0.3">
      <c r="B86" s="88" t="s">
        <v>1</v>
      </c>
      <c r="C86" s="89">
        <f>IF(G6&lt;&gt;"",RATE(4,0,-G6,C6),"N/A")</f>
        <v>8.7540328325978342E-2</v>
      </c>
      <c r="D86" s="89">
        <f>IF(C86&lt;&gt;"N/A",INDEX(LOGEST(C6:G6,$C$5:$G$5,,TRUE),3),"N/A")</f>
        <v>0.90238794712921389</v>
      </c>
    </row>
    <row r="87" spans="2:9" x14ac:dyDescent="0.3">
      <c r="B87" s="88" t="s">
        <v>58</v>
      </c>
      <c r="C87" s="89">
        <f>IF(G8&gt;0,RATE(4,0,-G8,C8),"N/A")</f>
        <v>0.14016450090246571</v>
      </c>
      <c r="D87" s="89">
        <f>IF(C87&lt;&gt;"N/A",INDEX(LOGEST(C8:G8,$C$5:$G$5,,TRUE),3),"N/A")</f>
        <v>0.84362460482706669</v>
      </c>
      <c r="E87" s="85"/>
      <c r="F87" s="85"/>
      <c r="G87" s="85"/>
    </row>
    <row r="88" spans="2:9" x14ac:dyDescent="0.3">
      <c r="B88" s="88" t="s">
        <v>59</v>
      </c>
      <c r="C88" s="89">
        <f>IF(G9&gt;0,RATE(4,0,-G9,C9),"N/A")</f>
        <v>0.13578240917836032</v>
      </c>
      <c r="D88" s="89">
        <f>IF(C88&lt;&gt;"N/A",INDEX(LOGEST(C9:G9,$C$5:$G$5,,TRUE),3),"N/A")</f>
        <v>0.83768538664504344</v>
      </c>
      <c r="E88" s="85"/>
      <c r="F88" s="85"/>
      <c r="G88" s="85"/>
    </row>
    <row r="89" spans="2:9" x14ac:dyDescent="0.3">
      <c r="B89" s="76"/>
      <c r="D89" s="85"/>
      <c r="E89" s="85"/>
      <c r="F89" s="85"/>
      <c r="G89" s="85"/>
    </row>
    <row r="90" spans="2:9" x14ac:dyDescent="0.3">
      <c r="B90" s="93" t="s">
        <v>60</v>
      </c>
      <c r="C90" s="69"/>
      <c r="D90" s="69"/>
      <c r="E90" s="69"/>
      <c r="F90" s="69"/>
      <c r="G90" s="69"/>
    </row>
    <row r="91" spans="2:9" x14ac:dyDescent="0.3">
      <c r="B91" s="64" t="s">
        <v>61</v>
      </c>
      <c r="C91" s="71">
        <f>C9/C6</f>
        <v>0.28578642527802833</v>
      </c>
      <c r="D91" s="71">
        <f>D9/D6</f>
        <v>0.31357977408492455</v>
      </c>
      <c r="E91" s="71">
        <f>E9/E6</f>
        <v>0.28003025714072416</v>
      </c>
      <c r="F91" s="71">
        <f>F9/F6</f>
        <v>0.26331096284386235</v>
      </c>
      <c r="G91" s="71">
        <f>G9/G6</f>
        <v>0.24023845471271224</v>
      </c>
    </row>
    <row r="92" spans="2:9" x14ac:dyDescent="0.3">
      <c r="B92" s="64" t="s">
        <v>62</v>
      </c>
      <c r="C92" s="51">
        <f>C6/C22</f>
        <v>0.94709737391833571</v>
      </c>
      <c r="D92" s="51">
        <f>D6/D22</f>
        <v>0.98820586045117065</v>
      </c>
      <c r="E92" s="51">
        <f>E6/E22</f>
        <v>0.86644944455354911</v>
      </c>
      <c r="F92" s="74">
        <f>F6/F22</f>
        <v>0.86907053774737164</v>
      </c>
      <c r="G92" s="74">
        <f>G6/G22</f>
        <v>0.82792090670380281</v>
      </c>
    </row>
    <row r="93" spans="2:9" x14ac:dyDescent="0.3">
      <c r="B93" s="64" t="s">
        <v>63</v>
      </c>
      <c r="C93" s="51">
        <f>C22/C28</f>
        <v>1.164307305044576</v>
      </c>
      <c r="D93" s="51">
        <f>D22/D28</f>
        <v>1.1722158875171484</v>
      </c>
      <c r="E93" s="51">
        <f>E22/E28</f>
        <v>1.1948587918365674</v>
      </c>
      <c r="F93" s="51">
        <f>F22/F28</f>
        <v>1.1516810780826834</v>
      </c>
      <c r="G93" s="51">
        <f>G22/G28</f>
        <v>1.1498725111597954</v>
      </c>
    </row>
    <row r="94" spans="2:9" x14ac:dyDescent="0.3">
      <c r="B94" s="64" t="s">
        <v>64</v>
      </c>
      <c r="C94" s="71">
        <f>C91*C92*C93</f>
        <v>0.31514023234558119</v>
      </c>
      <c r="D94" s="71">
        <f t="shared" ref="D94:G94" si="20">D91*D92*D93</f>
        <v>0.36324786571014217</v>
      </c>
      <c r="E94" s="71">
        <f t="shared" si="20"/>
        <v>0.28991105097784325</v>
      </c>
      <c r="F94" s="71">
        <f t="shared" si="20"/>
        <v>0.26354586093255455</v>
      </c>
      <c r="G94" s="71">
        <f t="shared" si="20"/>
        <v>0.22870784780716097</v>
      </c>
    </row>
    <row r="95" spans="2:9" x14ac:dyDescent="0.3">
      <c r="D95" s="85"/>
      <c r="E95" s="85"/>
      <c r="F95" s="85"/>
      <c r="G95" s="85"/>
    </row>
    <row r="96" spans="2:9" x14ac:dyDescent="0.3">
      <c r="B96" s="90" t="s">
        <v>304</v>
      </c>
      <c r="C96" s="91"/>
      <c r="D96" s="91"/>
      <c r="E96" s="91"/>
      <c r="F96" s="91"/>
      <c r="G96" s="91"/>
    </row>
    <row r="97" spans="2:2" x14ac:dyDescent="0.3">
      <c r="B97" s="90" t="s">
        <v>65</v>
      </c>
    </row>
    <row r="98" spans="2:2" x14ac:dyDescent="0.3">
      <c r="B98" s="92" t="s">
        <v>259</v>
      </c>
    </row>
  </sheetData>
  <sheetProtection algorithmName="SHA-512" hashValue="olePqxOGQZnIaJbnNPclSOohjQzChSN4Z6WieuqTbAdclS+dsFor88G7pgAJCfGwM3yvS3JxgUmipBVxXhr6Tg==" saltValue="q4BPp6wgYvknTGVqUbKwCA==" spinCount="100000" sheet="1" objects="1" scenarios="1"/>
  <mergeCells count="4">
    <mergeCell ref="B2:G2"/>
    <mergeCell ref="B4:G4"/>
    <mergeCell ref="B38:G38"/>
    <mergeCell ref="B3:G3"/>
  </mergeCells>
  <hyperlinks>
    <hyperlink ref="B4:G4" r:id="rId1" display="Klik link ini untuk mengunjungi IG @investasijalanan" xr:uid="{CC4696C9-31C8-4D88-B87F-2774B735CC8C}"/>
    <hyperlink ref="B7" r:id="rId2" xr:uid="{11147482-E53B-4134-9842-EDB37CBD5F28}"/>
    <hyperlink ref="B98" r:id="rId3" xr:uid="{E5BA450B-9F04-46A4-B2A1-A5161B642F03}"/>
    <hyperlink ref="B31" r:id="rId4" xr:uid="{6E5FBB94-A7B4-4432-9599-69DDEADFDEA3}"/>
    <hyperlink ref="B34" r:id="rId5" xr:uid="{66828B12-7A07-4062-9B9C-92D6C034856D}"/>
    <hyperlink ref="B10" r:id="rId6" xr:uid="{8A5D6ED7-1A02-4F99-8D1A-FE687EE89542}"/>
    <hyperlink ref="B57" r:id="rId7" display="Degree of Leverage" xr:uid="{87B6F81D-BE3F-4500-824B-0B8CD40B0D41}"/>
    <hyperlink ref="B63" r:id="rId8" xr:uid="{5FB1281A-E431-4BDC-BC42-90E37F6ACFEE}"/>
    <hyperlink ref="B70" r:id="rId9" xr:uid="{BB609424-163D-4054-B14B-C239C24E5657}"/>
    <hyperlink ref="B73" r:id="rId10" xr:uid="{A9AE4A3F-A9CE-48EF-9CC4-B43CC2B81535}"/>
    <hyperlink ref="B74" r:id="rId11" xr:uid="{050C7F81-9547-4B60-9430-93E494F25AC6}"/>
    <hyperlink ref="B90" r:id="rId12" xr:uid="{0FDE5884-4891-47F9-9C0E-850C09001182}"/>
    <hyperlink ref="B69" r:id="rId13" xr:uid="{1A158A5B-28DC-4769-84B9-043E3AA5935A}"/>
  </hyperlinks>
  <pageMargins left="0.7" right="0.7" top="0.75" bottom="0.75" header="0.3" footer="0.3"/>
  <pageSetup orientation="portrait" r:id="rId14"/>
  <ignoredErrors>
    <ignoredError sqref="C32:G32 C37:G37 C16:G16 C21:D21 C23:G23 C29:G29 C34:G34 E11:G11 E21:G21 D26:E26 C11" unlockedFormula="1"/>
    <ignoredError sqref="D14:H14 C49:D51 C54:D57 C74:F74 C72:D72 E72:F72 F70:G71 G72 E57 F54:G57 F41:G43 F46:G46 G44:G45 F49:G51 C92:G93 E91:G91 C86:D88 E63:F63 E69:G69 E70:E71 C70:D71 E73:G73 E54:E55 E80:G82 E94:G94" evalError="1"/>
    <ignoredError sqref="H70:H71" evalError="1" unlockedFormula="1"/>
    <ignoredError sqref="C44:E44 C64 C60:C62 D60:D62 D64 C45 D45:E45" formulaRange="1"/>
    <ignoredError sqref="F44:F45 E60:F62 E64:F64 D65:F66 C65:C66" evalError="1" formulaRange="1"/>
  </ignoredErrors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8A1E-E6B3-4EBB-9E47-E42CDFB147EE}">
  <dimension ref="B2:H16"/>
  <sheetViews>
    <sheetView showGridLines="0" workbookViewId="0">
      <selection activeCell="F8" sqref="F8"/>
    </sheetView>
  </sheetViews>
  <sheetFormatPr defaultRowHeight="14.4" x14ac:dyDescent="0.3"/>
  <cols>
    <col min="1" max="1" width="2.33203125" customWidth="1"/>
    <col min="2" max="2" width="35.6640625" customWidth="1"/>
    <col min="3" max="3" width="21.109375" style="11" customWidth="1"/>
  </cols>
  <sheetData>
    <row r="2" spans="2:8" ht="25.8" x14ac:dyDescent="0.5">
      <c r="B2" s="207" t="s">
        <v>281</v>
      </c>
      <c r="C2" s="207"/>
    </row>
    <row r="3" spans="2:8" x14ac:dyDescent="0.3">
      <c r="B3" s="229" t="s">
        <v>282</v>
      </c>
      <c r="C3" s="229"/>
    </row>
    <row r="4" spans="2:8" x14ac:dyDescent="0.3">
      <c r="C4" s="1" t="s">
        <v>70</v>
      </c>
    </row>
    <row r="5" spans="2:8" x14ac:dyDescent="0.3">
      <c r="B5" t="s">
        <v>278</v>
      </c>
      <c r="C5" s="44">
        <f>Ratios!C28</f>
        <v>3505468</v>
      </c>
    </row>
    <row r="6" spans="2:8" x14ac:dyDescent="0.3">
      <c r="B6" t="s">
        <v>18</v>
      </c>
      <c r="C6" s="44">
        <f>Ratios!C30</f>
        <v>30000</v>
      </c>
    </row>
    <row r="7" spans="2:8" x14ac:dyDescent="0.3">
      <c r="B7" s="13" t="s">
        <v>279</v>
      </c>
      <c r="C7" s="46">
        <f>C5/C6</f>
        <v>116.84893333333333</v>
      </c>
    </row>
    <row r="8" spans="2:8" x14ac:dyDescent="0.3">
      <c r="B8" s="13"/>
      <c r="C8" s="46"/>
    </row>
    <row r="9" spans="2:8" x14ac:dyDescent="0.3">
      <c r="B9" s="13" t="s">
        <v>280</v>
      </c>
      <c r="C9" s="46">
        <f>Ratios!C11</f>
        <v>36.823799999999999</v>
      </c>
    </row>
    <row r="10" spans="2:8" x14ac:dyDescent="0.3">
      <c r="C10" s="45"/>
    </row>
    <row r="11" spans="2:8" ht="18" x14ac:dyDescent="0.35">
      <c r="B11" s="47" t="s">
        <v>270</v>
      </c>
      <c r="C11" s="48">
        <f>SQRT(22.5*C9*C7)</f>
        <v>311.14866125985498</v>
      </c>
    </row>
    <row r="12" spans="2:8" x14ac:dyDescent="0.3">
      <c r="B12" s="4"/>
      <c r="C12"/>
    </row>
    <row r="13" spans="2:8" x14ac:dyDescent="0.3">
      <c r="B13" s="5"/>
      <c r="C13"/>
    </row>
    <row r="14" spans="2:8" x14ac:dyDescent="0.3">
      <c r="B14" s="4" t="s">
        <v>87</v>
      </c>
      <c r="C14"/>
      <c r="H14" s="11"/>
    </row>
    <row r="15" spans="2:8" x14ac:dyDescent="0.3">
      <c r="B15" s="5" t="s">
        <v>88</v>
      </c>
      <c r="C15"/>
      <c r="H15" s="11"/>
    </row>
    <row r="16" spans="2:8" x14ac:dyDescent="0.3">
      <c r="B16" s="230" t="s">
        <v>310</v>
      </c>
      <c r="C16" s="230"/>
      <c r="D16" s="230"/>
      <c r="E16" s="230"/>
      <c r="H16" s="11"/>
    </row>
  </sheetData>
  <sheetProtection algorithmName="SHA-512" hashValue="g7oJkIAhwP7kDVqQelK0Of0VpM+xpBjooUyt/8Hcnbafxvwee0/rQuWWdIIAGGz3YNohKqPWRwkYsSxuJr3wPg==" saltValue="tWqZNbACdENoUdR0wZEzFQ==" spinCount="100000" sheet="1" objects="1" scenarios="1"/>
  <mergeCells count="3">
    <mergeCell ref="B2:C2"/>
    <mergeCell ref="B3:C3"/>
    <mergeCell ref="B16:E16"/>
  </mergeCells>
  <hyperlinks>
    <hyperlink ref="B3:C3" r:id="rId1" display="Klik untuk penjelasan lebih lanjut tentang metode valuasi NNWC" xr:uid="{8D46C7A3-A471-4C1A-825C-6FA429AE0CE0}"/>
    <hyperlink ref="B16:E16" r:id="rId2" display="Penjelasan metode valuasi Net-Net Working Capital di IG @investasijalanan" xr:uid="{8DBCABDE-EC20-4C3D-B145-1C5D5C190C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35B1-79F2-4C19-A62D-F74F2913F0CB}">
  <dimension ref="B2:H16"/>
  <sheetViews>
    <sheetView showGridLines="0" workbookViewId="0">
      <selection activeCell="B16" sqref="B16:E16"/>
    </sheetView>
  </sheetViews>
  <sheetFormatPr defaultRowHeight="14.4" x14ac:dyDescent="0.3"/>
  <cols>
    <col min="1" max="1" width="2.33203125" customWidth="1"/>
    <col min="2" max="2" width="41.109375" customWidth="1"/>
    <col min="3" max="3" width="21.109375" style="11" customWidth="1"/>
  </cols>
  <sheetData>
    <row r="2" spans="2:8" ht="25.8" x14ac:dyDescent="0.5">
      <c r="B2" s="207" t="s">
        <v>283</v>
      </c>
      <c r="C2" s="207"/>
    </row>
    <row r="3" spans="2:8" x14ac:dyDescent="0.3">
      <c r="B3" s="229" t="s">
        <v>284</v>
      </c>
      <c r="C3" s="229"/>
    </row>
    <row r="4" spans="2:8" x14ac:dyDescent="0.3">
      <c r="C4" s="1" t="s">
        <v>70</v>
      </c>
    </row>
    <row r="5" spans="2:8" x14ac:dyDescent="0.3">
      <c r="B5" t="s">
        <v>285</v>
      </c>
      <c r="C5" s="185">
        <v>8.1999999999999993</v>
      </c>
    </row>
    <row r="6" spans="2:8" x14ac:dyDescent="0.3">
      <c r="B6" t="s">
        <v>294</v>
      </c>
      <c r="C6" s="186">
        <v>5.75</v>
      </c>
    </row>
    <row r="7" spans="2:8" x14ac:dyDescent="0.3">
      <c r="B7" t="s">
        <v>286</v>
      </c>
      <c r="C7" s="187">
        <v>10</v>
      </c>
    </row>
    <row r="8" spans="2:8" x14ac:dyDescent="0.3">
      <c r="C8" s="49"/>
    </row>
    <row r="9" spans="2:8" x14ac:dyDescent="0.3">
      <c r="B9" s="13" t="s">
        <v>280</v>
      </c>
      <c r="C9" s="46">
        <f>Ratios!C11</f>
        <v>36.823799999999999</v>
      </c>
    </row>
    <row r="10" spans="2:8" x14ac:dyDescent="0.3">
      <c r="C10" s="45"/>
    </row>
    <row r="11" spans="2:8" ht="18" x14ac:dyDescent="0.35">
      <c r="B11" s="47" t="s">
        <v>270</v>
      </c>
      <c r="C11" s="48">
        <f>(C9*(8.5+(2*C7))*C6)/C5</f>
        <v>735.91466158536593</v>
      </c>
    </row>
    <row r="12" spans="2:8" x14ac:dyDescent="0.3">
      <c r="B12" s="4"/>
      <c r="C12"/>
    </row>
    <row r="13" spans="2:8" x14ac:dyDescent="0.3">
      <c r="B13" s="5"/>
      <c r="C13"/>
    </row>
    <row r="14" spans="2:8" x14ac:dyDescent="0.3">
      <c r="B14" s="4" t="s">
        <v>87</v>
      </c>
      <c r="C14"/>
      <c r="H14" s="11"/>
    </row>
    <row r="15" spans="2:8" x14ac:dyDescent="0.3">
      <c r="B15" s="5" t="s">
        <v>88</v>
      </c>
      <c r="C15"/>
      <c r="H15" s="11"/>
    </row>
    <row r="16" spans="2:8" x14ac:dyDescent="0.3">
      <c r="B16" s="230" t="s">
        <v>311</v>
      </c>
      <c r="C16" s="230"/>
      <c r="D16" s="230"/>
      <c r="E16" s="230"/>
      <c r="H16" s="11"/>
    </row>
  </sheetData>
  <sheetProtection algorithmName="SHA-512" hashValue="B/nIOgxAmCHzypKHWAk/ENmzMGlluZOjbMBlQaFWXfZRieZ26fGoKBwmFDDL8Pzoya8HwKGqD2FSib/lmfB/VA==" saltValue="k7msjR8Vsm9WWbER/EwDCA==" spinCount="100000" sheet="1" objects="1" scenarios="1"/>
  <mergeCells count="3">
    <mergeCell ref="B2:C2"/>
    <mergeCell ref="B3:C3"/>
    <mergeCell ref="B16:E16"/>
  </mergeCells>
  <hyperlinks>
    <hyperlink ref="B3:C3" r:id="rId1" display="Klik untuk penjelasan lebih lanjut tentang metode valuasi NNWC" xr:uid="{E455E780-5163-4EB0-8438-DD5C1715F81A}"/>
    <hyperlink ref="B16:E16" r:id="rId2" display="Penjelasan metode valuasi Net-Net Working Capital di IG @investasijalanan" xr:uid="{9FD7D2A8-5156-4C75-8C4A-570B5313C41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FC45-945B-4329-9A56-45AF5139C628}">
  <dimension ref="A1:G46"/>
  <sheetViews>
    <sheetView showGridLines="0" workbookViewId="0">
      <selection activeCell="D10" sqref="D10"/>
    </sheetView>
  </sheetViews>
  <sheetFormatPr defaultRowHeight="14.4" x14ac:dyDescent="0.3"/>
  <cols>
    <col min="1" max="1" width="6.6640625" customWidth="1"/>
    <col min="2" max="2" width="2" customWidth="1"/>
    <col min="3" max="3" width="34.21875" bestFit="1" customWidth="1"/>
    <col min="4" max="4" width="55.44140625" bestFit="1" customWidth="1"/>
    <col min="5" max="5" width="35" customWidth="1"/>
    <col min="6" max="6" width="1.44140625" customWidth="1"/>
  </cols>
  <sheetData>
    <row r="1" spans="1:7" ht="15" thickBot="1" x14ac:dyDescent="0.35">
      <c r="A1" s="3"/>
      <c r="B1" s="3"/>
      <c r="C1" s="16"/>
      <c r="D1" s="17"/>
      <c r="E1" s="17"/>
      <c r="F1" s="3"/>
      <c r="G1" s="3"/>
    </row>
    <row r="2" spans="1:7" x14ac:dyDescent="0.3">
      <c r="A2" s="3"/>
      <c r="B2" s="18"/>
      <c r="C2" s="19"/>
      <c r="D2" s="20"/>
      <c r="E2" s="20"/>
      <c r="F2" s="21"/>
      <c r="G2" s="3"/>
    </row>
    <row r="3" spans="1:7" ht="18" x14ac:dyDescent="0.3">
      <c r="A3" s="3"/>
      <c r="B3" s="22"/>
      <c r="C3" s="23" t="s">
        <v>163</v>
      </c>
      <c r="D3" s="24" t="s">
        <v>164</v>
      </c>
      <c r="E3" s="24" t="s">
        <v>165</v>
      </c>
      <c r="F3" s="25"/>
      <c r="G3" s="3"/>
    </row>
    <row r="4" spans="1:7" x14ac:dyDescent="0.3">
      <c r="A4" s="3"/>
      <c r="B4" s="22"/>
      <c r="C4" s="26"/>
      <c r="D4" s="27"/>
      <c r="E4" s="28"/>
      <c r="F4" s="25"/>
      <c r="G4" s="3"/>
    </row>
    <row r="5" spans="1:7" x14ac:dyDescent="0.3">
      <c r="A5" s="3"/>
      <c r="B5" s="22"/>
      <c r="C5" s="234" t="s">
        <v>24</v>
      </c>
      <c r="D5" s="232"/>
      <c r="E5" s="233"/>
      <c r="F5" s="25"/>
      <c r="G5" s="3"/>
    </row>
    <row r="6" spans="1:7" ht="43.2" x14ac:dyDescent="0.3">
      <c r="A6" s="3"/>
      <c r="B6" s="22"/>
      <c r="C6" s="50" t="s">
        <v>296</v>
      </c>
      <c r="D6" s="30" t="s">
        <v>166</v>
      </c>
      <c r="E6" s="31" t="s">
        <v>167</v>
      </c>
      <c r="F6" s="25"/>
      <c r="G6" s="3"/>
    </row>
    <row r="7" spans="1:7" ht="43.2" x14ac:dyDescent="0.3">
      <c r="A7" s="3"/>
      <c r="B7" s="22"/>
      <c r="C7" s="50" t="s">
        <v>295</v>
      </c>
      <c r="D7" s="30" t="s">
        <v>168</v>
      </c>
      <c r="E7" s="31" t="s">
        <v>169</v>
      </c>
      <c r="F7" s="25"/>
      <c r="G7" s="3"/>
    </row>
    <row r="8" spans="1:7" x14ac:dyDescent="0.3">
      <c r="A8" s="3"/>
      <c r="B8" s="22"/>
      <c r="C8" s="29" t="s">
        <v>25</v>
      </c>
      <c r="D8" s="30" t="s">
        <v>170</v>
      </c>
      <c r="E8" s="31"/>
      <c r="F8" s="25"/>
      <c r="G8" s="3"/>
    </row>
    <row r="9" spans="1:7" x14ac:dyDescent="0.3">
      <c r="A9" s="3"/>
      <c r="B9" s="22"/>
      <c r="C9" s="29" t="s">
        <v>26</v>
      </c>
      <c r="D9" s="30" t="s">
        <v>171</v>
      </c>
      <c r="E9" s="31" t="s">
        <v>172</v>
      </c>
      <c r="F9" s="25"/>
      <c r="G9" s="3"/>
    </row>
    <row r="10" spans="1:7" ht="28.8" x14ac:dyDescent="0.3">
      <c r="A10" s="3"/>
      <c r="B10" s="22"/>
      <c r="C10" s="29" t="s">
        <v>27</v>
      </c>
      <c r="D10" s="30" t="s">
        <v>173</v>
      </c>
      <c r="E10" s="31" t="s">
        <v>174</v>
      </c>
      <c r="F10" s="25"/>
      <c r="G10" s="3"/>
    </row>
    <row r="11" spans="1:7" ht="43.2" x14ac:dyDescent="0.3">
      <c r="A11" s="3"/>
      <c r="B11" s="22"/>
      <c r="C11" s="29" t="s">
        <v>175</v>
      </c>
      <c r="D11" s="30" t="s">
        <v>176</v>
      </c>
      <c r="E11" s="41" t="s">
        <v>233</v>
      </c>
      <c r="F11" s="25"/>
      <c r="G11" s="3"/>
    </row>
    <row r="12" spans="1:7" x14ac:dyDescent="0.3">
      <c r="A12" s="3"/>
      <c r="B12" s="22"/>
      <c r="C12" s="32"/>
      <c r="D12" s="33"/>
      <c r="E12" s="34"/>
      <c r="F12" s="25"/>
      <c r="G12" s="3"/>
    </row>
    <row r="13" spans="1:7" x14ac:dyDescent="0.3">
      <c r="A13" s="3"/>
      <c r="B13" s="22"/>
      <c r="C13" s="234" t="s">
        <v>28</v>
      </c>
      <c r="D13" s="235"/>
      <c r="E13" s="236"/>
      <c r="F13" s="25"/>
      <c r="G13" s="3"/>
    </row>
    <row r="14" spans="1:7" ht="28.8" x14ac:dyDescent="0.3">
      <c r="A14" s="3"/>
      <c r="B14" s="22"/>
      <c r="C14" s="29" t="s">
        <v>29</v>
      </c>
      <c r="D14" s="30" t="s">
        <v>177</v>
      </c>
      <c r="E14" s="31" t="s">
        <v>178</v>
      </c>
      <c r="F14" s="25"/>
      <c r="G14" s="3"/>
    </row>
    <row r="15" spans="1:7" x14ac:dyDescent="0.3">
      <c r="A15" s="3"/>
      <c r="B15" s="22"/>
      <c r="C15" s="29" t="s">
        <v>30</v>
      </c>
      <c r="D15" s="30" t="s">
        <v>179</v>
      </c>
      <c r="E15" s="31"/>
      <c r="F15" s="25"/>
      <c r="G15" s="3"/>
    </row>
    <row r="16" spans="1:7" ht="28.8" x14ac:dyDescent="0.3">
      <c r="A16" s="3"/>
      <c r="B16" s="22"/>
      <c r="C16" s="29" t="s">
        <v>31</v>
      </c>
      <c r="D16" s="30" t="s">
        <v>180</v>
      </c>
      <c r="E16" s="31" t="s">
        <v>181</v>
      </c>
      <c r="F16" s="25"/>
      <c r="G16" s="3"/>
    </row>
    <row r="17" spans="1:7" x14ac:dyDescent="0.3">
      <c r="A17" s="3"/>
      <c r="B17" s="22"/>
      <c r="C17" s="32"/>
      <c r="D17" s="33"/>
      <c r="E17" s="34"/>
      <c r="F17" s="25"/>
      <c r="G17" s="3"/>
    </row>
    <row r="18" spans="1:7" x14ac:dyDescent="0.3">
      <c r="A18" s="3"/>
      <c r="B18" s="22"/>
      <c r="C18" s="231" t="s">
        <v>32</v>
      </c>
      <c r="D18" s="232"/>
      <c r="E18" s="233"/>
      <c r="F18" s="25"/>
      <c r="G18" s="3"/>
    </row>
    <row r="19" spans="1:7" ht="43.2" x14ac:dyDescent="0.3">
      <c r="A19" s="3"/>
      <c r="B19" s="22"/>
      <c r="C19" s="29" t="s">
        <v>33</v>
      </c>
      <c r="D19" s="30" t="s">
        <v>182</v>
      </c>
      <c r="E19" s="31" t="s">
        <v>183</v>
      </c>
      <c r="F19" s="25"/>
      <c r="G19" s="3"/>
    </row>
    <row r="20" spans="1:7" x14ac:dyDescent="0.3">
      <c r="A20" s="3"/>
      <c r="B20" s="22"/>
      <c r="C20" s="29" t="s">
        <v>34</v>
      </c>
      <c r="D20" s="30" t="s">
        <v>184</v>
      </c>
      <c r="E20" s="31"/>
      <c r="F20" s="25"/>
      <c r="G20" s="3"/>
    </row>
    <row r="21" spans="1:7" x14ac:dyDescent="0.3">
      <c r="A21" s="3"/>
      <c r="B21" s="22"/>
      <c r="C21" s="29" t="s">
        <v>35</v>
      </c>
      <c r="D21" s="30" t="s">
        <v>185</v>
      </c>
      <c r="E21" s="31" t="s">
        <v>186</v>
      </c>
      <c r="F21" s="25"/>
      <c r="G21" s="3"/>
    </row>
    <row r="22" spans="1:7" x14ac:dyDescent="0.3">
      <c r="A22" s="3"/>
      <c r="B22" s="22"/>
      <c r="C22" s="29" t="s">
        <v>187</v>
      </c>
      <c r="D22" s="35" t="s">
        <v>188</v>
      </c>
      <c r="E22" s="31"/>
      <c r="F22" s="25"/>
      <c r="G22" s="3"/>
    </row>
    <row r="23" spans="1:7" x14ac:dyDescent="0.3">
      <c r="A23" s="3"/>
      <c r="B23" s="22"/>
      <c r="C23" s="32"/>
      <c r="D23" s="33"/>
      <c r="E23" s="34"/>
      <c r="F23" s="25"/>
      <c r="G23" s="3"/>
    </row>
    <row r="24" spans="1:7" x14ac:dyDescent="0.3">
      <c r="A24" s="3"/>
      <c r="B24" s="22"/>
      <c r="C24" s="231" t="s">
        <v>41</v>
      </c>
      <c r="D24" s="232"/>
      <c r="E24" s="233"/>
      <c r="F24" s="25"/>
      <c r="G24" s="3"/>
    </row>
    <row r="25" spans="1:7" x14ac:dyDescent="0.3">
      <c r="A25" s="3"/>
      <c r="B25" s="22"/>
      <c r="C25" s="29" t="s">
        <v>42</v>
      </c>
      <c r="D25" s="30" t="s">
        <v>189</v>
      </c>
      <c r="E25" s="31" t="s">
        <v>190</v>
      </c>
      <c r="F25" s="25"/>
      <c r="G25" s="3"/>
    </row>
    <row r="26" spans="1:7" ht="28.8" x14ac:dyDescent="0.3">
      <c r="A26" s="3"/>
      <c r="B26" s="22"/>
      <c r="C26" s="29" t="s">
        <v>43</v>
      </c>
      <c r="D26" s="30" t="s">
        <v>191</v>
      </c>
      <c r="E26" s="31" t="s">
        <v>192</v>
      </c>
      <c r="F26" s="25"/>
      <c r="G26" s="3"/>
    </row>
    <row r="27" spans="1:7" x14ac:dyDescent="0.3">
      <c r="A27" s="3"/>
      <c r="B27" s="22"/>
      <c r="C27" s="29" t="s">
        <v>45</v>
      </c>
      <c r="D27" s="30" t="s">
        <v>193</v>
      </c>
      <c r="E27" s="31"/>
      <c r="F27" s="25"/>
      <c r="G27" s="3"/>
    </row>
    <row r="28" spans="1:7" x14ac:dyDescent="0.3">
      <c r="A28" s="3"/>
      <c r="B28" s="22"/>
      <c r="C28" s="29" t="s">
        <v>46</v>
      </c>
      <c r="D28" s="30" t="s">
        <v>194</v>
      </c>
      <c r="E28" s="31"/>
      <c r="F28" s="25"/>
      <c r="G28" s="3"/>
    </row>
    <row r="29" spans="1:7" x14ac:dyDescent="0.3">
      <c r="A29" s="3"/>
      <c r="B29" s="22"/>
      <c r="C29" s="29" t="s">
        <v>47</v>
      </c>
      <c r="D29" s="30" t="s">
        <v>195</v>
      </c>
      <c r="E29" s="31"/>
      <c r="F29" s="25"/>
      <c r="G29" s="3"/>
    </row>
    <row r="30" spans="1:7" ht="57.6" x14ac:dyDescent="0.3">
      <c r="A30" s="3"/>
      <c r="B30" s="22"/>
      <c r="C30" s="29" t="s">
        <v>48</v>
      </c>
      <c r="D30" s="30" t="s">
        <v>196</v>
      </c>
      <c r="E30" s="31" t="s">
        <v>197</v>
      </c>
      <c r="F30" s="25"/>
      <c r="G30" s="3"/>
    </row>
    <row r="31" spans="1:7" x14ac:dyDescent="0.3">
      <c r="A31" s="3"/>
      <c r="B31" s="22"/>
      <c r="C31" s="32"/>
      <c r="D31" s="33"/>
      <c r="E31" s="36" t="s">
        <v>198</v>
      </c>
      <c r="F31" s="25"/>
      <c r="G31" s="3"/>
    </row>
    <row r="32" spans="1:7" x14ac:dyDescent="0.3">
      <c r="A32" s="3"/>
      <c r="B32" s="22"/>
      <c r="C32" s="231" t="s">
        <v>49</v>
      </c>
      <c r="D32" s="232"/>
      <c r="E32" s="233"/>
      <c r="F32" s="25"/>
      <c r="G32" s="3"/>
    </row>
    <row r="33" spans="1:7" x14ac:dyDescent="0.3">
      <c r="A33" s="3"/>
      <c r="B33" s="22"/>
      <c r="C33" s="29" t="s">
        <v>199</v>
      </c>
      <c r="D33" s="30" t="s">
        <v>200</v>
      </c>
      <c r="E33" s="31"/>
      <c r="F33" s="25"/>
      <c r="G33" s="3"/>
    </row>
    <row r="34" spans="1:7" x14ac:dyDescent="0.3">
      <c r="A34" s="3"/>
      <c r="B34" s="22"/>
      <c r="C34" s="29" t="s">
        <v>51</v>
      </c>
      <c r="D34" s="30" t="s">
        <v>201</v>
      </c>
      <c r="E34" s="31"/>
      <c r="F34" s="25"/>
      <c r="G34" s="3"/>
    </row>
    <row r="35" spans="1:7" ht="28.8" x14ac:dyDescent="0.3">
      <c r="A35" s="3"/>
      <c r="B35" s="22"/>
      <c r="C35" s="29" t="s">
        <v>52</v>
      </c>
      <c r="D35" s="30" t="s">
        <v>202</v>
      </c>
      <c r="E35" s="31" t="s">
        <v>203</v>
      </c>
      <c r="F35" s="25"/>
      <c r="G35" s="3"/>
    </row>
    <row r="36" spans="1:7" ht="28.8" x14ac:dyDescent="0.3">
      <c r="A36" s="3"/>
      <c r="B36" s="22"/>
      <c r="C36" s="29" t="s">
        <v>204</v>
      </c>
      <c r="D36" s="30" t="s">
        <v>205</v>
      </c>
      <c r="E36" s="31" t="s">
        <v>203</v>
      </c>
      <c r="F36" s="25"/>
      <c r="G36" s="3"/>
    </row>
    <row r="37" spans="1:7" x14ac:dyDescent="0.3">
      <c r="A37" s="3"/>
      <c r="B37" s="22"/>
      <c r="C37" s="29" t="s">
        <v>54</v>
      </c>
      <c r="D37" s="30" t="s">
        <v>206</v>
      </c>
      <c r="E37" s="31"/>
      <c r="F37" s="25"/>
      <c r="G37" s="3"/>
    </row>
    <row r="38" spans="1:7" x14ac:dyDescent="0.3">
      <c r="A38" s="3"/>
      <c r="B38" s="22"/>
      <c r="C38" s="237" t="s">
        <v>55</v>
      </c>
      <c r="D38" s="238" t="s">
        <v>207</v>
      </c>
      <c r="E38" s="31" t="s">
        <v>208</v>
      </c>
      <c r="F38" s="25"/>
      <c r="G38" s="3"/>
    </row>
    <row r="39" spans="1:7" x14ac:dyDescent="0.3">
      <c r="A39" s="3"/>
      <c r="B39" s="22"/>
      <c r="C39" s="237"/>
      <c r="D39" s="239"/>
      <c r="E39" s="31" t="s">
        <v>209</v>
      </c>
      <c r="F39" s="25"/>
      <c r="G39" s="3"/>
    </row>
    <row r="40" spans="1:7" x14ac:dyDescent="0.3">
      <c r="A40" s="3"/>
      <c r="B40" s="22"/>
      <c r="C40" s="237"/>
      <c r="D40" s="239"/>
      <c r="E40" s="31" t="s">
        <v>210</v>
      </c>
      <c r="F40" s="25"/>
      <c r="G40" s="3"/>
    </row>
    <row r="41" spans="1:7" x14ac:dyDescent="0.3">
      <c r="A41" s="3"/>
      <c r="B41" s="22"/>
      <c r="C41" s="16"/>
      <c r="D41" s="17"/>
      <c r="E41" s="17"/>
      <c r="F41" s="25"/>
      <c r="G41" s="3"/>
    </row>
    <row r="42" spans="1:7" x14ac:dyDescent="0.3">
      <c r="A42" s="3"/>
      <c r="B42" s="22"/>
      <c r="C42" s="231" t="s">
        <v>56</v>
      </c>
      <c r="D42" s="232"/>
      <c r="E42" s="233"/>
      <c r="F42" s="25"/>
      <c r="G42" s="3"/>
    </row>
    <row r="43" spans="1:7" x14ac:dyDescent="0.3">
      <c r="A43" s="3"/>
      <c r="B43" s="22"/>
      <c r="C43" s="29" t="s">
        <v>57</v>
      </c>
      <c r="D43" s="30" t="s">
        <v>211</v>
      </c>
      <c r="E43" s="31"/>
      <c r="F43" s="25"/>
      <c r="G43" s="3"/>
    </row>
    <row r="44" spans="1:7" x14ac:dyDescent="0.3">
      <c r="A44" s="3"/>
      <c r="B44" s="22"/>
      <c r="C44" s="29" t="s">
        <v>212</v>
      </c>
      <c r="D44" s="30" t="s">
        <v>213</v>
      </c>
      <c r="E44" s="30" t="s">
        <v>214</v>
      </c>
      <c r="F44" s="25"/>
      <c r="G44" s="3"/>
    </row>
    <row r="45" spans="1:7" ht="15" thickBot="1" x14ac:dyDescent="0.35">
      <c r="A45" s="3"/>
      <c r="B45" s="37"/>
      <c r="C45" s="38"/>
      <c r="D45" s="39"/>
      <c r="E45" s="39"/>
      <c r="F45" s="40"/>
      <c r="G45" s="3"/>
    </row>
    <row r="46" spans="1:7" x14ac:dyDescent="0.3">
      <c r="A46" s="3"/>
      <c r="B46" s="3"/>
      <c r="C46" s="16"/>
      <c r="D46" s="17"/>
      <c r="E46" s="17"/>
      <c r="F46" s="3"/>
      <c r="G46" s="3"/>
    </row>
  </sheetData>
  <sheetProtection algorithmName="SHA-512" hashValue="A/2vcD15J7HOx+vACAQv+9AtnOCr+9Q+vXJ/nMFyL2JR/RTgu7RLLbyiOGSRWx5F1F+zjgCxdBjEkwBFpoA6iA==" saltValue="tFCoLxsrYvmLbp0vz8PBkQ==" spinCount="100000" sheet="1" objects="1" scenarios="1"/>
  <mergeCells count="8">
    <mergeCell ref="C42:E42"/>
    <mergeCell ref="C5:E5"/>
    <mergeCell ref="C13:E13"/>
    <mergeCell ref="C18:E18"/>
    <mergeCell ref="C24:E24"/>
    <mergeCell ref="C32:E32"/>
    <mergeCell ref="C38:C40"/>
    <mergeCell ref="D38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9307-D63B-4C08-8606-669CFE30EEAC}">
  <dimension ref="A1:D16"/>
  <sheetViews>
    <sheetView showGridLines="0" workbookViewId="0">
      <selection activeCell="A16" sqref="A16:D16"/>
    </sheetView>
  </sheetViews>
  <sheetFormatPr defaultRowHeight="14.4" x14ac:dyDescent="0.3"/>
  <cols>
    <col min="1" max="1" width="46.109375" customWidth="1"/>
    <col min="2" max="2" width="23.77734375" bestFit="1" customWidth="1"/>
    <col min="3" max="4" width="23.88671875" customWidth="1"/>
  </cols>
  <sheetData>
    <row r="1" spans="1:4" ht="25.8" x14ac:dyDescent="0.3">
      <c r="A1" s="197" t="s">
        <v>68</v>
      </c>
      <c r="B1" s="197"/>
      <c r="C1" s="197"/>
      <c r="D1" s="197"/>
    </row>
    <row r="2" spans="1:4" ht="21" x14ac:dyDescent="0.3">
      <c r="A2" s="201" t="s">
        <v>217</v>
      </c>
      <c r="B2" s="201"/>
      <c r="C2" s="201"/>
      <c r="D2" s="201"/>
    </row>
    <row r="3" spans="1:4" x14ac:dyDescent="0.3">
      <c r="A3" s="198" t="s">
        <v>236</v>
      </c>
      <c r="B3" s="198"/>
      <c r="C3" s="198"/>
      <c r="D3" s="198"/>
    </row>
    <row r="4" spans="1:4" ht="18" x14ac:dyDescent="0.35">
      <c r="A4" s="94" t="s">
        <v>69</v>
      </c>
      <c r="B4" s="94" t="s">
        <v>70</v>
      </c>
      <c r="C4" s="94" t="s">
        <v>71</v>
      </c>
      <c r="D4" s="94" t="s">
        <v>72</v>
      </c>
    </row>
    <row r="5" spans="1:4" x14ac:dyDescent="0.3">
      <c r="A5" s="64" t="s">
        <v>73</v>
      </c>
      <c r="B5" s="52">
        <f>Ratios!C6</f>
        <v>3865523</v>
      </c>
      <c r="C5" s="95" t="str">
        <f>IF(B5&gt;=175000,"Pass","Fail")</f>
        <v>Pass</v>
      </c>
      <c r="D5" s="95" t="s">
        <v>74</v>
      </c>
    </row>
    <row r="6" spans="1:4" x14ac:dyDescent="0.3">
      <c r="A6" s="64" t="s">
        <v>75</v>
      </c>
      <c r="B6" s="96">
        <f>Ratios!C49</f>
        <v>4.0555403587112417</v>
      </c>
      <c r="C6" s="95" t="str">
        <f>IF(B6&gt;=2,"Pass","Fail")</f>
        <v>Pass</v>
      </c>
      <c r="D6" s="95" t="s">
        <v>76</v>
      </c>
    </row>
    <row r="7" spans="1:4" x14ac:dyDescent="0.3">
      <c r="A7" s="64" t="s">
        <v>77</v>
      </c>
      <c r="B7" s="52">
        <f>(Ratios!C18-Ratios!C27)-Ratios!C25</f>
        <v>1618275</v>
      </c>
      <c r="C7" s="95" t="str">
        <f>IF(B7&gt;=0,"Pass","Fail")</f>
        <v>Pass</v>
      </c>
      <c r="D7" s="95" t="s">
        <v>78</v>
      </c>
    </row>
    <row r="8" spans="1:4" x14ac:dyDescent="0.3">
      <c r="A8" s="64" t="s">
        <v>231</v>
      </c>
      <c r="B8" s="97">
        <f>IF(Ratios!C11&gt;0,IF(Ratios!G11&gt;0,(Ratios!C11/Ratios!G11)-1,"Negative EPS"),"Negative EPS")</f>
        <v>0.66410433698024707</v>
      </c>
      <c r="C8" s="95" t="str">
        <f>IF(B8&gt;=14%,"Pass","Fail")</f>
        <v>Pass</v>
      </c>
      <c r="D8" s="95" t="s">
        <v>230</v>
      </c>
    </row>
    <row r="9" spans="1:4" x14ac:dyDescent="0.3">
      <c r="A9" s="64" t="s">
        <v>80</v>
      </c>
      <c r="B9" s="98">
        <f>Ratios!C70</f>
        <v>20.503044226831562</v>
      </c>
      <c r="C9" s="95" t="str">
        <f>IF(B9&lt;=15,"Pass","Fail")</f>
        <v>Fail</v>
      </c>
      <c r="D9" s="95" t="s">
        <v>81</v>
      </c>
    </row>
    <row r="10" spans="1:4" x14ac:dyDescent="0.3">
      <c r="A10" s="64" t="s">
        <v>82</v>
      </c>
      <c r="B10" s="98">
        <f>Ratios!C70*Ratios!C73</f>
        <v>132.4770192561264</v>
      </c>
      <c r="C10" s="95" t="str">
        <f>IF(Ratios!C70&gt;0,IF(Ratios!C73&gt;0,IF(B10&lt;=22.5,"Pass","Fail"),"Fail"),"Fail")</f>
        <v>Fail</v>
      </c>
      <c r="D10" s="95" t="s">
        <v>232</v>
      </c>
    </row>
    <row r="11" spans="1:4" x14ac:dyDescent="0.3">
      <c r="A11" s="99" t="s">
        <v>83</v>
      </c>
      <c r="B11" s="100">
        <f>Ratios!C25/Ratios!C28</f>
        <v>0</v>
      </c>
      <c r="C11" s="101" t="str">
        <f>IF(B11&lt;=100%,"Pass","Fail")</f>
        <v>Pass</v>
      </c>
      <c r="D11" s="102" t="s">
        <v>84</v>
      </c>
    </row>
    <row r="12" spans="1:4" x14ac:dyDescent="0.3">
      <c r="A12" s="64" t="s">
        <v>85</v>
      </c>
      <c r="B12" s="64">
        <f>COUNTBLANK(Ratios!B12:F12)</f>
        <v>0</v>
      </c>
      <c r="C12" s="95" t="str">
        <f>IF(B12=0,"Pass","Fail")</f>
        <v>Pass</v>
      </c>
      <c r="D12" s="103" t="s">
        <v>86</v>
      </c>
    </row>
    <row r="14" spans="1:4" x14ac:dyDescent="0.3">
      <c r="A14" s="4" t="s">
        <v>87</v>
      </c>
    </row>
    <row r="15" spans="1:4" x14ac:dyDescent="0.3">
      <c r="A15" s="5" t="s">
        <v>88</v>
      </c>
    </row>
    <row r="16" spans="1:4" x14ac:dyDescent="0.3">
      <c r="A16" s="199" t="s">
        <v>306</v>
      </c>
      <c r="B16" s="200"/>
      <c r="C16" s="200"/>
      <c r="D16" s="200"/>
    </row>
  </sheetData>
  <sheetProtection algorithmName="SHA-512" hashValue="0ewZMexLHslqzSyd010m09ToIAAsdZTIFXQFQKk9q55ShLqcTEfxpwZ09+r/JxodhTYkZE6LibdPCHGOpo5PSQ==" saltValue="VeGmeqSjEqcmBgqjoO704g==" spinCount="100000" sheet="1" objects="1" scenarios="1"/>
  <mergeCells count="4">
    <mergeCell ref="A1:D1"/>
    <mergeCell ref="A3:D3"/>
    <mergeCell ref="A16:D16"/>
    <mergeCell ref="A2:D2"/>
  </mergeCells>
  <conditionalFormatting sqref="C5:C12">
    <cfRule type="containsText" dxfId="11" priority="1" operator="containsText" text="Pass">
      <formula>NOT(ISERROR(SEARCH("Pass",C5)))</formula>
    </cfRule>
    <cfRule type="containsText" dxfId="10" priority="2" operator="containsText" text="Fail">
      <formula>NOT(ISERROR(SEARCH("Fail",C5)))</formula>
    </cfRule>
    <cfRule type="containsText" dxfId="9" priority="3" operator="containsText" text="Pass">
      <formula>NOT(ISERROR(SEARCH("Pass",C5)))</formula>
    </cfRule>
  </conditionalFormatting>
  <hyperlinks>
    <hyperlink ref="A3:D3" r:id="rId1" display="Klik untuk penjelasan screening Ben Graham di IG @investasijalanan" xr:uid="{F119B494-B5DE-4E01-BFD7-CD3361BE6673}"/>
    <hyperlink ref="A16" r:id="rId2" display="http://parahita.wordpress.com/2010/05/26/memilih-saham-a-la-benjamin-graham-bagian-1/" xr:uid="{68A227AE-9AB8-4BD3-97CF-E87E020495D6}"/>
    <hyperlink ref="A16:D16" r:id="rId3" display="Klik untuk penjelasan Screening Ben Graham di IG @investasijalanan" xr:uid="{0FF41B60-E919-474D-A4A7-9FC4D1F20F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4987-B30A-4BCF-B770-08421E0BCF2C}">
  <dimension ref="A1:D15"/>
  <sheetViews>
    <sheetView showGridLines="0" workbookViewId="0">
      <selection activeCell="A16" sqref="A16"/>
    </sheetView>
  </sheetViews>
  <sheetFormatPr defaultRowHeight="14.4" x14ac:dyDescent="0.3"/>
  <cols>
    <col min="1" max="1" width="46.109375" bestFit="1" customWidth="1"/>
    <col min="2" max="2" width="23.77734375" bestFit="1" customWidth="1"/>
    <col min="3" max="4" width="23.88671875" customWidth="1"/>
  </cols>
  <sheetData>
    <row r="1" spans="1:4" ht="25.8" x14ac:dyDescent="0.3">
      <c r="A1" s="197" t="s">
        <v>68</v>
      </c>
      <c r="B1" s="197"/>
      <c r="C1" s="197"/>
      <c r="D1" s="197"/>
    </row>
    <row r="2" spans="1:4" ht="21" x14ac:dyDescent="0.3">
      <c r="A2" s="202" t="s">
        <v>216</v>
      </c>
      <c r="B2" s="202"/>
      <c r="C2" s="202"/>
      <c r="D2" s="202"/>
    </row>
    <row r="3" spans="1:4" x14ac:dyDescent="0.3">
      <c r="A3" s="198" t="s">
        <v>238</v>
      </c>
      <c r="B3" s="198"/>
      <c r="C3" s="198"/>
      <c r="D3" s="198"/>
    </row>
    <row r="4" spans="1:4" ht="18" x14ac:dyDescent="0.35">
      <c r="A4" s="94" t="s">
        <v>69</v>
      </c>
      <c r="B4" s="94" t="s">
        <v>70</v>
      </c>
      <c r="C4" s="94" t="s">
        <v>71</v>
      </c>
      <c r="D4" s="94" t="s">
        <v>72</v>
      </c>
    </row>
    <row r="5" spans="1:4" x14ac:dyDescent="0.3">
      <c r="A5" s="64" t="s">
        <v>80</v>
      </c>
      <c r="B5" s="98">
        <f>Ratios!C70</f>
        <v>20.503044226831562</v>
      </c>
      <c r="C5" s="95" t="str">
        <f>IF(Ratios!C70&gt;0,IF(B5&lt;=9,"Pass","Fail"),"FAIL")</f>
        <v>Fail</v>
      </c>
      <c r="D5" s="95" t="s">
        <v>218</v>
      </c>
    </row>
    <row r="6" spans="1:4" x14ac:dyDescent="0.3">
      <c r="A6" s="64" t="s">
        <v>75</v>
      </c>
      <c r="B6" s="96">
        <f>Ratios!C49</f>
        <v>4.0555403587112417</v>
      </c>
      <c r="C6" s="95" t="str">
        <f>IF(B6&gt;=1.5,"Pass","Fail")</f>
        <v>Pass</v>
      </c>
      <c r="D6" s="95" t="s">
        <v>219</v>
      </c>
    </row>
    <row r="7" spans="1:4" x14ac:dyDescent="0.3">
      <c r="A7" s="64" t="s">
        <v>220</v>
      </c>
      <c r="B7" s="105">
        <f>Ratios!C26/(Ratios!C18-Ratios!C27)</f>
        <v>1.473791537285072E-3</v>
      </c>
      <c r="C7" s="95" t="str">
        <f>IF(B7&lt;=0.11,"Pass","Fail")</f>
        <v>Pass</v>
      </c>
      <c r="D7" s="95" t="s">
        <v>221</v>
      </c>
    </row>
    <row r="8" spans="1:4" x14ac:dyDescent="0.3">
      <c r="A8" s="64" t="s">
        <v>222</v>
      </c>
      <c r="B8" s="106" t="str">
        <f>IF(Ratios!C9&gt;0,IF(Ratios!D9&gt;0,IF(Ratios!E9&gt;0,IF(Ratios!F9&gt;0,IF(Ratios!G9&gt;0,"YES","NO"),"NO"),"NO"),"NO"),"NO")</f>
        <v>YES</v>
      </c>
      <c r="C8" s="95" t="str">
        <f>IF(B8="YES","Pass","Fail")</f>
        <v>Pass</v>
      </c>
      <c r="D8" s="95" t="s">
        <v>223</v>
      </c>
    </row>
    <row r="9" spans="1:4" x14ac:dyDescent="0.3">
      <c r="A9" s="64" t="s">
        <v>85</v>
      </c>
      <c r="B9" s="64">
        <f>COUNTBLANK(Ratios!B12:F12)</f>
        <v>0</v>
      </c>
      <c r="C9" s="95" t="str">
        <f>IF(B9=0,"Pass","Fail")</f>
        <v>Pass</v>
      </c>
      <c r="D9" s="103" t="s">
        <v>86</v>
      </c>
    </row>
    <row r="10" spans="1:4" x14ac:dyDescent="0.3">
      <c r="A10" s="64" t="s">
        <v>224</v>
      </c>
      <c r="B10" s="107" t="str">
        <f>IF(Ratios!C9&gt;0,IF(Ratios!G9&gt;0,IF(Ratios!C9&gt;Ratios!G9,"YES","NO"),"NO"),"NO")</f>
        <v>YES</v>
      </c>
      <c r="C10" s="95" t="str">
        <f>IF(B10&gt;=14%,"Pass","Fail")</f>
        <v>Pass</v>
      </c>
      <c r="D10" s="95" t="s">
        <v>225</v>
      </c>
    </row>
    <row r="11" spans="1:4" x14ac:dyDescent="0.3">
      <c r="A11" s="64" t="s">
        <v>228</v>
      </c>
      <c r="B11" s="108">
        <f>Ratios!C36/(Ratios!C21/Ratios!C30)</f>
        <v>5.6765836039213289</v>
      </c>
      <c r="C11" s="95" t="str">
        <f>IF(B11&lt;=120%,"Pass","Fail")</f>
        <v>Fail</v>
      </c>
      <c r="D11" s="95" t="s">
        <v>229</v>
      </c>
    </row>
    <row r="13" spans="1:4" x14ac:dyDescent="0.3">
      <c r="A13" s="4" t="s">
        <v>87</v>
      </c>
    </row>
    <row r="14" spans="1:4" x14ac:dyDescent="0.3">
      <c r="A14" s="5" t="s">
        <v>88</v>
      </c>
    </row>
    <row r="15" spans="1:4" x14ac:dyDescent="0.3">
      <c r="A15" s="199" t="s">
        <v>307</v>
      </c>
      <c r="B15" s="200"/>
      <c r="C15" s="200"/>
      <c r="D15" s="200"/>
    </row>
  </sheetData>
  <sheetProtection algorithmName="SHA-512" hashValue="si8zkIo8MS4b97jNcXtS9ZjTGjPUczj5RBNT7HENRmSTJZIjTVlsOuEaJLXIAbD0DICB5JeBE06jIaEAhxCqyQ==" saltValue="ibpbOF59cpXRt/D0TuRq0Q==" spinCount="100000" sheet="1" objects="1" scenarios="1"/>
  <mergeCells count="4">
    <mergeCell ref="A1:D1"/>
    <mergeCell ref="A3:D3"/>
    <mergeCell ref="A15:D15"/>
    <mergeCell ref="A2:D2"/>
  </mergeCells>
  <conditionalFormatting sqref="C5:C11">
    <cfRule type="containsText" dxfId="8" priority="1" operator="containsText" text="Pass">
      <formula>NOT(ISERROR(SEARCH("Pass",C5)))</formula>
    </cfRule>
    <cfRule type="containsText" dxfId="7" priority="2" operator="containsText" text="Fail">
      <formula>NOT(ISERROR(SEARCH("Fail",C5)))</formula>
    </cfRule>
    <cfRule type="containsText" dxfId="6" priority="3" operator="containsText" text="Pass">
      <formula>NOT(ISERROR(SEARCH("Pass",C5)))</formula>
    </cfRule>
  </conditionalFormatting>
  <hyperlinks>
    <hyperlink ref="A3:D3" r:id="rId1" display="Klik untuk penjelasan Ben Graham screening di IG @investasijalanan" xr:uid="{5D1D4902-0867-4928-ACEE-E559BC905FB1}"/>
    <hyperlink ref="A15" r:id="rId2" display="http://parahita.wordpress.com/2010/05/26/memilih-saham-a-la-benjamin-graham-bagian-1/" xr:uid="{37BA7ED9-C641-40F6-A7DD-E60FAA3531F9}"/>
    <hyperlink ref="A15:D15" r:id="rId3" display="Klik untuk penjelasan lebih lanjut Ben Graham screening di IG @investasijalanan" xr:uid="{9FAD38CC-FD5F-41D0-816D-9596F329F7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2084-1BAB-46D9-9DF8-5ABC0521B189}">
  <dimension ref="A1:D14"/>
  <sheetViews>
    <sheetView showGridLines="0" workbookViewId="0">
      <selection activeCell="C20" sqref="C20"/>
    </sheetView>
  </sheetViews>
  <sheetFormatPr defaultRowHeight="14.4" x14ac:dyDescent="0.3"/>
  <cols>
    <col min="1" max="4" width="19.5546875" customWidth="1"/>
  </cols>
  <sheetData>
    <row r="1" spans="1:4" ht="54.6" customHeight="1" x14ac:dyDescent="0.3">
      <c r="A1" s="197" t="s">
        <v>239</v>
      </c>
      <c r="B1" s="197"/>
      <c r="C1" s="197"/>
      <c r="D1" s="197"/>
    </row>
    <row r="2" spans="1:4" x14ac:dyDescent="0.3">
      <c r="A2" s="198" t="s">
        <v>240</v>
      </c>
      <c r="B2" s="198"/>
      <c r="C2" s="198"/>
      <c r="D2" s="198"/>
    </row>
    <row r="3" spans="1:4" ht="18" x14ac:dyDescent="0.35">
      <c r="A3" s="94" t="s">
        <v>69</v>
      </c>
      <c r="B3" s="94" t="s">
        <v>70</v>
      </c>
      <c r="C3" s="94" t="s">
        <v>71</v>
      </c>
      <c r="D3" s="94" t="s">
        <v>72</v>
      </c>
    </row>
    <row r="4" spans="1:4" x14ac:dyDescent="0.3">
      <c r="A4" s="64" t="s">
        <v>241</v>
      </c>
      <c r="B4" s="106" t="str">
        <f>IF(Ratios!M9=4,"YES","NO")</f>
        <v>NO</v>
      </c>
      <c r="C4" s="95" t="str">
        <f>IF(B4="YES","Pass","Fail")</f>
        <v>Fail</v>
      </c>
      <c r="D4" s="95" t="s">
        <v>250</v>
      </c>
    </row>
    <row r="5" spans="1:4" x14ac:dyDescent="0.3">
      <c r="A5" s="64" t="s">
        <v>247</v>
      </c>
      <c r="B5" s="109">
        <f>IF(Ratios!C9&gt;0,Ratios!C25/Ratios!C9,"N/A")</f>
        <v>0</v>
      </c>
      <c r="C5" s="95" t="str">
        <f>IF(B5&lt;=5,"Pass","Fail")</f>
        <v>Pass</v>
      </c>
      <c r="D5" s="95" t="s">
        <v>242</v>
      </c>
    </row>
    <row r="6" spans="1:4" x14ac:dyDescent="0.3">
      <c r="A6" s="64" t="s">
        <v>243</v>
      </c>
      <c r="B6" s="105">
        <f>IF(Ratios!C9&gt;0,IF(Ratios!C28&gt;0,Ratios!C44,"N/A"),"N/A")</f>
        <v>0.31668913687178624</v>
      </c>
      <c r="C6" s="95" t="str">
        <f>IF(Ratios!C9&gt;0,IF(Ratios!C28&gt;0,IF(B6&gt;=15%,"Pass","Fail"),"Fail"),"Fail")</f>
        <v>Pass</v>
      </c>
      <c r="D6" s="95" t="s">
        <v>244</v>
      </c>
    </row>
    <row r="7" spans="1:4" x14ac:dyDescent="0.3">
      <c r="A7" s="64" t="s">
        <v>248</v>
      </c>
      <c r="B7" s="105">
        <f>IF(Ratios!C9&gt;0,IF(Ratios!C28&gt;0,Ratios!C9/(Ratios!C26+Ratios!C28),"N/A"),"N/A")</f>
        <v>0.31492596753626789</v>
      </c>
      <c r="C7" s="95" t="str">
        <f>IF(Ratios!C9&gt;0,IF(Ratios!C28&gt;0,IF(B7&gt;=12%,"Pass","Fail"),"Fail"),"Fail")</f>
        <v>Pass</v>
      </c>
      <c r="D7" s="95" t="s">
        <v>219</v>
      </c>
    </row>
    <row r="8" spans="1:4" x14ac:dyDescent="0.3">
      <c r="A8" s="64" t="s">
        <v>245</v>
      </c>
      <c r="B8" s="110">
        <f>IF(Ratios!C77&gt;0,Ratios!C77)</f>
        <v>928734</v>
      </c>
      <c r="C8" s="95" t="str">
        <f>IF(B8&gt;0,"Pass","Fail")</f>
        <v>Pass</v>
      </c>
      <c r="D8" s="103" t="s">
        <v>251</v>
      </c>
    </row>
    <row r="9" spans="1:4" x14ac:dyDescent="0.3">
      <c r="A9" s="64" t="s">
        <v>246</v>
      </c>
      <c r="B9" s="108">
        <f>IF(Ratios!C9&gt;0,IF(Ratios!G9&gt;0,IF(Ratios!C29&gt;0,IF(Ratios!G29&gt;0,(Ratios!C9-Ratios!G9)/(Ratios!C29-Ratios!G29),"N/A"),"N/A"),"N/A"),"N/A")</f>
        <v>0.73696378243382843</v>
      </c>
      <c r="C9" s="95" t="str">
        <f>IF(Ratios!C9&gt;0,IF(Ratios!G9&gt;0,IF(Ratios!C29&gt;0,IF(Ratios!G29&gt;0,IF(B9&gt;=15%,"Pass","Fail"),"Fail"),"Fail"),"Fail"),"Fail")</f>
        <v>Pass</v>
      </c>
      <c r="D9" s="95" t="s">
        <v>244</v>
      </c>
    </row>
    <row r="11" spans="1:4" x14ac:dyDescent="0.3">
      <c r="A11" s="4" t="s">
        <v>87</v>
      </c>
    </row>
    <row r="12" spans="1:4" s="112" customFormat="1" x14ac:dyDescent="0.3">
      <c r="A12" s="111" t="s">
        <v>249</v>
      </c>
    </row>
    <row r="13" spans="1:4" x14ac:dyDescent="0.3">
      <c r="A13" s="5" t="s">
        <v>88</v>
      </c>
    </row>
    <row r="14" spans="1:4" x14ac:dyDescent="0.3">
      <c r="A14" s="199" t="s">
        <v>308</v>
      </c>
      <c r="B14" s="200"/>
      <c r="C14" s="200"/>
      <c r="D14" s="200"/>
    </row>
  </sheetData>
  <sheetProtection algorithmName="SHA-512" hashValue="Dvv0v1Lu4YxExXv1VeB/AKW8RPxuij9ZEKQs0ca/LGhpXEaTV4SLM7dOu7co9IpJoskCHyt5EPwoRku0cz2bGg==" saltValue="1dFULWwqud5bCuVXZb2cFA==" spinCount="100000" sheet="1" objects="1" scenarios="1"/>
  <mergeCells count="3">
    <mergeCell ref="A1:D1"/>
    <mergeCell ref="A2:D2"/>
    <mergeCell ref="A14:D14"/>
  </mergeCells>
  <conditionalFormatting sqref="C4:C9">
    <cfRule type="containsText" dxfId="5" priority="1" operator="containsText" text="Pass">
      <formula>NOT(ISERROR(SEARCH("Pass",C4)))</formula>
    </cfRule>
    <cfRule type="containsText" dxfId="4" priority="2" operator="containsText" text="Fail">
      <formula>NOT(ISERROR(SEARCH("Fail",C4)))</formula>
    </cfRule>
    <cfRule type="containsText" dxfId="3" priority="3" operator="containsText" text="Pass">
      <formula>NOT(ISERROR(SEARCH("Pass",C4)))</formula>
    </cfRule>
  </conditionalFormatting>
  <hyperlinks>
    <hyperlink ref="A2:D2" r:id="rId1" display="Klik untuk penjelasan Warren Buffett screening di IG @investasijalanan" xr:uid="{53F206C7-E76E-49C2-AEB9-00940FE9C908}"/>
    <hyperlink ref="A14" r:id="rId2" display="http://parahita.wordpress.com/2010/05/26/memilih-saham-a-la-benjamin-graham-bagian-1/" xr:uid="{F88ADA5A-5CF1-49FC-92E8-3F124C304223}"/>
    <hyperlink ref="A14:D14" r:id="rId3" display="Klik untuk penjelasan lebih lanjut Warren Buffett screening di IG @investasijalanan" xr:uid="{0D317533-8FDA-403C-B51E-355149039C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0B15-5C43-4FC2-9C30-77D5623436DA}">
  <dimension ref="B1:H43"/>
  <sheetViews>
    <sheetView showGridLines="0" workbookViewId="0">
      <selection activeCell="J36" sqref="J36"/>
    </sheetView>
  </sheetViews>
  <sheetFormatPr defaultRowHeight="14.4" x14ac:dyDescent="0.3"/>
  <cols>
    <col min="2" max="2" width="1.21875" customWidth="1"/>
    <col min="3" max="3" width="6.5546875" bestFit="1" customWidth="1"/>
    <col min="4" max="4" width="20.5546875" customWidth="1"/>
    <col min="5" max="5" width="33.6640625" customWidth="1"/>
    <col min="6" max="6" width="10.33203125" customWidth="1"/>
    <col min="7" max="7" width="10" customWidth="1"/>
    <col min="8" max="8" width="1.44140625" customWidth="1"/>
  </cols>
  <sheetData>
    <row r="1" spans="2:8" ht="15" thickBot="1" x14ac:dyDescent="0.35">
      <c r="C1" s="13"/>
      <c r="E1" s="113"/>
      <c r="G1" s="11"/>
    </row>
    <row r="2" spans="2:8" x14ac:dyDescent="0.3">
      <c r="B2" s="114"/>
      <c r="C2" s="115"/>
      <c r="D2" s="116"/>
      <c r="E2" s="117"/>
      <c r="F2" s="116"/>
      <c r="G2" s="118"/>
      <c r="H2" s="119"/>
    </row>
    <row r="3" spans="2:8" ht="25.8" x14ac:dyDescent="0.5">
      <c r="B3" s="120"/>
      <c r="C3" s="207" t="s">
        <v>114</v>
      </c>
      <c r="D3" s="207"/>
      <c r="E3" s="207"/>
      <c r="F3" s="207"/>
      <c r="G3" s="207"/>
      <c r="H3" s="121"/>
    </row>
    <row r="4" spans="2:8" x14ac:dyDescent="0.3">
      <c r="B4" s="120"/>
      <c r="C4" s="208" t="s">
        <v>305</v>
      </c>
      <c r="D4" s="208"/>
      <c r="E4" s="208"/>
      <c r="F4" s="208"/>
      <c r="G4" s="208"/>
      <c r="H4" s="122"/>
    </row>
    <row r="5" spans="2:8" x14ac:dyDescent="0.3">
      <c r="B5" s="120"/>
      <c r="C5" s="123"/>
      <c r="D5" s="123"/>
      <c r="E5" s="123"/>
      <c r="F5" s="123"/>
      <c r="G5" s="123"/>
      <c r="H5" s="122"/>
    </row>
    <row r="6" spans="2:8" ht="28.8" x14ac:dyDescent="0.3">
      <c r="B6" s="120"/>
      <c r="C6" s="124" t="s">
        <v>115</v>
      </c>
      <c r="D6" s="125" t="s">
        <v>116</v>
      </c>
      <c r="E6" s="126" t="str">
        <f>IF(Ratios!C88&lt;=0,"N/A",IF(Ratios!C88&lt;10%,"Slow Grower",IF(Ratios!C88&lt;20%,"Stalwart","Fast Grower")))</f>
        <v>Stalwart</v>
      </c>
      <c r="G6" s="11"/>
      <c r="H6" s="122"/>
    </row>
    <row r="7" spans="2:8" ht="28.8" x14ac:dyDescent="0.3">
      <c r="B7" s="120"/>
      <c r="C7" s="13"/>
      <c r="D7" s="125" t="s">
        <v>117</v>
      </c>
      <c r="E7" s="188" t="s">
        <v>118</v>
      </c>
      <c r="F7" s="127">
        <f>COUNTIF(E7:E8,"N")</f>
        <v>2</v>
      </c>
      <c r="G7" s="11"/>
      <c r="H7" s="122"/>
    </row>
    <row r="8" spans="2:8" ht="28.8" x14ac:dyDescent="0.3">
      <c r="B8" s="120"/>
      <c r="C8" s="13"/>
      <c r="D8" s="125" t="s">
        <v>119</v>
      </c>
      <c r="E8" s="188" t="s">
        <v>118</v>
      </c>
      <c r="F8" s="128"/>
      <c r="G8" s="11"/>
      <c r="H8" s="122"/>
    </row>
    <row r="9" spans="2:8" x14ac:dyDescent="0.3">
      <c r="B9" s="120"/>
      <c r="C9" s="13"/>
      <c r="E9" s="113"/>
      <c r="G9" s="11"/>
      <c r="H9" s="122"/>
    </row>
    <row r="10" spans="2:8" x14ac:dyDescent="0.3">
      <c r="B10" s="120"/>
      <c r="C10" s="13"/>
      <c r="E10" s="113"/>
      <c r="G10" s="11"/>
      <c r="H10" s="122"/>
    </row>
    <row r="11" spans="2:8" x14ac:dyDescent="0.3">
      <c r="B11" s="120"/>
      <c r="C11" s="13" t="s">
        <v>120</v>
      </c>
      <c r="D11" s="13" t="s">
        <v>121</v>
      </c>
      <c r="E11" s="129" t="s">
        <v>122</v>
      </c>
      <c r="F11" s="130" t="s">
        <v>70</v>
      </c>
      <c r="G11" s="130" t="s">
        <v>71</v>
      </c>
      <c r="H11" s="122"/>
    </row>
    <row r="12" spans="2:8" x14ac:dyDescent="0.3">
      <c r="B12" s="120"/>
      <c r="C12" s="13"/>
      <c r="E12" s="131" t="s">
        <v>123</v>
      </c>
      <c r="F12" s="132">
        <f>IF(E6&lt;&gt;"N/A",IF(E6="Fast Grower",Ratios!C74,Ratios!C70/((Ratios!H14+Ratios!C72)*100)),"N/A")</f>
        <v>1.0368467874150438</v>
      </c>
      <c r="G12" s="95" t="str">
        <f>IF(F12&lt;1,"Pass","Fail")</f>
        <v>Fail</v>
      </c>
      <c r="H12" s="122"/>
    </row>
    <row r="13" spans="2:8" x14ac:dyDescent="0.3">
      <c r="B13" s="120"/>
      <c r="C13" s="13"/>
      <c r="E13" s="131" t="s">
        <v>124</v>
      </c>
      <c r="F13" s="107">
        <f>(Ratios!C17/Ratios!C6)-(Ratios!D17/Ratios!D6)</f>
        <v>2.7266070707009107E-2</v>
      </c>
      <c r="G13" s="95" t="str">
        <f>IF(F7=2,IF(F13&lt;=5%,"Pass","Fail"),"Pass")</f>
        <v>Pass</v>
      </c>
      <c r="H13" s="122"/>
    </row>
    <row r="14" spans="2:8" x14ac:dyDescent="0.3">
      <c r="B14" s="120"/>
      <c r="C14" s="13"/>
      <c r="E14" s="131" t="s">
        <v>125</v>
      </c>
      <c r="F14" s="107">
        <f>Ratios!C26/Ratios!C28</f>
        <v>6.8036564589949193E-4</v>
      </c>
      <c r="G14" s="95" t="str">
        <f>IF(E7="N",IF(F14&lt;80%,"Pass","Fail"),"Pass")</f>
        <v>Pass</v>
      </c>
      <c r="H14" s="122"/>
    </row>
    <row r="15" spans="2:8" x14ac:dyDescent="0.3">
      <c r="B15" s="120"/>
      <c r="C15" s="13"/>
      <c r="E15" s="131" t="s">
        <v>126</v>
      </c>
      <c r="F15" s="107">
        <f>Ratios!C28/Ratios!C22</f>
        <v>0.85887977827444317</v>
      </c>
      <c r="G15" s="95" t="str">
        <f>IF(E7="Y",IF(F15&gt;=5%,"Pass","Fail"),"Pass")</f>
        <v>Pass</v>
      </c>
      <c r="H15" s="122"/>
    </row>
    <row r="16" spans="2:8" x14ac:dyDescent="0.3">
      <c r="B16" s="120"/>
      <c r="C16" s="13"/>
      <c r="E16" s="131" t="s">
        <v>127</v>
      </c>
      <c r="F16" s="107">
        <f>Ratios!C9/Ratios!C22</f>
        <v>0.27066757288232934</v>
      </c>
      <c r="G16" s="95" t="str">
        <f>IF(E7="N",IF(F16&gt;=1%,"Pass","Fail"),"Pass")</f>
        <v>Pass</v>
      </c>
      <c r="H16" s="122"/>
    </row>
    <row r="17" spans="2:8" x14ac:dyDescent="0.3">
      <c r="B17" s="120"/>
      <c r="C17" s="13"/>
      <c r="E17" s="113"/>
      <c r="G17" s="11"/>
      <c r="H17" s="122"/>
    </row>
    <row r="18" spans="2:8" x14ac:dyDescent="0.3">
      <c r="B18" s="120"/>
      <c r="C18" s="13" t="s">
        <v>128</v>
      </c>
      <c r="D18" s="70"/>
      <c r="E18" s="129" t="s">
        <v>122</v>
      </c>
      <c r="F18" s="130" t="s">
        <v>70</v>
      </c>
      <c r="G18" s="130" t="s">
        <v>71</v>
      </c>
      <c r="H18" s="122"/>
    </row>
    <row r="19" spans="2:8" x14ac:dyDescent="0.3">
      <c r="B19" s="120"/>
      <c r="C19" s="13"/>
      <c r="D19" s="209" t="s">
        <v>129</v>
      </c>
      <c r="E19" s="133" t="s">
        <v>130</v>
      </c>
      <c r="F19" s="134">
        <f>Ratios!C6/1000</f>
        <v>3865.5230000000001</v>
      </c>
      <c r="G19" s="206" t="str">
        <f>IF(E7="N",IF(E6="Fast Grower",IF(F19&gt;435,IF(F20&lt;=40,"Pass","Fail"),"N/A"),"N/A"),IF(F20&lt;=40,"Pass","Fail"))</f>
        <v>N/A</v>
      </c>
      <c r="H19" s="122"/>
    </row>
    <row r="20" spans="2:8" x14ac:dyDescent="0.3">
      <c r="B20" s="120"/>
      <c r="C20" s="13"/>
      <c r="D20" s="210"/>
      <c r="E20" s="133" t="s">
        <v>80</v>
      </c>
      <c r="F20" s="135">
        <f>Ratios!C70</f>
        <v>20.503044226831562</v>
      </c>
      <c r="G20" s="206"/>
      <c r="H20" s="122"/>
    </row>
    <row r="21" spans="2:8" x14ac:dyDescent="0.3">
      <c r="B21" s="120"/>
      <c r="C21" s="13"/>
      <c r="D21" s="211"/>
      <c r="E21" s="133" t="s">
        <v>79</v>
      </c>
      <c r="F21" s="107">
        <f>Ratios!C88</f>
        <v>0.13578240917836032</v>
      </c>
      <c r="G21" s="95" t="str">
        <f>IF(E6="Fast Grower",IF(F21&lt;=50%,"Pass","Fail"),"N/A")</f>
        <v>N/A</v>
      </c>
      <c r="H21" s="122"/>
    </row>
    <row r="22" spans="2:8" x14ac:dyDescent="0.3">
      <c r="B22" s="120"/>
      <c r="C22" s="13"/>
      <c r="D22" s="212" t="s">
        <v>131</v>
      </c>
      <c r="E22" s="133" t="s">
        <v>130</v>
      </c>
      <c r="F22" s="134">
        <f>IF(E6="Stalwart",Ratios!C6/1000,"N/A")</f>
        <v>3865.5230000000001</v>
      </c>
      <c r="G22" s="95" t="str">
        <f>IF(E6="Stalwart",IF(E7="N",IF(F22&gt;827,"Pass","Fail"),"Pass"),"N/A")</f>
        <v>Pass</v>
      </c>
      <c r="H22" s="122"/>
    </row>
    <row r="23" spans="2:8" x14ac:dyDescent="0.3">
      <c r="B23" s="120"/>
      <c r="C23" s="13"/>
      <c r="D23" s="213"/>
      <c r="E23" s="133" t="s">
        <v>132</v>
      </c>
      <c r="F23" s="134">
        <f>IF(E6="Stalwart",Ratios!C11,"N/A")</f>
        <v>36.823799999999999</v>
      </c>
      <c r="G23" s="95" t="str">
        <f>IF(E6="Stalwart",IF(F23&gt;0,"Pass","Fail"),"N/A")</f>
        <v>Pass</v>
      </c>
      <c r="H23" s="122"/>
    </row>
    <row r="24" spans="2:8" x14ac:dyDescent="0.3">
      <c r="B24" s="120"/>
      <c r="C24" s="13"/>
      <c r="D24" s="203" t="s">
        <v>133</v>
      </c>
      <c r="E24" s="133" t="s">
        <v>130</v>
      </c>
      <c r="F24" s="134" t="str">
        <f>IF(E6="Slow Grower",Ratios!C6/1000,"N/A")</f>
        <v>N/A</v>
      </c>
      <c r="G24" s="95" t="str">
        <f>IF(E6="Slow Grower",IF(F24&gt;435,"Pass","Fail"),"N/A")</f>
        <v>N/A</v>
      </c>
      <c r="H24" s="122"/>
    </row>
    <row r="25" spans="2:8" x14ac:dyDescent="0.3">
      <c r="B25" s="120"/>
      <c r="C25" s="13"/>
      <c r="D25" s="204"/>
      <c r="E25" s="133" t="s">
        <v>134</v>
      </c>
      <c r="F25" s="43">
        <v>0.02</v>
      </c>
      <c r="G25" s="206" t="str">
        <f>IF(E6="Slow Grower",IF(F26&gt;=F25,IF(F26&gt;=3%,"Pass","Fail"),"Fail"),"N/A")</f>
        <v>N/A</v>
      </c>
      <c r="H25" s="122"/>
    </row>
    <row r="26" spans="2:8" x14ac:dyDescent="0.3">
      <c r="B26" s="120"/>
      <c r="C26" s="13"/>
      <c r="D26" s="205"/>
      <c r="E26" s="133" t="s">
        <v>135</v>
      </c>
      <c r="F26" s="107" t="str">
        <f>IF(E6="Slow Grower",(Ratios!C12/Ratios!C36)-1,"N/A")</f>
        <v>N/A</v>
      </c>
      <c r="G26" s="206"/>
      <c r="H26" s="122"/>
    </row>
    <row r="27" spans="2:8" x14ac:dyDescent="0.3">
      <c r="B27" s="120"/>
      <c r="C27" s="13"/>
      <c r="E27" s="113"/>
      <c r="G27" s="11"/>
      <c r="H27" s="122"/>
    </row>
    <row r="28" spans="2:8" x14ac:dyDescent="0.3">
      <c r="B28" s="120"/>
      <c r="C28" s="13" t="s">
        <v>136</v>
      </c>
      <c r="D28" s="13" t="s">
        <v>137</v>
      </c>
      <c r="E28" s="129" t="s">
        <v>122</v>
      </c>
      <c r="F28" s="130" t="s">
        <v>70</v>
      </c>
      <c r="G28" s="130" t="s">
        <v>71</v>
      </c>
      <c r="H28" s="122"/>
    </row>
    <row r="29" spans="2:8" x14ac:dyDescent="0.3">
      <c r="B29" s="120"/>
      <c r="C29" s="13"/>
      <c r="E29" s="133" t="s">
        <v>138</v>
      </c>
      <c r="F29" s="97">
        <f>(Ratios!C77/Ratios!C30)/Ratios!C36</f>
        <v>4.1003708609271522E-2</v>
      </c>
      <c r="G29" s="95" t="str">
        <f>IF(F29&gt;=35%,"Good","Neutral")</f>
        <v>Neutral</v>
      </c>
      <c r="H29" s="122"/>
    </row>
    <row r="30" spans="2:8" x14ac:dyDescent="0.3">
      <c r="B30" s="120"/>
      <c r="C30" s="13"/>
      <c r="E30" s="133" t="s">
        <v>139</v>
      </c>
      <c r="F30" s="136">
        <f>(Ratios!C15/Ratios!C30)/Ratios!C36</f>
        <v>4.075262693156733E-2</v>
      </c>
      <c r="G30" s="7" t="str">
        <f>IF(F30&gt;=54%,"Good","Neutral")</f>
        <v>Neutral</v>
      </c>
      <c r="H30" s="122"/>
    </row>
    <row r="31" spans="2:8" ht="15" thickBot="1" x14ac:dyDescent="0.35">
      <c r="B31" s="137"/>
      <c r="C31" s="138"/>
      <c r="D31" s="139"/>
      <c r="E31" s="140"/>
      <c r="F31" s="139"/>
      <c r="G31" s="141"/>
      <c r="H31" s="142"/>
    </row>
    <row r="32" spans="2:8" x14ac:dyDescent="0.3">
      <c r="C32" s="13"/>
      <c r="E32" s="113"/>
      <c r="G32" s="11"/>
    </row>
    <row r="33" spans="2:7" x14ac:dyDescent="0.3">
      <c r="B33" s="4" t="s">
        <v>87</v>
      </c>
    </row>
    <row r="34" spans="2:7" x14ac:dyDescent="0.3">
      <c r="B34" s="5" t="s">
        <v>88</v>
      </c>
    </row>
    <row r="35" spans="2:7" x14ac:dyDescent="0.3">
      <c r="B35" s="199" t="s">
        <v>309</v>
      </c>
      <c r="C35" s="199"/>
      <c r="D35" s="199"/>
      <c r="E35" s="199"/>
      <c r="F35" s="199"/>
    </row>
    <row r="36" spans="2:7" x14ac:dyDescent="0.3">
      <c r="C36" s="13"/>
      <c r="E36" s="113"/>
      <c r="G36" s="11"/>
    </row>
    <row r="37" spans="2:7" x14ac:dyDescent="0.3">
      <c r="B37" t="s">
        <v>253</v>
      </c>
    </row>
    <row r="38" spans="2:7" x14ac:dyDescent="0.3">
      <c r="B38" s="104" t="s">
        <v>258</v>
      </c>
    </row>
    <row r="39" spans="2:7" x14ac:dyDescent="0.3">
      <c r="B39" s="104" t="s">
        <v>257</v>
      </c>
    </row>
    <row r="40" spans="2:7" x14ac:dyDescent="0.3">
      <c r="B40" s="104" t="s">
        <v>255</v>
      </c>
    </row>
    <row r="41" spans="2:7" x14ac:dyDescent="0.3">
      <c r="B41" s="104" t="s">
        <v>254</v>
      </c>
    </row>
    <row r="42" spans="2:7" x14ac:dyDescent="0.3">
      <c r="B42" s="104" t="s">
        <v>252</v>
      </c>
    </row>
    <row r="43" spans="2:7" x14ac:dyDescent="0.3">
      <c r="B43" s="104" t="s">
        <v>256</v>
      </c>
    </row>
  </sheetData>
  <sheetProtection algorithmName="SHA-512" hashValue="IAJfa39UNus49dDfOlx56VpzUDdR2zKCzCcaivVAXmco1joTOovs0pQ4aisoaz80LU3BuJSKueSgGbKxs4nyAg==" saltValue="5xOYDsq+tDthqbvxOgGMaA==" spinCount="100000" sheet="1" objects="1" scenarios="1"/>
  <mergeCells count="8">
    <mergeCell ref="B35:F35"/>
    <mergeCell ref="D24:D26"/>
    <mergeCell ref="G25:G26"/>
    <mergeCell ref="C3:G3"/>
    <mergeCell ref="C4:G4"/>
    <mergeCell ref="D19:D21"/>
    <mergeCell ref="G19:G20"/>
    <mergeCell ref="D22:D23"/>
  </mergeCells>
  <hyperlinks>
    <hyperlink ref="B35" r:id="rId1" display="Klik link ini untuk penjelasan lebih lanjut tentang Peter Lynch Screening" xr:uid="{DA4E62CF-1AEF-4D12-AC94-FE7945D08C37}"/>
    <hyperlink ref="C4:G4" r:id="rId2" display="Klik link ini untuk mengetahui tentang Peter Lynch' screen di IG @investasijalanan" xr:uid="{51FFE8E0-5E6C-4A5F-8772-C8EF76B4BD4D}"/>
    <hyperlink ref="B42" r:id="rId3" display="   Kapan menjual saham fast growers?" xr:uid="{A2CCA90E-E57A-4A0A-99CF-35F04D0DA1F2}"/>
    <hyperlink ref="B41" r:id="rId4" xr:uid="{880405F3-93C5-4209-841C-6DA1E3721992}"/>
    <hyperlink ref="B40" r:id="rId5" xr:uid="{7334DC93-9B57-42FE-A1CA-44CDDBC59881}"/>
    <hyperlink ref="B43" r:id="rId6" xr:uid="{EA7CA26D-8064-45B8-AB04-091B6D163CE9}"/>
    <hyperlink ref="B39" r:id="rId7" xr:uid="{77D24FB6-44A0-49DA-9897-3787D2894D21}"/>
    <hyperlink ref="B38" r:id="rId8" xr:uid="{69D4B7FA-828F-4E83-A684-48797D1EA5DF}"/>
    <hyperlink ref="B35:E35" r:id="rId9" display="Klik link ini untuk penjelasan lebih lanjut tentang Peter Lynch Screening" xr:uid="{67CE20E9-2C9C-49E1-9E95-97CDCFD13344}"/>
  </hyperlinks>
  <pageMargins left="0.7" right="0.7" top="0.75" bottom="0.75" header="0.3" footer="0.3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F69A-5138-4A09-9C8D-41F41BFBF4C7}">
  <dimension ref="B2:F18"/>
  <sheetViews>
    <sheetView showGridLines="0" workbookViewId="0">
      <selection activeCell="E13" sqref="E13"/>
    </sheetView>
  </sheetViews>
  <sheetFormatPr defaultRowHeight="14.4" x14ac:dyDescent="0.3"/>
  <cols>
    <col min="3" max="3" width="23.44140625" customWidth="1"/>
    <col min="4" max="4" width="32.5546875" customWidth="1"/>
    <col min="5" max="5" width="21.6640625" customWidth="1"/>
    <col min="6" max="6" width="9.88671875" customWidth="1"/>
  </cols>
  <sheetData>
    <row r="2" spans="2:6" ht="25.8" x14ac:dyDescent="0.3">
      <c r="B2" s="197" t="s">
        <v>89</v>
      </c>
      <c r="C2" s="197"/>
      <c r="D2" s="197"/>
      <c r="E2" s="197"/>
      <c r="F2" s="197"/>
    </row>
    <row r="3" spans="2:6" x14ac:dyDescent="0.3">
      <c r="B3" s="198" t="s">
        <v>237</v>
      </c>
      <c r="C3" s="198"/>
      <c r="D3" s="198"/>
      <c r="E3" s="198"/>
      <c r="F3" s="198"/>
    </row>
    <row r="4" spans="2:6" ht="18" x14ac:dyDescent="0.35">
      <c r="B4" s="6" t="s">
        <v>90</v>
      </c>
      <c r="C4" s="6" t="s">
        <v>91</v>
      </c>
      <c r="D4" s="6" t="s">
        <v>92</v>
      </c>
      <c r="E4" s="6" t="s">
        <v>93</v>
      </c>
      <c r="F4" s="6" t="s">
        <v>94</v>
      </c>
    </row>
    <row r="5" spans="2:6" x14ac:dyDescent="0.3">
      <c r="B5" s="7">
        <v>1</v>
      </c>
      <c r="C5" s="8" t="s">
        <v>4</v>
      </c>
      <c r="D5" s="9" t="s">
        <v>95</v>
      </c>
      <c r="E5" s="7" t="str">
        <f>IF(Ratios!C9&gt;0,"Y","T")</f>
        <v>Y</v>
      </c>
      <c r="F5" s="7">
        <f>IF(E5="Y",1,0)</f>
        <v>1</v>
      </c>
    </row>
    <row r="6" spans="2:6" x14ac:dyDescent="0.3">
      <c r="B6" s="7">
        <v>2</v>
      </c>
      <c r="C6" s="8" t="s">
        <v>96</v>
      </c>
      <c r="D6" s="10" t="s">
        <v>97</v>
      </c>
      <c r="E6" s="7" t="str">
        <f>IF(Ratios!C33&gt;0,"Y","T")</f>
        <v>Y</v>
      </c>
      <c r="F6" s="7">
        <f t="shared" ref="F6:F13" si="0">IF(E6="Y",1,0)</f>
        <v>1</v>
      </c>
    </row>
    <row r="7" spans="2:6" ht="28.8" x14ac:dyDescent="0.3">
      <c r="B7" s="7">
        <v>3</v>
      </c>
      <c r="C7" s="8" t="s">
        <v>98</v>
      </c>
      <c r="D7" s="10" t="s">
        <v>99</v>
      </c>
      <c r="E7" s="7" t="str">
        <f>IF(Ratios!C8&gt;0,IF(Ratios!D8&gt;0,IF(Ratios!C45&gt;Ratios!D45,"Y","T"),"T"),"T")</f>
        <v>T</v>
      </c>
      <c r="F7" s="7">
        <f t="shared" si="0"/>
        <v>0</v>
      </c>
    </row>
    <row r="8" spans="2:6" ht="28.8" x14ac:dyDescent="0.3">
      <c r="B8" s="7">
        <v>4</v>
      </c>
      <c r="C8" s="8" t="s">
        <v>100</v>
      </c>
      <c r="D8" s="10" t="s">
        <v>101</v>
      </c>
      <c r="E8" s="7" t="str">
        <f>IF(Ratios!C33&gt;0,IF(Ratios!C9&gt;0,IF(Ratios!C33&gt;Ratios!C9,"Y","T"),"T"),"T")</f>
        <v>Y</v>
      </c>
      <c r="F8" s="7">
        <f t="shared" si="0"/>
        <v>1</v>
      </c>
    </row>
    <row r="9" spans="2:6" ht="28.8" x14ac:dyDescent="0.3">
      <c r="B9" s="7">
        <v>5</v>
      </c>
      <c r="C9" s="8" t="s">
        <v>102</v>
      </c>
      <c r="D9" s="10" t="s">
        <v>103</v>
      </c>
      <c r="E9" s="7" t="str">
        <f>IF(Ratios!C25/Ratios!C22&lt;=Ratios!D25/Ratios!D22,"Y","T")</f>
        <v>Y</v>
      </c>
      <c r="F9" s="7">
        <f t="shared" si="0"/>
        <v>1</v>
      </c>
    </row>
    <row r="10" spans="2:6" ht="28.8" x14ac:dyDescent="0.3">
      <c r="B10" s="7">
        <v>6</v>
      </c>
      <c r="C10" s="8" t="s">
        <v>75</v>
      </c>
      <c r="D10" s="10" t="s">
        <v>104</v>
      </c>
      <c r="E10" s="7" t="str">
        <f>IF(Ratios!C49&gt;Ratios!D49,"Y","T")</f>
        <v>T</v>
      </c>
      <c r="F10" s="7">
        <f t="shared" si="0"/>
        <v>0</v>
      </c>
    </row>
    <row r="11" spans="2:6" ht="28.8" x14ac:dyDescent="0.3">
      <c r="B11" s="7">
        <v>7</v>
      </c>
      <c r="C11" s="8" t="s">
        <v>105</v>
      </c>
      <c r="D11" s="10" t="s">
        <v>106</v>
      </c>
      <c r="E11" s="7" t="str">
        <f>IF(Ratios!C30&lt;=Ratios!D30,"Y","T")</f>
        <v>Y</v>
      </c>
      <c r="F11" s="7">
        <f t="shared" si="0"/>
        <v>1</v>
      </c>
    </row>
    <row r="12" spans="2:6" ht="28.8" x14ac:dyDescent="0.3">
      <c r="B12" s="7">
        <v>8</v>
      </c>
      <c r="C12" s="8" t="s">
        <v>107</v>
      </c>
      <c r="D12" s="10" t="s">
        <v>108</v>
      </c>
      <c r="E12" s="7" t="str">
        <f>IF(Ratios!C41&gt;Ratios!D41,"Y","T")</f>
        <v>T</v>
      </c>
      <c r="F12" s="7">
        <f t="shared" si="0"/>
        <v>0</v>
      </c>
    </row>
    <row r="13" spans="2:6" ht="28.8" x14ac:dyDescent="0.3">
      <c r="B13" s="7">
        <v>9</v>
      </c>
      <c r="C13" s="8" t="s">
        <v>62</v>
      </c>
      <c r="D13" s="10" t="s">
        <v>109</v>
      </c>
      <c r="E13" s="7" t="str">
        <f>IF((Ratios!C6/Ratios!C22)&gt;(Ratios!D6/Ratios!D22),"Y","T")</f>
        <v>T</v>
      </c>
      <c r="F13" s="7">
        <f t="shared" si="0"/>
        <v>0</v>
      </c>
    </row>
    <row r="14" spans="2:6" ht="21" x14ac:dyDescent="0.3">
      <c r="B14" s="214" t="s">
        <v>110</v>
      </c>
      <c r="C14" s="215"/>
      <c r="D14" s="216"/>
      <c r="E14" s="217"/>
      <c r="F14" s="12">
        <f>SUM(F5:F13)</f>
        <v>5</v>
      </c>
    </row>
    <row r="15" spans="2:6" x14ac:dyDescent="0.3">
      <c r="B15" s="11"/>
    </row>
    <row r="16" spans="2:6" x14ac:dyDescent="0.3">
      <c r="B16" s="4" t="s">
        <v>87</v>
      </c>
    </row>
    <row r="17" spans="2:5" x14ac:dyDescent="0.3">
      <c r="B17" s="5" t="s">
        <v>88</v>
      </c>
    </row>
    <row r="18" spans="2:5" x14ac:dyDescent="0.3">
      <c r="B18" s="199" t="s">
        <v>235</v>
      </c>
      <c r="C18" s="218"/>
      <c r="D18" s="218"/>
      <c r="E18" s="218"/>
    </row>
  </sheetData>
  <sheetProtection algorithmName="SHA-512" hashValue="H2T83yOoEsa04clgFe1946M6sgeqJ3EJgZ++HBeitN9ki2TEf98MYYp9hONjyrdEkJNiWgES0Nf3oU/AnxLpOA==" saltValue="Y2Ie7MZzVhJXuVxsAhyFNg==" spinCount="100000" sheet="1" objects="1" scenarios="1"/>
  <mergeCells count="4">
    <mergeCell ref="B2:F2"/>
    <mergeCell ref="B3:F3"/>
    <mergeCell ref="B14:E14"/>
    <mergeCell ref="B18:E18"/>
  </mergeCells>
  <conditionalFormatting sqref="F14">
    <cfRule type="cellIs" dxfId="2" priority="1" operator="between">
      <formula>2</formula>
      <formula>8</formula>
    </cfRule>
    <cfRule type="cellIs" dxfId="1" priority="2" operator="lessThanOrEqual">
      <formula>2</formula>
    </cfRule>
    <cfRule type="cellIs" dxfId="0" priority="3" operator="greaterThan">
      <formula>7</formula>
    </cfRule>
  </conditionalFormatting>
  <hyperlinks>
    <hyperlink ref="B3:F3" r:id="rId1" display="Klik untuk penjelasan Piotroski's F-Score di IG @investasijalanan" xr:uid="{6A6A0206-5365-41A2-9B2B-894FC268305D}"/>
    <hyperlink ref="B18" r:id="rId2" display="http://parahita.wordpress.com/2011/01/18/piotroski-f-score-good-fundamentals-low-price/" xr:uid="{77CCFEBB-447F-41EF-9F3C-294834432A36}"/>
    <hyperlink ref="B18:E18" r:id="rId3" display="Penjelasan Piotroski's F-Score di IG @investasijalanan" xr:uid="{44E635D5-158E-4C4D-BB13-615859BC531E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232F-0755-48EE-AB64-8DCF4453E98B}">
  <dimension ref="A1:F60"/>
  <sheetViews>
    <sheetView showGridLines="0" workbookViewId="0">
      <selection activeCell="I7" sqref="I7"/>
    </sheetView>
  </sheetViews>
  <sheetFormatPr defaultRowHeight="14.4" x14ac:dyDescent="0.3"/>
  <cols>
    <col min="2" max="2" width="3.109375" customWidth="1"/>
    <col min="3" max="3" width="32.33203125" customWidth="1"/>
    <col min="4" max="4" width="25.5546875" bestFit="1" customWidth="1"/>
    <col min="5" max="5" width="3.44140625" customWidth="1"/>
  </cols>
  <sheetData>
    <row r="1" spans="1:6" x14ac:dyDescent="0.3">
      <c r="A1" s="3"/>
      <c r="B1" s="3"/>
      <c r="C1" s="143"/>
      <c r="D1" s="143"/>
      <c r="E1" s="3"/>
      <c r="F1" s="3"/>
    </row>
    <row r="2" spans="1:6" x14ac:dyDescent="0.3">
      <c r="A2" s="3"/>
      <c r="B2" s="144"/>
      <c r="C2" s="145"/>
      <c r="D2" s="145"/>
      <c r="E2" s="146"/>
      <c r="F2" s="3"/>
    </row>
    <row r="3" spans="1:6" ht="23.4" x14ac:dyDescent="0.3">
      <c r="A3" s="3"/>
      <c r="B3" s="147"/>
      <c r="C3" s="219" t="str">
        <f>"Metode Valuasi Equity-Bond "&amp;LEFT(Ratios!B2,4)</f>
        <v>Metode Valuasi Equity-Bond ABCD</v>
      </c>
      <c r="D3" s="220"/>
      <c r="E3" s="148"/>
      <c r="F3" s="3"/>
    </row>
    <row r="4" spans="1:6" x14ac:dyDescent="0.3">
      <c r="A4" s="3"/>
      <c r="B4" s="147"/>
      <c r="C4" s="221" t="s">
        <v>215</v>
      </c>
      <c r="D4" s="222"/>
      <c r="E4" s="148"/>
      <c r="F4" s="3"/>
    </row>
    <row r="5" spans="1:6" x14ac:dyDescent="0.3">
      <c r="A5" s="3"/>
      <c r="B5" s="147"/>
      <c r="C5" s="14"/>
      <c r="D5" s="149"/>
      <c r="E5" s="148"/>
      <c r="F5" s="3"/>
    </row>
    <row r="6" spans="1:6" x14ac:dyDescent="0.3">
      <c r="A6" s="3"/>
      <c r="B6" s="147"/>
      <c r="C6" s="150" t="str">
        <f>"Harga tahun " &amp; Ratios!C5</f>
        <v>Harga tahun 2022</v>
      </c>
      <c r="D6" s="151">
        <f>Ratios!C36</f>
        <v>755</v>
      </c>
      <c r="E6" s="148"/>
      <c r="F6" s="3"/>
    </row>
    <row r="7" spans="1:6" x14ac:dyDescent="0.3">
      <c r="A7" s="3"/>
      <c r="B7" s="147"/>
      <c r="C7" s="150" t="str">
        <f>"Est EPS (EOY) (Year "&amp;Ratios!C5+1&amp;")"</f>
        <v>Est EPS (EOY) (Year 2023)</v>
      </c>
      <c r="D7" s="151">
        <f>Ratios!C11*(1+D16)</f>
        <v>40.506180000000001</v>
      </c>
      <c r="E7" s="148"/>
      <c r="F7" s="3"/>
    </row>
    <row r="8" spans="1:6" x14ac:dyDescent="0.3">
      <c r="A8" s="3"/>
      <c r="B8" s="147"/>
      <c r="C8" s="150" t="s">
        <v>140</v>
      </c>
      <c r="D8" s="152">
        <f>Ratios!H70</f>
        <v>21.901146695056013</v>
      </c>
      <c r="E8" s="148"/>
      <c r="F8" s="3"/>
    </row>
    <row r="9" spans="1:6" x14ac:dyDescent="0.3">
      <c r="A9" s="3"/>
      <c r="B9" s="147"/>
      <c r="C9" s="150" t="s">
        <v>302</v>
      </c>
      <c r="D9" s="151">
        <f>D7*Ratios!H71</f>
        <v>35.630140114810935</v>
      </c>
      <c r="E9" s="148"/>
      <c r="F9" s="3"/>
    </row>
    <row r="10" spans="1:6" x14ac:dyDescent="0.3">
      <c r="A10" s="3"/>
      <c r="B10" s="147"/>
      <c r="C10" s="150" t="s">
        <v>141</v>
      </c>
      <c r="D10" s="153">
        <f>Ratios!H14</f>
        <v>0.14979718376689058</v>
      </c>
      <c r="E10" s="148"/>
      <c r="F10" s="3"/>
    </row>
    <row r="11" spans="1:6" x14ac:dyDescent="0.3">
      <c r="A11" s="3"/>
      <c r="B11" s="147"/>
      <c r="C11" s="150" t="s">
        <v>293</v>
      </c>
      <c r="D11" s="15">
        <v>5.7500000000000002E-2</v>
      </c>
      <c r="E11" s="148"/>
      <c r="F11" s="3"/>
    </row>
    <row r="12" spans="1:6" x14ac:dyDescent="0.3">
      <c r="A12" s="3"/>
      <c r="B12" s="147"/>
      <c r="C12" s="150" t="s">
        <v>142</v>
      </c>
      <c r="D12" s="153">
        <v>0.05</v>
      </c>
      <c r="E12" s="148"/>
      <c r="F12" s="3"/>
    </row>
    <row r="13" spans="1:6" x14ac:dyDescent="0.3">
      <c r="A13" s="3"/>
      <c r="B13" s="147"/>
      <c r="C13" s="150" t="s">
        <v>143</v>
      </c>
      <c r="D13" s="153">
        <f>D11+D12</f>
        <v>0.10750000000000001</v>
      </c>
      <c r="E13" s="148"/>
      <c r="F13" s="3"/>
    </row>
    <row r="14" spans="1:6" x14ac:dyDescent="0.3">
      <c r="A14" s="3"/>
      <c r="B14" s="147"/>
      <c r="C14" s="150" t="s">
        <v>144</v>
      </c>
      <c r="D14" s="152">
        <f>D46/D7</f>
        <v>19.977504826026955</v>
      </c>
      <c r="E14" s="148"/>
      <c r="F14" s="3"/>
    </row>
    <row r="15" spans="1:6" x14ac:dyDescent="0.3">
      <c r="A15" s="3"/>
      <c r="B15" s="147"/>
      <c r="C15" s="150" t="s">
        <v>145</v>
      </c>
      <c r="D15" s="153">
        <f>D9/D7</f>
        <v>0.87962232219406855</v>
      </c>
      <c r="E15" s="148"/>
      <c r="F15" s="3"/>
    </row>
    <row r="16" spans="1:6" x14ac:dyDescent="0.3">
      <c r="A16" s="3"/>
      <c r="B16" s="147"/>
      <c r="C16" s="150" t="s">
        <v>146</v>
      </c>
      <c r="D16" s="154">
        <f>IF(D10&gt;15%,15%,IF(D10&gt;10%,10%,D10))</f>
        <v>0.1</v>
      </c>
      <c r="E16" s="148"/>
      <c r="F16" s="3"/>
    </row>
    <row r="17" spans="1:6" x14ac:dyDescent="0.3">
      <c r="A17" s="3"/>
      <c r="B17" s="147"/>
      <c r="C17" s="150" t="s">
        <v>147</v>
      </c>
      <c r="D17" s="152">
        <f>MAX(IF(D8&gt;17,17,IF(D8&gt;12,12,D8)))</f>
        <v>17</v>
      </c>
      <c r="E17" s="148"/>
      <c r="F17" s="3"/>
    </row>
    <row r="18" spans="1:6" x14ac:dyDescent="0.3">
      <c r="A18" s="3"/>
      <c r="B18" s="147"/>
      <c r="C18" s="155"/>
      <c r="D18" s="155"/>
      <c r="E18" s="148"/>
      <c r="F18" s="3"/>
    </row>
    <row r="19" spans="1:6" x14ac:dyDescent="0.3">
      <c r="A19" s="3"/>
      <c r="B19" s="147"/>
      <c r="C19" s="156" t="s">
        <v>115</v>
      </c>
      <c r="D19" s="155"/>
      <c r="E19" s="148"/>
      <c r="F19" s="3"/>
    </row>
    <row r="20" spans="1:6" x14ac:dyDescent="0.3">
      <c r="A20" s="3"/>
      <c r="B20" s="147"/>
      <c r="C20" s="223" t="s">
        <v>148</v>
      </c>
      <c r="D20" s="224"/>
      <c r="E20" s="148"/>
      <c r="F20" s="3"/>
    </row>
    <row r="21" spans="1:6" ht="15" thickBot="1" x14ac:dyDescent="0.35">
      <c r="A21" s="3"/>
      <c r="B21" s="147"/>
      <c r="C21" s="157"/>
      <c r="D21" s="158" t="s">
        <v>149</v>
      </c>
      <c r="E21" s="148"/>
      <c r="F21" s="3"/>
    </row>
    <row r="22" spans="1:6" x14ac:dyDescent="0.3">
      <c r="A22" s="3"/>
      <c r="B22" s="147"/>
      <c r="C22" s="159" t="str">
        <f>"Akhir tahun "&amp;Ratios!C5+2</f>
        <v>Akhir tahun 2024</v>
      </c>
      <c r="D22" s="160">
        <f>(1+$D$16)*$D$7</f>
        <v>44.556798000000008</v>
      </c>
      <c r="E22" s="148"/>
      <c r="F22" s="3"/>
    </row>
    <row r="23" spans="1:6" x14ac:dyDescent="0.3">
      <c r="A23" s="3"/>
      <c r="B23" s="147"/>
      <c r="C23" s="159" t="str">
        <f>"Akhir tahun "&amp;Ratios!C5+3</f>
        <v>Akhir tahun 2025</v>
      </c>
      <c r="D23" s="160">
        <f>(1+$D$16)*D22</f>
        <v>49.012477800000013</v>
      </c>
      <c r="E23" s="148"/>
      <c r="F23" s="3"/>
    </row>
    <row r="24" spans="1:6" x14ac:dyDescent="0.3">
      <c r="A24" s="3"/>
      <c r="B24" s="147"/>
      <c r="C24" s="159" t="str">
        <f>"Akhir tahun "&amp;Ratios!C5+4</f>
        <v>Akhir tahun 2026</v>
      </c>
      <c r="D24" s="160">
        <f>(1+$D$16)*D23</f>
        <v>53.913725580000019</v>
      </c>
      <c r="E24" s="148"/>
      <c r="F24" s="3"/>
    </row>
    <row r="25" spans="1:6" x14ac:dyDescent="0.3">
      <c r="A25" s="3"/>
      <c r="B25" s="147"/>
      <c r="C25" s="159" t="str">
        <f>"Akhir tahun "&amp;Ratios!C5+5</f>
        <v>Akhir tahun 2027</v>
      </c>
      <c r="D25" s="160">
        <f>(1+$D$16)*D24</f>
        <v>59.305098138000027</v>
      </c>
      <c r="E25" s="148"/>
      <c r="F25" s="3"/>
    </row>
    <row r="26" spans="1:6" ht="15" thickBot="1" x14ac:dyDescent="0.35">
      <c r="A26" s="3"/>
      <c r="B26" s="147"/>
      <c r="C26" s="161" t="str">
        <f>"Akhir tahun "&amp;Ratios!C5+6</f>
        <v>Akhir tahun 2028</v>
      </c>
      <c r="D26" s="162">
        <f>(1+$D$16)*D25</f>
        <v>65.235607951800034</v>
      </c>
      <c r="E26" s="148"/>
      <c r="F26" s="3"/>
    </row>
    <row r="27" spans="1:6" ht="15" thickTop="1" x14ac:dyDescent="0.3">
      <c r="A27" s="3"/>
      <c r="B27" s="147"/>
      <c r="C27" s="155"/>
      <c r="D27" s="155"/>
      <c r="E27" s="148"/>
      <c r="F27" s="3"/>
    </row>
    <row r="28" spans="1:6" x14ac:dyDescent="0.3">
      <c r="A28" s="3"/>
      <c r="B28" s="147"/>
      <c r="C28" s="156" t="s">
        <v>120</v>
      </c>
      <c r="D28" s="155"/>
      <c r="E28" s="148"/>
      <c r="F28" s="3"/>
    </row>
    <row r="29" spans="1:6" x14ac:dyDescent="0.3">
      <c r="A29" s="3"/>
      <c r="B29" s="147"/>
      <c r="C29" s="155" t="s">
        <v>150</v>
      </c>
      <c r="D29" s="160">
        <f>D26*D17</f>
        <v>1109.0053351806005</v>
      </c>
      <c r="E29" s="148"/>
      <c r="F29" s="3"/>
    </row>
    <row r="30" spans="1:6" x14ac:dyDescent="0.3">
      <c r="A30" s="3"/>
      <c r="B30" s="147"/>
      <c r="C30" s="155" t="s">
        <v>151</v>
      </c>
      <c r="D30" s="160">
        <f>SUM(D22:D26)</f>
        <v>272.02370746980012</v>
      </c>
      <c r="E30" s="148"/>
      <c r="F30" s="3"/>
    </row>
    <row r="31" spans="1:6" x14ac:dyDescent="0.3">
      <c r="A31" s="3"/>
      <c r="B31" s="147"/>
      <c r="C31" s="155"/>
      <c r="D31" s="155"/>
      <c r="E31" s="148"/>
      <c r="F31" s="3"/>
    </row>
    <row r="32" spans="1:6" x14ac:dyDescent="0.3">
      <c r="A32" s="3"/>
      <c r="B32" s="147"/>
      <c r="C32" s="156" t="s">
        <v>128</v>
      </c>
      <c r="D32" s="155"/>
      <c r="E32" s="148"/>
      <c r="F32" s="3"/>
    </row>
    <row r="33" spans="1:6" x14ac:dyDescent="0.3">
      <c r="A33" s="3"/>
      <c r="B33" s="147"/>
      <c r="C33" s="155" t="s">
        <v>152</v>
      </c>
      <c r="D33" s="160">
        <f>D30*D15</f>
        <v>239.27812525642557</v>
      </c>
      <c r="E33" s="148"/>
      <c r="F33" s="3"/>
    </row>
    <row r="34" spans="1:6" x14ac:dyDescent="0.3">
      <c r="A34" s="3"/>
      <c r="B34" s="147"/>
      <c r="C34" s="155"/>
      <c r="D34" s="155"/>
      <c r="E34" s="148"/>
      <c r="F34" s="3"/>
    </row>
    <row r="35" spans="1:6" x14ac:dyDescent="0.3">
      <c r="A35" s="3"/>
      <c r="B35" s="147"/>
      <c r="C35" s="156" t="s">
        <v>136</v>
      </c>
      <c r="D35" s="155"/>
      <c r="E35" s="148"/>
      <c r="F35" s="3"/>
    </row>
    <row r="36" spans="1:6" x14ac:dyDescent="0.3">
      <c r="A36" s="3"/>
      <c r="B36" s="147"/>
      <c r="C36" s="155" t="s">
        <v>153</v>
      </c>
      <c r="D36" s="160">
        <f>D29+D33</f>
        <v>1348.283460437026</v>
      </c>
      <c r="E36" s="148"/>
      <c r="F36" s="3"/>
    </row>
    <row r="37" spans="1:6" x14ac:dyDescent="0.3">
      <c r="A37" s="3"/>
      <c r="B37" s="147"/>
      <c r="C37" s="155"/>
      <c r="D37" s="155"/>
      <c r="E37" s="148"/>
      <c r="F37" s="3"/>
    </row>
    <row r="38" spans="1:6" x14ac:dyDescent="0.3">
      <c r="A38" s="3"/>
      <c r="B38" s="147"/>
      <c r="C38" s="156" t="s">
        <v>154</v>
      </c>
      <c r="D38" s="155"/>
      <c r="E38" s="148"/>
      <c r="F38" s="3"/>
    </row>
    <row r="39" spans="1:6" x14ac:dyDescent="0.3">
      <c r="A39" s="3"/>
      <c r="B39" s="147"/>
      <c r="C39" s="155" t="s">
        <v>155</v>
      </c>
      <c r="D39" s="155"/>
      <c r="E39" s="148"/>
      <c r="F39" s="3"/>
    </row>
    <row r="40" spans="1:6" x14ac:dyDescent="0.3">
      <c r="A40" s="3"/>
      <c r="B40" s="147"/>
      <c r="C40" s="225" t="s">
        <v>156</v>
      </c>
      <c r="D40" s="225"/>
      <c r="E40" s="148"/>
      <c r="F40" s="3"/>
    </row>
    <row r="41" spans="1:6" ht="15" thickBot="1" x14ac:dyDescent="0.35">
      <c r="A41" s="3"/>
      <c r="B41" s="147"/>
      <c r="C41" s="163"/>
      <c r="D41" s="164" t="s">
        <v>157</v>
      </c>
      <c r="E41" s="148"/>
      <c r="F41" s="3"/>
    </row>
    <row r="42" spans="1:6" x14ac:dyDescent="0.3">
      <c r="A42" s="3"/>
      <c r="B42" s="147"/>
      <c r="C42" s="159" t="str">
        <f>"Tahun "&amp;Ratios!C5+5</f>
        <v>Tahun 2027</v>
      </c>
      <c r="D42" s="160">
        <f>D36/(1+$D$13)</f>
        <v>1217.4117024262086</v>
      </c>
      <c r="E42" s="148"/>
      <c r="F42" s="3"/>
    </row>
    <row r="43" spans="1:6" x14ac:dyDescent="0.3">
      <c r="A43" s="3"/>
      <c r="B43" s="147"/>
      <c r="C43" s="159" t="str">
        <f>"Tahun "&amp;Ratios!C5+4</f>
        <v>Tahun 2026</v>
      </c>
      <c r="D43" s="160">
        <f>D42/(1+$D$13)</f>
        <v>1099.2430721681344</v>
      </c>
      <c r="E43" s="148"/>
      <c r="F43" s="3"/>
    </row>
    <row r="44" spans="1:6" x14ac:dyDescent="0.3">
      <c r="A44" s="3"/>
      <c r="B44" s="147"/>
      <c r="C44" s="159" t="str">
        <f>"Tahun "&amp;Ratios!C5+3</f>
        <v>Tahun 2025</v>
      </c>
      <c r="D44" s="160">
        <f>D43/(1+$D$13)</f>
        <v>992.54453468906047</v>
      </c>
      <c r="E44" s="148"/>
      <c r="F44" s="3"/>
    </row>
    <row r="45" spans="1:6" x14ac:dyDescent="0.3">
      <c r="A45" s="3"/>
      <c r="B45" s="147"/>
      <c r="C45" s="159" t="str">
        <f>"Tahun "&amp;Ratios!C5+2</f>
        <v>Tahun 2024</v>
      </c>
      <c r="D45" s="160">
        <f>D44/(1+$D$13)</f>
        <v>896.20274012556251</v>
      </c>
      <c r="E45" s="148"/>
      <c r="F45" s="3"/>
    </row>
    <row r="46" spans="1:6" ht="18.600000000000001" thickBot="1" x14ac:dyDescent="0.4">
      <c r="A46" s="3"/>
      <c r="B46" s="147"/>
      <c r="C46" s="161" t="str">
        <f>"Tahun "&amp;Ratios!C5+1</f>
        <v>Tahun 2023</v>
      </c>
      <c r="D46" s="165">
        <f>D45/(1+$D$13)</f>
        <v>809.2124064339165</v>
      </c>
      <c r="E46" s="148"/>
      <c r="F46" s="3"/>
    </row>
    <row r="47" spans="1:6" ht="15" thickTop="1" x14ac:dyDescent="0.3">
      <c r="A47" s="3"/>
      <c r="B47" s="147"/>
      <c r="C47" s="155"/>
      <c r="D47" s="155"/>
      <c r="E47" s="148"/>
      <c r="F47" s="3"/>
    </row>
    <row r="48" spans="1:6" x14ac:dyDescent="0.3">
      <c r="A48" s="3"/>
      <c r="B48" s="147"/>
      <c r="C48" s="155"/>
      <c r="D48" s="155"/>
      <c r="E48" s="148"/>
      <c r="F48" s="3"/>
    </row>
    <row r="49" spans="1:6" ht="18" x14ac:dyDescent="0.35">
      <c r="A49" s="3"/>
      <c r="B49" s="147"/>
      <c r="C49" s="166" t="s">
        <v>158</v>
      </c>
      <c r="D49" s="167">
        <f>D46</f>
        <v>809.2124064339165</v>
      </c>
      <c r="E49" s="148"/>
      <c r="F49" s="3"/>
    </row>
    <row r="50" spans="1:6" ht="18" x14ac:dyDescent="0.35">
      <c r="A50" s="3"/>
      <c r="B50" s="147"/>
      <c r="C50" s="166" t="s">
        <v>159</v>
      </c>
      <c r="D50" s="168">
        <f>(D49-D6)/D49</f>
        <v>6.6994037662895994E-2</v>
      </c>
      <c r="E50" s="148"/>
      <c r="F50" s="3"/>
    </row>
    <row r="51" spans="1:6" x14ac:dyDescent="0.3">
      <c r="A51" s="3"/>
      <c r="B51" s="147"/>
      <c r="C51" s="155"/>
      <c r="D51" s="155"/>
      <c r="E51" s="148"/>
      <c r="F51" s="3"/>
    </row>
    <row r="52" spans="1:6" ht="18" x14ac:dyDescent="0.35">
      <c r="A52" s="3"/>
      <c r="B52" s="147"/>
      <c r="C52" s="169" t="s">
        <v>160</v>
      </c>
      <c r="D52" s="170">
        <f>Ratios!D88</f>
        <v>0.83768538664504344</v>
      </c>
      <c r="E52" s="148"/>
      <c r="F52" s="3"/>
    </row>
    <row r="53" spans="1:6" x14ac:dyDescent="0.3">
      <c r="A53" s="3"/>
      <c r="B53" s="147"/>
      <c r="C53" s="171" t="s">
        <v>291</v>
      </c>
      <c r="D53" s="155"/>
      <c r="E53" s="148"/>
      <c r="F53" s="3"/>
    </row>
    <row r="54" spans="1:6" x14ac:dyDescent="0.3">
      <c r="A54" s="3"/>
      <c r="B54" s="147"/>
      <c r="C54" s="172" t="s">
        <v>65</v>
      </c>
      <c r="D54" s="155"/>
      <c r="E54" s="148"/>
      <c r="F54" s="3"/>
    </row>
    <row r="55" spans="1:6" x14ac:dyDescent="0.3">
      <c r="A55" s="3"/>
      <c r="B55" s="147"/>
      <c r="C55" s="226" t="s">
        <v>215</v>
      </c>
      <c r="D55" s="200"/>
      <c r="E55" s="148"/>
      <c r="F55" s="3"/>
    </row>
    <row r="56" spans="1:6" x14ac:dyDescent="0.3">
      <c r="A56" s="3"/>
      <c r="B56" s="173"/>
      <c r="C56" s="174"/>
      <c r="D56" s="174"/>
      <c r="E56" s="175"/>
      <c r="F56" s="3"/>
    </row>
    <row r="57" spans="1:6" x14ac:dyDescent="0.3">
      <c r="A57" s="3"/>
      <c r="B57" s="3"/>
      <c r="C57" s="143"/>
      <c r="D57" s="143"/>
      <c r="E57" s="3"/>
      <c r="F57" s="3"/>
    </row>
    <row r="58" spans="1:6" x14ac:dyDescent="0.3">
      <c r="A58" s="3"/>
      <c r="B58" s="176" t="s">
        <v>161</v>
      </c>
      <c r="C58" s="143"/>
      <c r="D58" s="143"/>
      <c r="E58" s="3"/>
      <c r="F58" s="3"/>
    </row>
    <row r="59" spans="1:6" x14ac:dyDescent="0.3">
      <c r="A59" s="3"/>
      <c r="B59" s="3" t="s">
        <v>162</v>
      </c>
      <c r="C59" s="143"/>
      <c r="D59" s="143"/>
      <c r="E59" s="3"/>
      <c r="F59" s="3"/>
    </row>
    <row r="60" spans="1:6" x14ac:dyDescent="0.3">
      <c r="A60" s="3"/>
      <c r="B60" s="3"/>
      <c r="C60" s="143"/>
      <c r="D60" s="143"/>
      <c r="E60" s="3"/>
      <c r="F60" s="3"/>
    </row>
  </sheetData>
  <sheetProtection algorithmName="SHA-512" hashValue="lfMuBtvEk7c8g/4IFUghZ2WBxq/unwVjTuCQQ0H/Je8OT3jyFBGur0RQst8aW7XMTa1Lo+GIr6AB5nRiOT+Yug==" saltValue="0mZ4ZChl4ukQPE/hxkeWtQ==" spinCount="100000" sheet="1" objects="1" scenarios="1"/>
  <mergeCells count="5">
    <mergeCell ref="C3:D3"/>
    <mergeCell ref="C4:D4"/>
    <mergeCell ref="C20:D20"/>
    <mergeCell ref="C40:D40"/>
    <mergeCell ref="C55:D55"/>
  </mergeCells>
  <hyperlinks>
    <hyperlink ref="C55" r:id="rId1" display="visit http://parahita.wordpress.com to check for the updates" xr:uid="{37ECBDAC-9298-429A-A891-E85D6E7071EA}"/>
    <hyperlink ref="C4:D4" r:id="rId2" display="Klik link ini untuk mengunjungi IG @investasijalanan" xr:uid="{8350B627-B14A-439A-9C0C-0F0DAD8663A5}"/>
    <hyperlink ref="C55:D55" r:id="rId3" display="Klik link ini untuk mengunjungi IG @investasijalanan" xr:uid="{289343AE-BE00-41E6-9BDC-F26D0AF78EE7}"/>
  </hyperlinks>
  <pageMargins left="0.7" right="0.7" top="0.75" bottom="0.75" header="0.3" footer="0.3"/>
  <ignoredErrors>
    <ignoredError sqref="D6 D10 D13" unlockedFormula="1"/>
  </ignoredErrors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2733-707A-4004-A3FB-F736D60A9FC3}">
  <dimension ref="B2:E19"/>
  <sheetViews>
    <sheetView showGridLines="0" workbookViewId="0">
      <selection activeCell="E5" sqref="E5"/>
    </sheetView>
  </sheetViews>
  <sheetFormatPr defaultRowHeight="14.4" x14ac:dyDescent="0.3"/>
  <cols>
    <col min="1" max="1" width="3.109375" customWidth="1"/>
    <col min="2" max="2" width="28.6640625" bestFit="1" customWidth="1"/>
    <col min="3" max="4" width="16" style="11" customWidth="1"/>
    <col min="5" max="5" width="16" customWidth="1"/>
  </cols>
  <sheetData>
    <row r="2" spans="2:5" ht="25.8" x14ac:dyDescent="0.5">
      <c r="B2" s="207" t="s">
        <v>269</v>
      </c>
      <c r="C2" s="207"/>
      <c r="D2" s="207"/>
      <c r="E2" s="207"/>
    </row>
    <row r="3" spans="2:5" x14ac:dyDescent="0.3">
      <c r="B3" s="227" t="s">
        <v>267</v>
      </c>
      <c r="C3" s="227"/>
      <c r="D3" s="227"/>
      <c r="E3" s="227"/>
    </row>
    <row r="4" spans="2:5" x14ac:dyDescent="0.3">
      <c r="C4" s="123" t="s">
        <v>260</v>
      </c>
      <c r="D4" s="123" t="s">
        <v>261</v>
      </c>
      <c r="E4" s="1" t="s">
        <v>263</v>
      </c>
    </row>
    <row r="5" spans="2:5" x14ac:dyDescent="0.3">
      <c r="B5" t="s">
        <v>5</v>
      </c>
      <c r="C5" s="177">
        <f>Ratios!C15</f>
        <v>923047</v>
      </c>
      <c r="D5" s="178">
        <v>1</v>
      </c>
      <c r="E5" s="179">
        <f>C5*D5</f>
        <v>923047</v>
      </c>
    </row>
    <row r="6" spans="2:5" x14ac:dyDescent="0.3">
      <c r="B6" t="s">
        <v>262</v>
      </c>
      <c r="C6" s="177">
        <f>Ratios!C16</f>
        <v>686662</v>
      </c>
      <c r="D6" s="178">
        <v>0.75</v>
      </c>
      <c r="E6" s="179">
        <f>C6*D6</f>
        <v>514996.5</v>
      </c>
    </row>
    <row r="7" spans="2:5" x14ac:dyDescent="0.3">
      <c r="B7" t="s">
        <v>7</v>
      </c>
      <c r="C7" s="177">
        <f>Ratios!C17</f>
        <v>542624</v>
      </c>
      <c r="D7" s="178">
        <v>0.5</v>
      </c>
      <c r="E7" s="179">
        <f>C7*D7</f>
        <v>271312</v>
      </c>
    </row>
    <row r="8" spans="2:5" x14ac:dyDescent="0.3">
      <c r="B8" s="13" t="s">
        <v>265</v>
      </c>
      <c r="C8" s="180"/>
      <c r="D8" s="180"/>
      <c r="E8" s="181">
        <f>SUM(E5:E7)</f>
        <v>1709355.5</v>
      </c>
    </row>
    <row r="9" spans="2:5" x14ac:dyDescent="0.3">
      <c r="C9" s="182"/>
      <c r="D9" s="182"/>
      <c r="E9" s="177"/>
    </row>
    <row r="10" spans="2:5" x14ac:dyDescent="0.3">
      <c r="B10" t="s">
        <v>264</v>
      </c>
      <c r="C10" s="182"/>
      <c r="D10" s="182"/>
      <c r="E10" s="179">
        <f>Ratios!C27</f>
        <v>575967</v>
      </c>
    </row>
    <row r="11" spans="2:5" x14ac:dyDescent="0.3">
      <c r="B11" s="13" t="s">
        <v>266</v>
      </c>
      <c r="C11" s="180"/>
      <c r="D11" s="180"/>
      <c r="E11" s="181">
        <f>E8-E10</f>
        <v>1133388.5</v>
      </c>
    </row>
    <row r="12" spans="2:5" x14ac:dyDescent="0.3">
      <c r="B12" t="s">
        <v>18</v>
      </c>
      <c r="C12" s="182"/>
      <c r="D12" s="182"/>
      <c r="E12" s="179">
        <f>Ratios!C30</f>
        <v>30000</v>
      </c>
    </row>
    <row r="13" spans="2:5" x14ac:dyDescent="0.3">
      <c r="E13" s="44"/>
    </row>
    <row r="14" spans="2:5" ht="18" x14ac:dyDescent="0.35">
      <c r="B14" s="47" t="s">
        <v>270</v>
      </c>
      <c r="C14" s="183"/>
      <c r="D14" s="183"/>
      <c r="E14" s="48">
        <f>E11/E12</f>
        <v>37.779616666666669</v>
      </c>
    </row>
    <row r="15" spans="2:5" x14ac:dyDescent="0.3">
      <c r="E15" s="184"/>
    </row>
    <row r="16" spans="2:5" x14ac:dyDescent="0.3">
      <c r="E16" s="184"/>
    </row>
    <row r="17" spans="2:5" x14ac:dyDescent="0.3">
      <c r="B17" s="4" t="s">
        <v>87</v>
      </c>
      <c r="C17"/>
      <c r="D17"/>
    </row>
    <row r="18" spans="2:5" x14ac:dyDescent="0.3">
      <c r="B18" s="5" t="s">
        <v>88</v>
      </c>
      <c r="C18"/>
      <c r="D18"/>
    </row>
    <row r="19" spans="2:5" x14ac:dyDescent="0.3">
      <c r="B19" s="228" t="s">
        <v>268</v>
      </c>
      <c r="C19" s="228"/>
      <c r="D19" s="228"/>
      <c r="E19" s="228"/>
    </row>
  </sheetData>
  <sheetProtection algorithmName="SHA-512" hashValue="536T4/cagtJSjKnAjWMK9kl/RpHU7kWBXanBKy0kdRbiO17mJXPh23Ty9deNlqF4/mDXnNP5jzRbnv3/sW9wIA==" saltValue="RRdfZy3FCJCKRgCPLWSZ9g==" spinCount="100000" sheet="1" objects="1" scenarios="1"/>
  <mergeCells count="3">
    <mergeCell ref="B2:E2"/>
    <mergeCell ref="B3:E3"/>
    <mergeCell ref="B19:E19"/>
  </mergeCells>
  <hyperlinks>
    <hyperlink ref="B3:E3" r:id="rId1" display="Klik untuk penjelasan lebih lanjut tentang metode valuasi NNWC" xr:uid="{08459D70-0245-44F7-9B80-24F9E7AD1BFF}"/>
    <hyperlink ref="B19:E19" r:id="rId2" display="Penjelasan metode valuasi Net-Net Working Capital di IG @investasijalanan" xr:uid="{E83C73C7-A465-43B7-B388-7663B3EDF6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C196-3CB1-4683-817B-489961B3F300}">
  <dimension ref="B2:H17"/>
  <sheetViews>
    <sheetView showGridLines="0" workbookViewId="0">
      <selection activeCell="C10" sqref="C10"/>
    </sheetView>
  </sheetViews>
  <sheetFormatPr defaultRowHeight="14.4" x14ac:dyDescent="0.3"/>
  <cols>
    <col min="1" max="1" width="3.44140625" customWidth="1"/>
    <col min="2" max="2" width="35.6640625" customWidth="1"/>
    <col min="3" max="3" width="21.109375" style="11" customWidth="1"/>
  </cols>
  <sheetData>
    <row r="2" spans="2:8" ht="25.8" x14ac:dyDescent="0.5">
      <c r="B2" s="207" t="s">
        <v>271</v>
      </c>
      <c r="C2" s="207"/>
    </row>
    <row r="3" spans="2:8" x14ac:dyDescent="0.3">
      <c r="B3" s="229" t="s">
        <v>273</v>
      </c>
      <c r="C3" s="229"/>
    </row>
    <row r="4" spans="2:8" x14ac:dyDescent="0.3">
      <c r="C4" s="1" t="s">
        <v>70</v>
      </c>
    </row>
    <row r="5" spans="2:8" x14ac:dyDescent="0.3">
      <c r="B5" t="s">
        <v>8</v>
      </c>
      <c r="C5" s="44">
        <f>Ratios!C18</f>
        <v>2194242</v>
      </c>
    </row>
    <row r="6" spans="2:8" x14ac:dyDescent="0.3">
      <c r="B6" t="s">
        <v>272</v>
      </c>
      <c r="C6" s="44">
        <f>Ratios!C27</f>
        <v>575967</v>
      </c>
    </row>
    <row r="7" spans="2:8" x14ac:dyDescent="0.3">
      <c r="B7" s="13" t="s">
        <v>274</v>
      </c>
      <c r="C7" s="46">
        <f>C5-C6</f>
        <v>1618275</v>
      </c>
    </row>
    <row r="8" spans="2:8" x14ac:dyDescent="0.3">
      <c r="C8" s="45"/>
    </row>
    <row r="9" spans="2:8" x14ac:dyDescent="0.3">
      <c r="B9" t="s">
        <v>18</v>
      </c>
      <c r="C9" s="44">
        <f>Ratios!C30</f>
        <v>30000</v>
      </c>
    </row>
    <row r="10" spans="2:8" x14ac:dyDescent="0.3">
      <c r="B10" s="13" t="s">
        <v>275</v>
      </c>
      <c r="C10" s="44">
        <f>C7/C9</f>
        <v>53.942500000000003</v>
      </c>
    </row>
    <row r="12" spans="2:8" ht="18" x14ac:dyDescent="0.35">
      <c r="B12" s="47" t="s">
        <v>276</v>
      </c>
      <c r="C12" s="48">
        <f>2/3*C10</f>
        <v>35.961666666666666</v>
      </c>
    </row>
    <row r="13" spans="2:8" x14ac:dyDescent="0.3">
      <c r="B13" s="4"/>
      <c r="C13"/>
    </row>
    <row r="14" spans="2:8" x14ac:dyDescent="0.3">
      <c r="B14" s="5"/>
      <c r="C14"/>
    </row>
    <row r="15" spans="2:8" x14ac:dyDescent="0.3">
      <c r="B15" s="4" t="s">
        <v>87</v>
      </c>
      <c r="C15"/>
      <c r="H15" s="11"/>
    </row>
    <row r="16" spans="2:8" x14ac:dyDescent="0.3">
      <c r="B16" s="5" t="s">
        <v>88</v>
      </c>
      <c r="C16"/>
      <c r="H16" s="11"/>
    </row>
    <row r="17" spans="2:8" x14ac:dyDescent="0.3">
      <c r="B17" s="230" t="s">
        <v>277</v>
      </c>
      <c r="C17" s="230"/>
      <c r="D17" s="230"/>
      <c r="E17" s="230"/>
      <c r="H17" s="11"/>
    </row>
  </sheetData>
  <sheetProtection algorithmName="SHA-512" hashValue="FM5HRhezUyS4zlMt55Io3kTW/7PePbeomYqE3Mwg76rLp7mUSDMPASoToW4EexkYISw9glyoYnL5fvdl3ecCnA==" saltValue="1VmTy5krBjtHLCqS6fedhQ==" spinCount="100000" sheet="1" objects="1" scenarios="1"/>
  <mergeCells count="3">
    <mergeCell ref="B2:C2"/>
    <mergeCell ref="B3:C3"/>
    <mergeCell ref="B17:E17"/>
  </mergeCells>
  <hyperlinks>
    <hyperlink ref="B3:C3" r:id="rId1" display="Klik untuk penjelasan lebih lanjut tentang metode valuasi NNWC" xr:uid="{D1054102-6489-4E86-9E2B-2A88E7896104}"/>
    <hyperlink ref="B17:E17" r:id="rId2" display="Penjelasan metode valuasi Net-Net Working Capital di IG @investasijalanan" xr:uid="{19A02838-64C0-46FB-A679-73A2EEBB60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Ratios</vt:lpstr>
      <vt:lpstr>Graham Screen - Defensive</vt:lpstr>
      <vt:lpstr>Graham Screen - Enterprising</vt:lpstr>
      <vt:lpstr>Buffett Screen - Quantitative</vt:lpstr>
      <vt:lpstr>Peter Lynch Screen</vt:lpstr>
      <vt:lpstr>Piotroski F-Score</vt:lpstr>
      <vt:lpstr>Valuation (Equity-Bond Method)</vt:lpstr>
      <vt:lpstr>Valuasi NNWC (Graham)</vt:lpstr>
      <vt:lpstr>Valuasi NCAV (Graham)</vt:lpstr>
      <vt:lpstr>Graham Number</vt:lpstr>
      <vt:lpstr>Graham Formula (modified) 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2023-02-02T04:09:07Z</dcterms:created>
  <dcterms:modified xsi:type="dcterms:W3CDTF">2023-08-19T02:04:38Z</dcterms:modified>
</cp:coreProperties>
</file>