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trlProps/ctrlProp4.xml" ContentType="application/vnd.ms-excel.control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72adcaaff30910/DUKE EE MEM/1. Fall 22/ENV 716L/Week 1/Assignment/"/>
    </mc:Choice>
  </mc:AlternateContent>
  <xr:revisionPtr revIDLastSave="145" documentId="8_{F9842BAA-7C9C-4A22-A032-FD562C52A135}" xr6:coauthVersionLast="47" xr6:coauthVersionMax="47" xr10:uidLastSave="{F6360D05-0522-4C72-B731-603679B01823}"/>
  <bookViews>
    <workbookView xWindow="-118" yWindow="-118" windowWidth="25370" windowHeight="13759" firstSheet="4" activeTab="4" xr2:uid="{026957A9-A8FE-4B78-8F92-C0C713E288C1}"/>
  </bookViews>
  <sheets>
    <sheet name="TABLE_A" sheetId="6" r:id="rId1"/>
    <sheet name="TABLE_B" sheetId="4" r:id="rId2"/>
    <sheet name="TABLE_C" sheetId="5" r:id="rId3"/>
    <sheet name="LCOE_Comparison" sheetId="3" r:id="rId4"/>
    <sheet name="Comparison_SolarPP" sheetId="2" r:id="rId5"/>
  </sheets>
  <externalReferences>
    <externalReference r:id="rId6"/>
    <externalReference r:id="rId7"/>
  </externalReferences>
  <definedNames>
    <definedName name="From_Btu_to_MBtu" localSheetId="3">[1]UnitConversions!$D$6</definedName>
    <definedName name="From_Btu_to_MBtu" localSheetId="0">[1]UnitConversions!$D$6</definedName>
    <definedName name="From_Btu_to_MBtu" localSheetId="1">[1]UnitConversions!$D$6</definedName>
    <definedName name="From_Btu_to_MBtu" localSheetId="2">[1]UnitConversions!$D$6</definedName>
    <definedName name="From_Btu_to_MBtu">[2]UnitConversions!$D$6</definedName>
    <definedName name="From_Dollar_to_MillionDollar" localSheetId="3">[1]UnitConversions!$D$9</definedName>
    <definedName name="From_Dollar_to_MillionDollar" localSheetId="0">[1]UnitConversions!$D$9</definedName>
    <definedName name="From_Dollar_to_MillionDollar" localSheetId="1">[1]UnitConversions!$D$9</definedName>
    <definedName name="From_Dollar_to_MillionDollar" localSheetId="2">[1]UnitConversions!$D$9</definedName>
    <definedName name="From_Dollar_to_MillionDollar">[2]UnitConversions!$D$9</definedName>
    <definedName name="From_MillionDollar_to_Dollar" localSheetId="3">[1]UnitConversions!$D$10</definedName>
    <definedName name="From_MillionDollar_to_Dollar" localSheetId="0">[1]UnitConversions!$D$10</definedName>
    <definedName name="From_MillionDollar_to_Dollar" localSheetId="1">[1]UnitConversions!$D$10</definedName>
    <definedName name="From_MillionDollar_to_Dollar" localSheetId="2">[1]UnitConversions!$D$10</definedName>
    <definedName name="From_MillionDollar_to_Dollar">[2]UnitConversions!$D$10</definedName>
    <definedName name="From_MWh_to_kWh" localSheetId="3">[1]UnitConversions!$D$8</definedName>
    <definedName name="From_MWh_to_kWh" localSheetId="0">[1]UnitConversions!$D$8</definedName>
    <definedName name="From_MWh_to_kWh" localSheetId="1">[1]UnitConversions!$D$8</definedName>
    <definedName name="From_MWh_to_kWh" localSheetId="2">[1]UnitConversions!$D$8</definedName>
    <definedName name="From_MWh_to_kWh">[2]UnitConversions!$D$8</definedName>
    <definedName name="From_Ton_to_Tonne" localSheetId="3">[1]UnitConversions!$D$11</definedName>
    <definedName name="From_Ton_to_Tonne" localSheetId="0">[1]UnitConversions!$D$11</definedName>
    <definedName name="From_Ton_to_Tonne" localSheetId="1">[1]UnitConversions!$D$11</definedName>
    <definedName name="From_Ton_to_Tonne" localSheetId="2">[1]UnitConversions!$D$11</definedName>
    <definedName name="From_Ton_to_Tonne">[2]UnitConversions!$D$11</definedName>
    <definedName name="Hours_in_a_year" localSheetId="3">[1]Constants!$C$6</definedName>
    <definedName name="Hours_in_a_year" localSheetId="0">[1]Constants!$C$6</definedName>
    <definedName name="Hours_in_a_year" localSheetId="1">[1]Constants!$C$6</definedName>
    <definedName name="Hours_in_a_year" localSheetId="2">[1]Constants!$C$6</definedName>
    <definedName name="Hours_in_a_year">[2]Constants!$C$6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D38" i="6"/>
  <c r="F31" i="6"/>
  <c r="E31" i="6"/>
  <c r="D31" i="6"/>
  <c r="F29" i="6"/>
  <c r="F37" i="6" s="1"/>
  <c r="E29" i="6"/>
  <c r="E37" i="6" s="1"/>
  <c r="D29" i="6"/>
  <c r="D37" i="6" s="1"/>
  <c r="F28" i="6"/>
  <c r="F32" i="6" s="1"/>
  <c r="E28" i="6"/>
  <c r="E32" i="6" s="1"/>
  <c r="D28" i="6"/>
  <c r="D32" i="6" s="1"/>
  <c r="F16" i="6"/>
  <c r="E16" i="6"/>
  <c r="D16" i="6"/>
  <c r="E40" i="5"/>
  <c r="D38" i="5"/>
  <c r="E37" i="5"/>
  <c r="F36" i="5"/>
  <c r="E36" i="5"/>
  <c r="E42" i="5" s="1"/>
  <c r="E48" i="5" s="1"/>
  <c r="D36" i="5"/>
  <c r="F34" i="5"/>
  <c r="F40" i="5" s="1"/>
  <c r="E34" i="5"/>
  <c r="F33" i="5"/>
  <c r="F37" i="5" s="1"/>
  <c r="E33" i="5"/>
  <c r="D33" i="5"/>
  <c r="D37" i="5" s="1"/>
  <c r="D32" i="5"/>
  <c r="D34" i="5" s="1"/>
  <c r="K14" i="5"/>
  <c r="K15" i="5" s="1"/>
  <c r="J14" i="5"/>
  <c r="J15" i="5" s="1"/>
  <c r="I14" i="5"/>
  <c r="I15" i="5" s="1"/>
  <c r="E40" i="4"/>
  <c r="D38" i="4"/>
  <c r="E36" i="4"/>
  <c r="D36" i="4"/>
  <c r="E34" i="4"/>
  <c r="D34" i="4"/>
  <c r="D40" i="4" s="1"/>
  <c r="E33" i="4"/>
  <c r="E37" i="4" s="1"/>
  <c r="D33" i="4"/>
  <c r="D37" i="4" s="1"/>
  <c r="D32" i="4"/>
  <c r="E17" i="4"/>
  <c r="I16" i="4"/>
  <c r="I17" i="4" s="1"/>
  <c r="H16" i="4"/>
  <c r="H17" i="4" s="1"/>
  <c r="H18" i="4" s="1"/>
  <c r="G38" i="3"/>
  <c r="C37" i="3"/>
  <c r="H30" i="3"/>
  <c r="G29" i="3"/>
  <c r="C28" i="3"/>
  <c r="I27" i="3"/>
  <c r="H27" i="3"/>
  <c r="D26" i="3"/>
  <c r="C26" i="3"/>
  <c r="I25" i="3"/>
  <c r="H25" i="3"/>
  <c r="D24" i="3"/>
  <c r="G23" i="3"/>
  <c r="G25" i="3" s="1"/>
  <c r="C22" i="3"/>
  <c r="C24" i="3" s="1"/>
  <c r="C31" i="3" s="1"/>
  <c r="D13" i="3"/>
  <c r="C9" i="3"/>
  <c r="D29" i="3" s="1"/>
  <c r="C8" i="3"/>
  <c r="C23" i="3" s="1"/>
  <c r="C7" i="3"/>
  <c r="G24" i="3" s="1"/>
  <c r="G28" i="3" s="1"/>
  <c r="D35" i="6" l="1"/>
  <c r="F35" i="6"/>
  <c r="F41" i="6" s="1"/>
  <c r="E35" i="6"/>
  <c r="E41" i="6" s="1"/>
  <c r="D34" i="6"/>
  <c r="D36" i="6" s="1"/>
  <c r="D43" i="6" s="1"/>
  <c r="F36" i="6"/>
  <c r="F43" i="6" s="1"/>
  <c r="E34" i="6"/>
  <c r="E36" i="6" s="1"/>
  <c r="E43" i="6" s="1"/>
  <c r="I16" i="5"/>
  <c r="F34" i="6"/>
  <c r="F42" i="5"/>
  <c r="F48" i="5" s="1"/>
  <c r="D40" i="5"/>
  <c r="D42" i="5" s="1"/>
  <c r="D43" i="5"/>
  <c r="D41" i="5"/>
  <c r="E41" i="5"/>
  <c r="E46" i="5" s="1"/>
  <c r="F41" i="5"/>
  <c r="F46" i="5" s="1"/>
  <c r="E41" i="4"/>
  <c r="E46" i="4" s="1"/>
  <c r="E42" i="4"/>
  <c r="E48" i="4" s="1"/>
  <c r="D42" i="4"/>
  <c r="D43" i="4"/>
  <c r="C27" i="3"/>
  <c r="D41" i="4"/>
  <c r="G30" i="3"/>
  <c r="G32" i="3"/>
  <c r="H24" i="3"/>
  <c r="H28" i="3" s="1"/>
  <c r="H31" i="3" s="1"/>
  <c r="H35" i="3" s="1"/>
  <c r="C29" i="3"/>
  <c r="I30" i="3"/>
  <c r="I24" i="3"/>
  <c r="I28" i="3" s="1"/>
  <c r="I31" i="3" s="1"/>
  <c r="I35" i="3" s="1"/>
  <c r="G27" i="3"/>
  <c r="D23" i="3"/>
  <c r="D27" i="3" s="1"/>
  <c r="D30" i="3" s="1"/>
  <c r="D34" i="3" s="1"/>
  <c r="D42" i="6" l="1"/>
  <c r="D41" i="6"/>
  <c r="D48" i="5"/>
  <c r="D49" i="5"/>
  <c r="D47" i="5"/>
  <c r="D46" i="5"/>
  <c r="C30" i="3"/>
  <c r="C34" i="3" s="1"/>
  <c r="D47" i="4"/>
  <c r="D46" i="4"/>
  <c r="D49" i="4"/>
  <c r="D48" i="4"/>
  <c r="G31" i="3"/>
  <c r="C35" i="3" l="1"/>
  <c r="C7" i="2" s="1"/>
  <c r="G36" i="3"/>
  <c r="G35" i="3"/>
  <c r="C36" i="3" l="1"/>
  <c r="D7" i="2" s="1"/>
  <c r="G37" i="3"/>
  <c r="D8" i="2" s="1"/>
  <c r="C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32" authorId="0" shapeId="0" xr:uid="{A350193B-8BAB-4CCA-A4DE-A17144E1A205}">
      <text>
        <r>
          <rPr>
            <b/>
            <sz val="9"/>
            <color indexed="81"/>
            <rFont val="Tahoma"/>
            <family val="2"/>
          </rPr>
          <t>Al Ghiffary:</t>
        </r>
        <r>
          <rPr>
            <sz val="9"/>
            <color indexed="81"/>
            <rFont val="Tahoma"/>
            <family val="2"/>
          </rPr>
          <t xml:space="preserve">
Adding up both Annual Generations of Unit 1 and 2 because the hours of operation of NGCC is uncertain (can't use 8760hrs/yr as mentioned in the assignment word file)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38" authorId="0" shapeId="0" xr:uid="{49D24071-97E4-4850-B9C3-90CEBC7BC67A}">
      <text>
        <r>
          <rPr>
            <b/>
            <sz val="9"/>
            <color indexed="81"/>
            <rFont val="Tahoma"/>
            <family val="2"/>
          </rPr>
          <t>Al Ghiffary:</t>
        </r>
        <r>
          <rPr>
            <sz val="9"/>
            <color indexed="81"/>
            <rFont val="Tahoma"/>
            <family val="2"/>
          </rPr>
          <t xml:space="preserve">
Just a note, I have clarified to Dalia during the OH about the retrofit factor and decided not to multiply it with retrofit factor.</t>
        </r>
      </text>
    </comment>
  </commentList>
</comments>
</file>

<file path=xl/sharedStrings.xml><?xml version="1.0" encoding="utf-8"?>
<sst xmlns="http://schemas.openxmlformats.org/spreadsheetml/2006/main" count="273" uniqueCount="93">
  <si>
    <t>Table A: the LCOEs for the three generators at The Hunter Power Plant, Utah</t>
  </si>
  <si>
    <t>4 Questions were asked in the Table A:</t>
  </si>
  <si>
    <t>Gross Capacity Factor in recent years</t>
  </si>
  <si>
    <t>Fuel Cost per unit ($/MWh)</t>
  </si>
  <si>
    <t>Cost of Electricity ($/MWh)</t>
  </si>
  <si>
    <t>Cost of Electricity (CO2 tax included) ($/MWh)</t>
  </si>
  <si>
    <t>Question</t>
  </si>
  <si>
    <t>Plant Data</t>
  </si>
  <si>
    <t>Unit 1</t>
  </si>
  <si>
    <t>Unit 2</t>
  </si>
  <si>
    <t>Unit 3</t>
  </si>
  <si>
    <t>Generator Nameplate Capacity (MW)</t>
  </si>
  <si>
    <t>Net Electrical Output (MW)</t>
  </si>
  <si>
    <t>Net Capacity Factor</t>
  </si>
  <si>
    <t>Variable O&amp;M ($/MWh)</t>
  </si>
  <si>
    <t>Net Plant Heat Rate in recent years, HHV (Btu/kWh)</t>
  </si>
  <si>
    <t>CO2 emission rate per unit (tons/MWh)</t>
  </si>
  <si>
    <t>Assumptions</t>
  </si>
  <si>
    <t>Cost</t>
  </si>
  <si>
    <t>Fuel Price - Coal - Default ($/Mbtu)</t>
  </si>
  <si>
    <t>Tax of CO2 - Default ($/ton)</t>
  </si>
  <si>
    <t>Tax of CO2 - Specified ($/ton)</t>
  </si>
  <si>
    <t>Intermediate Outputs</t>
  </si>
  <si>
    <t>Annual Net Electricity Output (MWh/year)</t>
  </si>
  <si>
    <t>Annual CO2 Emission (tons/year)</t>
  </si>
  <si>
    <t>Annual Fixed O&amp;M ($M/year)</t>
  </si>
  <si>
    <t>Annual Variable O&amp;M ($M/year)</t>
  </si>
  <si>
    <t>Annual Fuel Cost ($M/year)</t>
  </si>
  <si>
    <t>Annual CO2 Emission Total Tax - Default ($M/year)</t>
  </si>
  <si>
    <t>Annual CO2 Emission Total Tax - Specific ($M/year)</t>
  </si>
  <si>
    <t>Annual Total Cost ($M/year)</t>
  </si>
  <si>
    <t>Annual Total Cost plus CO2 Tax ($M/year)</t>
  </si>
  <si>
    <t xml:space="preserve">CO2 Emission Rate </t>
  </si>
  <si>
    <t>CO2 Emission Rate Bundle Default (Ton/MWh)</t>
  </si>
  <si>
    <t>Final Outputs</t>
  </si>
  <si>
    <t>Cost of Electricity Bundle Default (needed for COA)</t>
  </si>
  <si>
    <t>Table B: the LCOEs for the Strategy #1 at The Hunter Power Plant, Utah</t>
  </si>
  <si>
    <t>6 Questions were asked in the Table B:</t>
  </si>
  <si>
    <t>Annualized Capital ($M/year)</t>
  </si>
  <si>
    <t>Annual Generation (MWh/year)</t>
  </si>
  <si>
    <t>CO2 emission rate for Bundle 1 (Tons/MWh)</t>
  </si>
  <si>
    <t>Cost of Electricity for Bundle 1 ($/MWh)</t>
  </si>
  <si>
    <t>NGCC</t>
  </si>
  <si>
    <t>Calculation of Emission Rate (lbs/MWh) for dispatchable plants</t>
  </si>
  <si>
    <t>lbs/MWh</t>
  </si>
  <si>
    <t>lbs/year</t>
  </si>
  <si>
    <t>Emission Rate (lbs/MWh) Bundle 1</t>
  </si>
  <si>
    <t>CO2 Emission (lb/Mbtu)</t>
  </si>
  <si>
    <t>Capital required ($M)</t>
  </si>
  <si>
    <t>Fixed Charge Factor</t>
  </si>
  <si>
    <t>N/A</t>
  </si>
  <si>
    <t>Fuel Price - Natural Gas - Default ($/Mbtu)</t>
  </si>
  <si>
    <t>Annual Total Cost plus emission tax ($M/year)</t>
  </si>
  <si>
    <t>If needed</t>
  </si>
  <si>
    <t>Cost of Electricity (CO2 tax included) for Bundle 1 ($/MWh)</t>
  </si>
  <si>
    <t>Table C: the LCOEs for the Strategy #2 at The Hunter Power Plant, Utah</t>
  </si>
  <si>
    <t>6 Questions were asked in the Table C:</t>
  </si>
  <si>
    <t>CO2 emission rate for Bundle 2 (Tons/MWh)</t>
  </si>
  <si>
    <t>Cost of Electricity for Bundle 2 ($/MWh)</t>
  </si>
  <si>
    <t>Unit 1+CCS</t>
  </si>
  <si>
    <t>Emission Rate (lbs/MWh) Bundle 2</t>
  </si>
  <si>
    <t>Retrofit factor</t>
  </si>
  <si>
    <t>Tax of CO2 - Specific ($/ton)</t>
  </si>
  <si>
    <t>Annual Total Cost - Carbon Tax included ($M/year)</t>
  </si>
  <si>
    <t>Cost of Electricity (CO2 tax included) for Bundle 2 ($/MWh)</t>
  </si>
  <si>
    <t>Comparing LCOEs and COA by considering fuel price and carbon tax uncertainties</t>
  </si>
  <si>
    <t>Price</t>
  </si>
  <si>
    <t>Fuel Price - Coal ($/Mbtu)</t>
  </si>
  <si>
    <t>Fuel Price - ($/Mbtu)</t>
  </si>
  <si>
    <t>Tax of CO2 - ($/ton)</t>
  </si>
  <si>
    <t>e</t>
  </si>
  <si>
    <t>Fuel Price - Coal ($/MBtu)</t>
  </si>
  <si>
    <t>LCOE Bundle 1</t>
  </si>
  <si>
    <t>LCOE Bundle 2</t>
  </si>
  <si>
    <t>Assuming default price of NG ($3.00/Mbtu) and Carbon Tax ($0/Mbtu)</t>
  </si>
  <si>
    <t>Fuel Price - Natural Gas ($/MBtu)</t>
  </si>
  <si>
    <t>Cost of Electricity Bundle 1 ($/MWh)</t>
  </si>
  <si>
    <t>Cost of Abatement Bundle 1 ($/tonne)</t>
  </si>
  <si>
    <t>Cost of Electricity Bundle 2 ($/MWh)</t>
  </si>
  <si>
    <t>Emission Rate Bundle 1 (lbs/MWh)</t>
  </si>
  <si>
    <t>Cost of Abatement Bundle 2 ($/tonne)</t>
  </si>
  <si>
    <t>Emission Rate Bundle 2 (lbs/MWh)</t>
  </si>
  <si>
    <t>Assuming constant price of coal ($2/MBtu) and Carbon Tax ($0/MBtu)</t>
  </si>
  <si>
    <t>f</t>
  </si>
  <si>
    <t>CO2 Tax ($/Ton)</t>
  </si>
  <si>
    <t>Assuming constant price of coal ($2/MBtu) and Natural Gas ($5.5/MBtu)</t>
  </si>
  <si>
    <t>Comparing LCOEs between Strategy #1, #2, and #3 (Nuclear Power Plant)</t>
  </si>
  <si>
    <t>Strategy</t>
  </si>
  <si>
    <t>Cost of Abatement ($/Tonne)</t>
  </si>
  <si>
    <t>Strategy #1 (NGCC)</t>
  </si>
  <si>
    <t>Strategy #2 (CCS)</t>
  </si>
  <si>
    <t>Strategy #4 (Solar+Battery)</t>
  </si>
  <si>
    <t>Assuming Coal Price of $2/Mbtu, NG price $5.5/Mbtu, and Carbon Tax $0/ton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</si>
</sst>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5">
    <xf numFmtId="0" fontId="0" fillId="0" borderId="0" xfId="0"/>
    <xf numFmtId="0" fontId="4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4" borderId="1" xfId="0" applyFill="1" applyBorder="1"/>
    <xf numFmtId="2" fontId="0" fillId="4" borderId="1" xfId="0" applyNumberFormat="1" applyFill="1" applyBorder="1"/>
    <xf numFmtId="2" fontId="0" fillId="0" borderId="0" xfId="0" applyNumberFormat="1"/>
    <xf numFmtId="0" fontId="2" fillId="0" borderId="0" xfId="0" applyFont="1" applyAlignment="1">
      <alignment horizontal="center"/>
    </xf>
    <xf numFmtId="0" fontId="2" fillId="3" borderId="1" xfId="0" applyFont="1" applyFill="1" applyBorder="1"/>
    <xf numFmtId="0" fontId="6" fillId="0" borderId="1" xfId="0" applyFont="1" applyBorder="1"/>
    <xf numFmtId="3" fontId="0" fillId="0" borderId="1" xfId="0" applyNumberFormat="1" applyBorder="1"/>
    <xf numFmtId="0" fontId="0" fillId="0" borderId="1" xfId="0" applyBorder="1" applyAlignment="1">
      <alignment horizontal="center"/>
    </xf>
    <xf numFmtId="164" fontId="1" fillId="0" borderId="1" xfId="1" applyFont="1" applyFill="1" applyBorder="1"/>
    <xf numFmtId="0" fontId="7" fillId="4" borderId="1" xfId="0" applyFont="1" applyFill="1" applyBorder="1"/>
    <xf numFmtId="0" fontId="7" fillId="0" borderId="1" xfId="0" applyFont="1" applyBorder="1"/>
    <xf numFmtId="0" fontId="0" fillId="0" borderId="0" xfId="0" applyAlignment="1">
      <alignment vertical="center"/>
    </xf>
    <xf numFmtId="0" fontId="0" fillId="0" borderId="15" xfId="0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vertical="center"/>
    </xf>
    <xf numFmtId="2" fontId="0" fillId="0" borderId="18" xfId="0" applyNumberFormat="1" applyBorder="1" applyAlignment="1">
      <alignment vertical="center"/>
    </xf>
    <xf numFmtId="4" fontId="0" fillId="0" borderId="1" xfId="1" applyNumberFormat="1" applyFont="1" applyBorder="1"/>
    <xf numFmtId="2" fontId="2" fillId="4" borderId="18" xfId="0" applyNumberFormat="1" applyFont="1" applyFill="1" applyBorder="1" applyAlignment="1">
      <alignment vertical="center"/>
    </xf>
    <xf numFmtId="4" fontId="0" fillId="0" borderId="1" xfId="0" applyNumberFormat="1" applyBorder="1"/>
    <xf numFmtId="0" fontId="0" fillId="0" borderId="18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3" fontId="0" fillId="0" borderId="18" xfId="0" applyNumberForma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/>
    </xf>
    <xf numFmtId="3" fontId="2" fillId="4" borderId="1" xfId="0" applyNumberFormat="1" applyFont="1" applyFill="1" applyBorder="1" applyAlignment="1">
      <alignment vertical="center"/>
    </xf>
    <xf numFmtId="3" fontId="2" fillId="4" borderId="18" xfId="0" applyNumberFormat="1" applyFont="1" applyFill="1" applyBorder="1" applyAlignment="1">
      <alignment vertical="center"/>
    </xf>
    <xf numFmtId="2" fontId="2" fillId="4" borderId="1" xfId="0" applyNumberFormat="1" applyFont="1" applyFill="1" applyBorder="1" applyAlignment="1">
      <alignment vertical="center"/>
    </xf>
    <xf numFmtId="0" fontId="2" fillId="0" borderId="17" xfId="0" applyFont="1" applyBorder="1" applyAlignment="1">
      <alignment horizontal="center" vertical="center"/>
    </xf>
    <xf numFmtId="164" fontId="0" fillId="0" borderId="1" xfId="1" applyFont="1" applyBorder="1" applyAlignment="1">
      <alignment vertical="center"/>
    </xf>
    <xf numFmtId="164" fontId="0" fillId="0" borderId="18" xfId="1" applyFont="1" applyBorder="1" applyAlignment="1">
      <alignment vertical="center"/>
    </xf>
    <xf numFmtId="0" fontId="2" fillId="4" borderId="19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vertical="center"/>
    </xf>
    <xf numFmtId="2" fontId="0" fillId="0" borderId="0" xfId="0" applyNumberFormat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0" xfId="0" applyFont="1"/>
    <xf numFmtId="0" fontId="0" fillId="0" borderId="21" xfId="0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0" fillId="0" borderId="20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18" xfId="0" applyNumberFormat="1" applyBorder="1" applyAlignment="1">
      <alignment vertical="center"/>
    </xf>
    <xf numFmtId="0" fontId="2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vertical="center"/>
    </xf>
    <xf numFmtId="2" fontId="2" fillId="4" borderId="24" xfId="0" applyNumberFormat="1" applyFont="1" applyFill="1" applyBorder="1" applyAlignment="1">
      <alignment vertical="center"/>
    </xf>
    <xf numFmtId="2" fontId="2" fillId="4" borderId="20" xfId="0" applyNumberFormat="1" applyFont="1" applyFill="1" applyBorder="1" applyAlignment="1">
      <alignment vertical="center"/>
    </xf>
    <xf numFmtId="2" fontId="0" fillId="0" borderId="24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27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" fontId="2" fillId="4" borderId="24" xfId="0" applyNumberFormat="1" applyFont="1" applyFill="1" applyBorder="1" applyAlignment="1">
      <alignment horizontal="center" vertical="center"/>
    </xf>
    <xf numFmtId="2" fontId="2" fillId="4" borderId="20" xfId="0" applyNumberFormat="1" applyFont="1" applyFill="1" applyBorder="1" applyAlignment="1">
      <alignment horizontal="center" vertical="center"/>
    </xf>
    <xf numFmtId="2" fontId="2" fillId="4" borderId="3" xfId="0" applyNumberFormat="1" applyFont="1" applyFill="1" applyBorder="1" applyAlignment="1">
      <alignment horizontal="center" vertical="center"/>
    </xf>
    <xf numFmtId="2" fontId="2" fillId="4" borderId="27" xfId="0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2" fillId="4" borderId="5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LCOE of #1 and #2</a:t>
            </a:r>
            <a:r>
              <a:rPr lang="en-ID" baseline="0"/>
              <a:t> depending on</a:t>
            </a:r>
          </a:p>
          <a:p>
            <a:pPr>
              <a:defRPr/>
            </a:pPr>
            <a:r>
              <a:rPr lang="en-ID" baseline="0"/>
              <a:t>Natural Gas Prices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LCOE_Comparison!$M$27</c:f>
              <c:strCache>
                <c:ptCount val="1"/>
                <c:pt idx="0">
                  <c:v>LCOE Bundle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LCOE_Comparison!$L$28:$L$38</c:f>
              <c:numCache>
                <c:formatCode>0.00</c:formatCode>
                <c:ptCount val="11"/>
                <c:pt idx="0">
                  <c:v>4.5</c:v>
                </c:pt>
                <c:pt idx="1">
                  <c:v>4.5999999999999996</c:v>
                </c:pt>
                <c:pt idx="2">
                  <c:v>4.7</c:v>
                </c:pt>
                <c:pt idx="3">
                  <c:v>4.8</c:v>
                </c:pt>
                <c:pt idx="4">
                  <c:v>4.9000000000000004</c:v>
                </c:pt>
                <c:pt idx="5">
                  <c:v>5</c:v>
                </c:pt>
                <c:pt idx="6">
                  <c:v>5.0999999999999996</c:v>
                </c:pt>
                <c:pt idx="7">
                  <c:v>5.2</c:v>
                </c:pt>
                <c:pt idx="8">
                  <c:v>5.3</c:v>
                </c:pt>
                <c:pt idx="9">
                  <c:v>5.4</c:v>
                </c:pt>
                <c:pt idx="10">
                  <c:v>5.5</c:v>
                </c:pt>
              </c:numCache>
            </c:numRef>
          </c:cat>
          <c:val>
            <c:numRef>
              <c:f>LCOE_Comparison!$M$28:$M$38</c:f>
              <c:numCache>
                <c:formatCode>0.00</c:formatCode>
                <c:ptCount val="11"/>
                <c:pt idx="0">
                  <c:v>44.6</c:v>
                </c:pt>
                <c:pt idx="1">
                  <c:v>45.04</c:v>
                </c:pt>
                <c:pt idx="2">
                  <c:v>45.47</c:v>
                </c:pt>
                <c:pt idx="3">
                  <c:v>45.91</c:v>
                </c:pt>
                <c:pt idx="4">
                  <c:v>46.35</c:v>
                </c:pt>
                <c:pt idx="5">
                  <c:v>46.78</c:v>
                </c:pt>
                <c:pt idx="6">
                  <c:v>47.22</c:v>
                </c:pt>
                <c:pt idx="7">
                  <c:v>47.65</c:v>
                </c:pt>
                <c:pt idx="8">
                  <c:v>48.09</c:v>
                </c:pt>
                <c:pt idx="9">
                  <c:v>48.53</c:v>
                </c:pt>
                <c:pt idx="10">
                  <c:v>48.96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1C-4917-84EF-0F3E6DF36972}"/>
            </c:ext>
          </c:extLst>
        </c:ser>
        <c:ser>
          <c:idx val="2"/>
          <c:order val="1"/>
          <c:tx>
            <c:strRef>
              <c:f>LCOE_Comparison!$N$27</c:f>
              <c:strCache>
                <c:ptCount val="1"/>
                <c:pt idx="0">
                  <c:v>LCOE Bundle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LCOE_Comparison!$L$28:$L$38</c:f>
              <c:numCache>
                <c:formatCode>0.00</c:formatCode>
                <c:ptCount val="11"/>
                <c:pt idx="0">
                  <c:v>4.5</c:v>
                </c:pt>
                <c:pt idx="1">
                  <c:v>4.5999999999999996</c:v>
                </c:pt>
                <c:pt idx="2">
                  <c:v>4.7</c:v>
                </c:pt>
                <c:pt idx="3">
                  <c:v>4.8</c:v>
                </c:pt>
                <c:pt idx="4">
                  <c:v>4.9000000000000004</c:v>
                </c:pt>
                <c:pt idx="5">
                  <c:v>5</c:v>
                </c:pt>
                <c:pt idx="6">
                  <c:v>5.0999999999999996</c:v>
                </c:pt>
                <c:pt idx="7">
                  <c:v>5.2</c:v>
                </c:pt>
                <c:pt idx="8">
                  <c:v>5.3</c:v>
                </c:pt>
                <c:pt idx="9">
                  <c:v>5.4</c:v>
                </c:pt>
                <c:pt idx="10">
                  <c:v>5.5</c:v>
                </c:pt>
              </c:numCache>
            </c:numRef>
          </c:cat>
          <c:val>
            <c:numRef>
              <c:f>LCOE_Comparison!$N$28:$N$38</c:f>
              <c:numCache>
                <c:formatCode>0.00</c:formatCode>
                <c:ptCount val="11"/>
                <c:pt idx="0">
                  <c:v>47.51</c:v>
                </c:pt>
                <c:pt idx="1">
                  <c:v>47.51</c:v>
                </c:pt>
                <c:pt idx="2">
                  <c:v>47.51</c:v>
                </c:pt>
                <c:pt idx="3">
                  <c:v>47.51</c:v>
                </c:pt>
                <c:pt idx="4">
                  <c:v>47.51</c:v>
                </c:pt>
                <c:pt idx="5">
                  <c:v>47.51</c:v>
                </c:pt>
                <c:pt idx="6">
                  <c:v>47.51</c:v>
                </c:pt>
                <c:pt idx="7">
                  <c:v>47.51</c:v>
                </c:pt>
                <c:pt idx="8">
                  <c:v>47.51</c:v>
                </c:pt>
                <c:pt idx="9">
                  <c:v>47.51</c:v>
                </c:pt>
                <c:pt idx="10">
                  <c:v>47.51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1C-4917-84EF-0F3E6DF36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719104"/>
        <c:axId val="171717856"/>
      </c:lineChart>
      <c:catAx>
        <c:axId val="17171910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17856"/>
        <c:crosses val="autoZero"/>
        <c:auto val="1"/>
        <c:lblAlgn val="ctr"/>
        <c:lblOffset val="100"/>
        <c:noMultiLvlLbl val="0"/>
      </c:catAx>
      <c:valAx>
        <c:axId val="1717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1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LCOE #1 and #2 depending</a:t>
            </a:r>
            <a:r>
              <a:rPr lang="en-ID" baseline="0"/>
              <a:t> on CO2 Tax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LCOE_Comparison!$M$41</c:f>
              <c:strCache>
                <c:ptCount val="1"/>
                <c:pt idx="0">
                  <c:v>LCOE Bundle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LCOE_Comparison!$L$42:$L$52</c:f>
              <c:numCache>
                <c:formatCode>0.00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LCOE_Comparison!$M$42:$M$52</c:f>
              <c:numCache>
                <c:formatCode>0.00</c:formatCode>
                <c:ptCount val="11"/>
                <c:pt idx="0">
                  <c:v>48.96</c:v>
                </c:pt>
                <c:pt idx="1">
                  <c:v>55.6</c:v>
                </c:pt>
                <c:pt idx="2">
                  <c:v>62.25</c:v>
                </c:pt>
                <c:pt idx="3">
                  <c:v>68.89</c:v>
                </c:pt>
                <c:pt idx="4">
                  <c:v>75.53</c:v>
                </c:pt>
                <c:pt idx="5">
                  <c:v>82.17</c:v>
                </c:pt>
                <c:pt idx="6">
                  <c:v>88.81</c:v>
                </c:pt>
                <c:pt idx="7">
                  <c:v>95.45</c:v>
                </c:pt>
                <c:pt idx="8">
                  <c:v>102.1</c:v>
                </c:pt>
                <c:pt idx="9">
                  <c:v>108.74</c:v>
                </c:pt>
                <c:pt idx="10">
                  <c:v>115.38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541-8A5D-A682E2717D75}"/>
            </c:ext>
          </c:extLst>
        </c:ser>
        <c:ser>
          <c:idx val="2"/>
          <c:order val="1"/>
          <c:tx>
            <c:strRef>
              <c:f>LCOE_Comparison!$N$41</c:f>
              <c:strCache>
                <c:ptCount val="1"/>
                <c:pt idx="0">
                  <c:v>LCOE Bundle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LCOE_Comparison!$L$42:$L$52</c:f>
              <c:numCache>
                <c:formatCode>0.00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LCOE_Comparison!$N$42:$N$52</c:f>
              <c:numCache>
                <c:formatCode>General</c:formatCode>
                <c:ptCount val="11"/>
                <c:pt idx="0">
                  <c:v>47.51</c:v>
                </c:pt>
                <c:pt idx="1">
                  <c:v>56</c:v>
                </c:pt>
                <c:pt idx="2">
                  <c:v>64.489999999999995</c:v>
                </c:pt>
                <c:pt idx="3">
                  <c:v>72.98</c:v>
                </c:pt>
                <c:pt idx="4">
                  <c:v>81.47</c:v>
                </c:pt>
                <c:pt idx="5">
                  <c:v>89.96</c:v>
                </c:pt>
                <c:pt idx="6">
                  <c:v>98.46</c:v>
                </c:pt>
                <c:pt idx="7">
                  <c:v>106.95</c:v>
                </c:pt>
                <c:pt idx="8">
                  <c:v>115.44</c:v>
                </c:pt>
                <c:pt idx="9">
                  <c:v>123.93</c:v>
                </c:pt>
                <c:pt idx="10">
                  <c:v>132.41999999999999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0B-4541-8A5D-A682E2717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48352"/>
        <c:axId val="167646688"/>
      </c:lineChart>
      <c:catAx>
        <c:axId val="16764835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46688"/>
        <c:crosses val="autoZero"/>
        <c:auto val="1"/>
        <c:lblAlgn val="ctr"/>
        <c:lblOffset val="100"/>
        <c:noMultiLvlLbl val="0"/>
      </c:catAx>
      <c:valAx>
        <c:axId val="16764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4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4" fmlaLink="$E$7" max="250" min="132" page="10" val="200"/>
</file>

<file path=xl/ctrlProps/ctrlProp2.xml><?xml version="1.0" encoding="utf-8"?>
<formControlPr xmlns="http://schemas.microsoft.com/office/spreadsheetml/2009/9/main" objectType="Spin" dx="24" fmlaLink="$E$8" max="600" min="100" page="10" val="550"/>
</file>

<file path=xl/ctrlProps/ctrlProp3.xml><?xml version="1.0" encoding="utf-8"?>
<formControlPr xmlns="http://schemas.microsoft.com/office/spreadsheetml/2009/9/main" objectType="Spin" dx="24" fmlaLink="$E$9" max="10000" page="10" val="0"/>
</file>

<file path=xl/ctrlProps/ctrlProp4.xml><?xml version="1.0" encoding="utf-8"?>
<formControlPr xmlns="http://schemas.microsoft.com/office/spreadsheetml/2009/9/main" objectType="Spin" dx="24" fmlaLink="$C$9" max="67" min="41" page="10" val="46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8313</xdr:colOff>
          <xdr:row>6</xdr:row>
          <xdr:rowOff>8313</xdr:rowOff>
        </xdr:from>
        <xdr:to>
          <xdr:col>3</xdr:col>
          <xdr:colOff>931025</xdr:colOff>
          <xdr:row>6</xdr:row>
          <xdr:rowOff>182880</xdr:rowOff>
        </xdr:to>
        <xdr:sp macro="" textlink="">
          <xdr:nvSpPr>
            <xdr:cNvPr id="2049" name="Spinner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C818A9F-5EB9-4C1A-9D23-EB54E25D50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8313</xdr:colOff>
          <xdr:row>7</xdr:row>
          <xdr:rowOff>8313</xdr:rowOff>
        </xdr:from>
        <xdr:to>
          <xdr:col>3</xdr:col>
          <xdr:colOff>931025</xdr:colOff>
          <xdr:row>7</xdr:row>
          <xdr:rowOff>182880</xdr:rowOff>
        </xdr:to>
        <xdr:sp macro="" textlink="">
          <xdr:nvSpPr>
            <xdr:cNvPr id="2050" name="Spinner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16C60FDB-949F-4C49-9C20-DBF8D54830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8313</xdr:colOff>
          <xdr:row>8</xdr:row>
          <xdr:rowOff>0</xdr:rowOff>
        </xdr:from>
        <xdr:to>
          <xdr:col>3</xdr:col>
          <xdr:colOff>931025</xdr:colOff>
          <xdr:row>8</xdr:row>
          <xdr:rowOff>182880</xdr:rowOff>
        </xdr:to>
        <xdr:sp macro="" textlink="">
          <xdr:nvSpPr>
            <xdr:cNvPr id="2051" name="Spinner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4EDB85A5-3D3E-43ED-A6AD-1767F77673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14</xdr:col>
      <xdr:colOff>399061</xdr:colOff>
      <xdr:row>25</xdr:row>
      <xdr:rowOff>30512</xdr:rowOff>
    </xdr:from>
    <xdr:to>
      <xdr:col>21</xdr:col>
      <xdr:colOff>315934</xdr:colOff>
      <xdr:row>39</xdr:row>
      <xdr:rowOff>18637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868196-14D6-4F54-A476-0E8C2178F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404458</xdr:colOff>
      <xdr:row>40</xdr:row>
      <xdr:rowOff>57631</xdr:rowOff>
    </xdr:from>
    <xdr:to>
      <xdr:col>21</xdr:col>
      <xdr:colOff>76840</xdr:colOff>
      <xdr:row>54</xdr:row>
      <xdr:rowOff>140759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DA4803-D5BC-47B4-A0F6-5801E70C5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508543</xdr:colOff>
      <xdr:row>6</xdr:row>
      <xdr:rowOff>29339</xdr:rowOff>
    </xdr:from>
    <xdr:to>
      <xdr:col>8</xdr:col>
      <xdr:colOff>688489</xdr:colOff>
      <xdr:row>8</xdr:row>
      <xdr:rowOff>34788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54F4256-58BD-469D-85CC-241BB84C0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3787" y="1184808"/>
          <a:ext cx="5541655" cy="387835"/>
        </a:xfrm>
        <a:prstGeom prst="rect">
          <a:avLst/>
        </a:prstGeom>
        <a:noFill/>
        <a:ln w="12700"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97796</xdr:colOff>
      <xdr:row>46</xdr:row>
      <xdr:rowOff>9777</xdr:rowOff>
    </xdr:from>
    <xdr:to>
      <xdr:col>4</xdr:col>
      <xdr:colOff>297301</xdr:colOff>
      <xdr:row>48</xdr:row>
      <xdr:rowOff>26403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568208-C34C-45E4-A2AA-9E4A5E5DF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4291" y="8812955"/>
          <a:ext cx="6409112" cy="3990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9</xdr:row>
          <xdr:rowOff>0</xdr:rowOff>
        </xdr:from>
        <xdr:to>
          <xdr:col>3</xdr:col>
          <xdr:colOff>0</xdr:colOff>
          <xdr:row>10</xdr:row>
          <xdr:rowOff>8313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ZUL_HERMAN%5eMA%5eMG%5eMA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ZUL%20HERMAN%5eMA%5eMG%5eMA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Constants"/>
      <sheetName val="UnitConversions"/>
      <sheetName val="TABLE_A"/>
      <sheetName val="TABLE_B"/>
      <sheetName val="TABLE_C"/>
      <sheetName val="LCOE_Comparison"/>
      <sheetName val="Comparison_NuclearPP"/>
    </sheetNames>
    <sheetDataSet>
      <sheetData sheetId="0"/>
      <sheetData sheetId="1">
        <row r="6">
          <cell r="C6">
            <v>8760</v>
          </cell>
        </row>
      </sheetData>
      <sheetData sheetId="2">
        <row r="6">
          <cell r="D6">
            <v>9.9999999999999995E-7</v>
          </cell>
        </row>
        <row r="8">
          <cell r="D8">
            <v>1000</v>
          </cell>
        </row>
        <row r="9">
          <cell r="D9">
            <v>9.9999999999999995E-7</v>
          </cell>
        </row>
        <row r="10">
          <cell r="D10">
            <v>1000000</v>
          </cell>
        </row>
        <row r="11">
          <cell r="D11">
            <v>0.90718500000000002</v>
          </cell>
        </row>
      </sheetData>
      <sheetData sheetId="3">
        <row r="27">
          <cell r="D27">
            <v>2532025</v>
          </cell>
          <cell r="E27">
            <v>2807809</v>
          </cell>
        </row>
        <row r="38">
          <cell r="D38">
            <v>1.1233977105765807</v>
          </cell>
        </row>
        <row r="42">
          <cell r="D42">
            <v>32.881277046614365</v>
          </cell>
        </row>
      </sheetData>
      <sheetData sheetId="4">
        <row r="18">
          <cell r="H18">
            <v>1328.1832391086241</v>
          </cell>
        </row>
      </sheetData>
      <sheetData sheetId="5">
        <row r="16">
          <cell r="I16">
            <v>1689.9042290049613</v>
          </cell>
        </row>
      </sheetData>
      <sheetData sheetId="6">
        <row r="27">
          <cell r="M27" t="str">
            <v>LCOE Bundle 1</v>
          </cell>
          <cell r="N27" t="str">
            <v>LCOE Bundle 2</v>
          </cell>
        </row>
        <row r="28">
          <cell r="L28">
            <v>4.5</v>
          </cell>
          <cell r="M28">
            <v>44.6</v>
          </cell>
          <cell r="N28">
            <v>47.51</v>
          </cell>
        </row>
        <row r="29">
          <cell r="L29">
            <v>4.5999999999999996</v>
          </cell>
          <cell r="M29">
            <v>45.04</v>
          </cell>
          <cell r="N29">
            <v>47.51</v>
          </cell>
        </row>
        <row r="30">
          <cell r="L30">
            <v>4.7</v>
          </cell>
          <cell r="M30">
            <v>45.47</v>
          </cell>
          <cell r="N30">
            <v>47.51</v>
          </cell>
        </row>
        <row r="31">
          <cell r="L31">
            <v>4.8</v>
          </cell>
          <cell r="M31">
            <v>45.91</v>
          </cell>
          <cell r="N31">
            <v>47.51</v>
          </cell>
        </row>
        <row r="32">
          <cell r="L32">
            <v>4.9000000000000004</v>
          </cell>
          <cell r="M32">
            <v>46.35</v>
          </cell>
          <cell r="N32">
            <v>47.51</v>
          </cell>
        </row>
        <row r="33">
          <cell r="L33">
            <v>5</v>
          </cell>
          <cell r="M33">
            <v>46.78</v>
          </cell>
          <cell r="N33">
            <v>47.51</v>
          </cell>
        </row>
        <row r="34">
          <cell r="L34">
            <v>5.0999999999999996</v>
          </cell>
          <cell r="M34">
            <v>47.22</v>
          </cell>
          <cell r="N34">
            <v>47.51</v>
          </cell>
        </row>
        <row r="35">
          <cell r="L35">
            <v>5.2</v>
          </cell>
          <cell r="M35">
            <v>47.65</v>
          </cell>
          <cell r="N35">
            <v>47.51</v>
          </cell>
        </row>
        <row r="36">
          <cell r="L36">
            <v>5.3</v>
          </cell>
          <cell r="M36">
            <v>48.09</v>
          </cell>
          <cell r="N36">
            <v>47.51</v>
          </cell>
        </row>
        <row r="37">
          <cell r="L37">
            <v>5.4</v>
          </cell>
          <cell r="M37">
            <v>48.53</v>
          </cell>
          <cell r="N37">
            <v>47.51</v>
          </cell>
        </row>
        <row r="38">
          <cell r="L38">
            <v>5.5</v>
          </cell>
          <cell r="M38">
            <v>48.96</v>
          </cell>
          <cell r="N38">
            <v>47.51</v>
          </cell>
        </row>
        <row r="41">
          <cell r="M41" t="str">
            <v>LCOE Bundle 1</v>
          </cell>
          <cell r="N41" t="str">
            <v>LCOE Bundle 2</v>
          </cell>
        </row>
        <row r="42">
          <cell r="L42">
            <v>0</v>
          </cell>
          <cell r="M42">
            <v>48.96</v>
          </cell>
          <cell r="N42">
            <v>47.51</v>
          </cell>
        </row>
        <row r="43">
          <cell r="L43">
            <v>10</v>
          </cell>
          <cell r="M43">
            <v>55.6</v>
          </cell>
          <cell r="N43">
            <v>56</v>
          </cell>
        </row>
        <row r="44">
          <cell r="L44">
            <v>20</v>
          </cell>
          <cell r="M44">
            <v>62.25</v>
          </cell>
          <cell r="N44">
            <v>64.489999999999995</v>
          </cell>
        </row>
        <row r="45">
          <cell r="L45">
            <v>30</v>
          </cell>
          <cell r="M45">
            <v>68.89</v>
          </cell>
          <cell r="N45">
            <v>72.98</v>
          </cell>
        </row>
        <row r="46">
          <cell r="L46">
            <v>40</v>
          </cell>
          <cell r="M46">
            <v>75.53</v>
          </cell>
          <cell r="N46">
            <v>81.47</v>
          </cell>
        </row>
        <row r="47">
          <cell r="L47">
            <v>50</v>
          </cell>
          <cell r="M47">
            <v>82.17</v>
          </cell>
          <cell r="N47">
            <v>89.96</v>
          </cell>
        </row>
        <row r="48">
          <cell r="L48">
            <v>60</v>
          </cell>
          <cell r="M48">
            <v>88.81</v>
          </cell>
          <cell r="N48">
            <v>98.46</v>
          </cell>
        </row>
        <row r="49">
          <cell r="L49">
            <v>70</v>
          </cell>
          <cell r="M49">
            <v>95.45</v>
          </cell>
          <cell r="N49">
            <v>106.95</v>
          </cell>
        </row>
        <row r="50">
          <cell r="L50">
            <v>80</v>
          </cell>
          <cell r="M50">
            <v>102.1</v>
          </cell>
          <cell r="N50">
            <v>115.44</v>
          </cell>
        </row>
        <row r="51">
          <cell r="L51">
            <v>90</v>
          </cell>
          <cell r="M51">
            <v>108.74</v>
          </cell>
          <cell r="N51">
            <v>123.93</v>
          </cell>
        </row>
        <row r="52">
          <cell r="L52">
            <v>100</v>
          </cell>
          <cell r="M52">
            <v>115.38</v>
          </cell>
          <cell r="N52">
            <v>132.41999999999999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Constants"/>
      <sheetName val="UnitConversions"/>
      <sheetName val="TABLE_A"/>
      <sheetName val="TABLE_B"/>
      <sheetName val="TABLE_C"/>
      <sheetName val="LCOE_Comparison"/>
      <sheetName val="Comparison_NuclearPP"/>
    </sheetNames>
    <sheetDataSet>
      <sheetData sheetId="0" refreshError="1"/>
      <sheetData sheetId="1" refreshError="1">
        <row r="6">
          <cell r="C6">
            <v>8760</v>
          </cell>
        </row>
      </sheetData>
      <sheetData sheetId="2" refreshError="1">
        <row r="6">
          <cell r="D6">
            <v>9.9999999999999995E-7</v>
          </cell>
        </row>
        <row r="8">
          <cell r="D8">
            <v>1000</v>
          </cell>
        </row>
        <row r="9">
          <cell r="D9">
            <v>9.9999999999999995E-7</v>
          </cell>
        </row>
        <row r="10">
          <cell r="D10">
            <v>1000000</v>
          </cell>
        </row>
        <row r="11">
          <cell r="D11">
            <v>0.90718500000000002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2BAB4-D186-4281-BCF4-A0BAD346D89B}">
  <dimension ref="B1:N43"/>
  <sheetViews>
    <sheetView zoomScale="85" zoomScaleNormal="85" workbookViewId="0">
      <selection activeCell="D38" sqref="D38:F38"/>
    </sheetView>
  </sheetViews>
  <sheetFormatPr defaultRowHeight="15"/>
  <cols>
    <col min="2" max="2" width="17" customWidth="1"/>
    <col min="3" max="3" width="43.5703125" bestFit="1" customWidth="1"/>
    <col min="4" max="6" width="12.5703125" bestFit="1" customWidth="1"/>
  </cols>
  <sheetData>
    <row r="1" spans="2:14" ht="14.45" customHeight="1" thickBot="1"/>
    <row r="2" spans="2:14" ht="14.45" customHeight="1">
      <c r="B2" s="70" t="s">
        <v>0</v>
      </c>
      <c r="C2" s="71"/>
      <c r="D2" s="71"/>
      <c r="E2" s="71"/>
      <c r="F2" s="72"/>
      <c r="G2" s="1"/>
      <c r="H2" s="1"/>
      <c r="I2" s="1"/>
      <c r="J2" s="1"/>
      <c r="K2" s="1"/>
      <c r="L2" s="1"/>
      <c r="M2" s="1"/>
      <c r="N2" s="1"/>
    </row>
    <row r="3" spans="2:14" ht="14.45" customHeight="1">
      <c r="B3" s="73"/>
      <c r="C3" s="74"/>
      <c r="D3" s="74"/>
      <c r="E3" s="74"/>
      <c r="F3" s="75"/>
      <c r="G3" s="1"/>
      <c r="H3" s="1"/>
      <c r="I3" s="1"/>
      <c r="J3" s="1"/>
      <c r="K3" s="1"/>
      <c r="L3" s="1"/>
      <c r="M3" s="1"/>
      <c r="N3" s="1"/>
    </row>
    <row r="4" spans="2:14" ht="14.45" customHeight="1" thickBot="1">
      <c r="B4" s="76"/>
      <c r="C4" s="77"/>
      <c r="D4" s="77"/>
      <c r="E4" s="77"/>
      <c r="F4" s="78"/>
      <c r="G4" s="1"/>
      <c r="H4" s="1"/>
      <c r="I4" s="1"/>
      <c r="J4" s="1"/>
      <c r="K4" s="1"/>
      <c r="L4" s="1"/>
      <c r="M4" s="1"/>
      <c r="N4" s="1"/>
    </row>
    <row r="5" spans="2:14" ht="15.75" thickBot="1">
      <c r="B5" s="16"/>
      <c r="C5" s="16"/>
      <c r="D5" s="16"/>
      <c r="E5" s="16"/>
      <c r="F5" s="16"/>
    </row>
    <row r="6" spans="2:14" ht="15.75" thickBot="1">
      <c r="B6" s="79" t="s">
        <v>1</v>
      </c>
      <c r="C6" s="80"/>
      <c r="D6" s="16"/>
      <c r="E6" s="16"/>
      <c r="F6" s="16"/>
    </row>
    <row r="7" spans="2:14">
      <c r="B7" s="56">
        <v>1</v>
      </c>
      <c r="C7" s="57" t="s">
        <v>2</v>
      </c>
      <c r="D7" s="16"/>
      <c r="E7" s="16"/>
      <c r="F7" s="16"/>
    </row>
    <row r="8" spans="2:14">
      <c r="B8" s="19">
        <v>2</v>
      </c>
      <c r="C8" s="20" t="s">
        <v>3</v>
      </c>
      <c r="D8" s="16"/>
      <c r="E8" s="16"/>
      <c r="F8" s="16"/>
    </row>
    <row r="9" spans="2:14">
      <c r="B9" s="19">
        <v>3</v>
      </c>
      <c r="C9" s="20" t="s">
        <v>4</v>
      </c>
      <c r="D9" s="16"/>
      <c r="E9" s="16"/>
      <c r="F9" s="16"/>
    </row>
    <row r="10" spans="2:14" ht="15.75" thickBot="1">
      <c r="B10" s="21">
        <v>4</v>
      </c>
      <c r="C10" s="22" t="s">
        <v>5</v>
      </c>
      <c r="D10" s="16"/>
      <c r="E10" s="16"/>
      <c r="F10" s="16"/>
    </row>
    <row r="11" spans="2:14" ht="15.75" thickBot="1">
      <c r="B11" s="16"/>
      <c r="C11" s="16"/>
      <c r="D11" s="16"/>
      <c r="E11" s="16"/>
      <c r="F11" s="16"/>
    </row>
    <row r="12" spans="2:14" ht="18.399999999999999">
      <c r="B12" s="23" t="s">
        <v>6</v>
      </c>
      <c r="C12" s="24" t="s">
        <v>7</v>
      </c>
      <c r="D12" s="24" t="s">
        <v>8</v>
      </c>
      <c r="E12" s="24" t="s">
        <v>9</v>
      </c>
      <c r="F12" s="25" t="s">
        <v>10</v>
      </c>
    </row>
    <row r="13" spans="2:14">
      <c r="B13" s="19"/>
      <c r="C13" s="27" t="s">
        <v>11</v>
      </c>
      <c r="D13" s="28">
        <v>525</v>
      </c>
      <c r="E13" s="28">
        <v>525</v>
      </c>
      <c r="F13" s="29">
        <v>527.20000000000005</v>
      </c>
    </row>
    <row r="14" spans="2:14">
      <c r="B14" s="19"/>
      <c r="C14" s="27" t="s">
        <v>12</v>
      </c>
      <c r="D14" s="28">
        <v>491.7</v>
      </c>
      <c r="E14" s="28">
        <v>491.7</v>
      </c>
      <c r="F14" s="29">
        <v>493.4</v>
      </c>
    </row>
    <row r="15" spans="2:14">
      <c r="B15" s="19"/>
      <c r="C15" s="27" t="s">
        <v>13</v>
      </c>
      <c r="D15" s="28">
        <v>0.55059999999999998</v>
      </c>
      <c r="E15" s="28">
        <v>0.61050000000000004</v>
      </c>
      <c r="F15" s="29">
        <v>0.63970000000000005</v>
      </c>
    </row>
    <row r="16" spans="2:14">
      <c r="B16" s="43">
        <v>1</v>
      </c>
      <c r="C16" s="44" t="s">
        <v>2</v>
      </c>
      <c r="D16" s="47">
        <f>D27/(D14*Hours_in_a_year)</f>
        <v>0.58784614555966952</v>
      </c>
      <c r="E16" s="47">
        <f>E27/(E14*Hours_in_a_year)</f>
        <v>0.65187338123349892</v>
      </c>
      <c r="F16" s="31">
        <f>F27/(F14*Hours_in_a_year)</f>
        <v>0.68348131407640211</v>
      </c>
    </row>
    <row r="17" spans="2:6">
      <c r="B17" s="19"/>
      <c r="C17" s="27" t="s">
        <v>14</v>
      </c>
      <c r="D17" s="27">
        <v>1.2470000000000001</v>
      </c>
      <c r="E17" s="27">
        <v>1.2470000000000001</v>
      </c>
      <c r="F17" s="33">
        <v>1.2726</v>
      </c>
    </row>
    <row r="18" spans="2:6">
      <c r="B18" s="19"/>
      <c r="C18" s="27" t="s">
        <v>15</v>
      </c>
      <c r="D18" s="34">
        <v>10060</v>
      </c>
      <c r="E18" s="34">
        <v>10060</v>
      </c>
      <c r="F18" s="35">
        <v>10350</v>
      </c>
    </row>
    <row r="19" spans="2:6" ht="15.75" thickBot="1">
      <c r="B19" s="21"/>
      <c r="C19" s="37" t="s">
        <v>16</v>
      </c>
      <c r="D19" s="37">
        <v>1.1120000000000001</v>
      </c>
      <c r="E19" s="37">
        <v>1.1120000000000001</v>
      </c>
      <c r="F19" s="58">
        <v>1.1439999999999999</v>
      </c>
    </row>
    <row r="20" spans="2:6" ht="15.75" thickBot="1">
      <c r="B20" s="16"/>
      <c r="C20" s="16"/>
      <c r="D20" s="16"/>
      <c r="E20" s="16"/>
      <c r="F20" s="16"/>
    </row>
    <row r="21" spans="2:6" ht="18.399999999999999">
      <c r="B21" s="23" t="s">
        <v>6</v>
      </c>
      <c r="C21" s="24" t="s">
        <v>17</v>
      </c>
      <c r="D21" s="81" t="s">
        <v>18</v>
      </c>
      <c r="E21" s="82"/>
      <c r="F21" s="83"/>
    </row>
    <row r="22" spans="2:6">
      <c r="B22" s="26"/>
      <c r="C22" s="27" t="s">
        <v>19</v>
      </c>
      <c r="D22" s="84">
        <v>2</v>
      </c>
      <c r="E22" s="84"/>
      <c r="F22" s="85"/>
    </row>
    <row r="23" spans="2:6">
      <c r="B23" s="26"/>
      <c r="C23" s="27" t="s">
        <v>20</v>
      </c>
      <c r="D23" s="84">
        <v>0</v>
      </c>
      <c r="E23" s="84"/>
      <c r="F23" s="85"/>
    </row>
    <row r="24" spans="2:6" ht="15.75" thickBot="1">
      <c r="B24" s="36"/>
      <c r="C24" s="37" t="s">
        <v>21</v>
      </c>
      <c r="D24" s="86">
        <v>10</v>
      </c>
      <c r="E24" s="86"/>
      <c r="F24" s="87"/>
    </row>
    <row r="25" spans="2:6" ht="15.75" thickBot="1">
      <c r="B25" s="16"/>
      <c r="C25" s="16"/>
      <c r="D25" s="42"/>
      <c r="E25" s="42"/>
      <c r="F25" s="42"/>
    </row>
    <row r="26" spans="2:6" ht="18.399999999999999">
      <c r="B26" s="23" t="s">
        <v>6</v>
      </c>
      <c r="C26" s="24" t="s">
        <v>22</v>
      </c>
      <c r="D26" s="24" t="s">
        <v>8</v>
      </c>
      <c r="E26" s="24" t="s">
        <v>9</v>
      </c>
      <c r="F26" s="25" t="s">
        <v>10</v>
      </c>
    </row>
    <row r="27" spans="2:6">
      <c r="B27" s="19"/>
      <c r="C27" s="27" t="s">
        <v>23</v>
      </c>
      <c r="D27" s="34">
        <v>2532025</v>
      </c>
      <c r="E27" s="34">
        <v>2807809</v>
      </c>
      <c r="F27" s="35">
        <v>2954132</v>
      </c>
    </row>
    <row r="28" spans="2:6">
      <c r="B28" s="43">
        <v>2</v>
      </c>
      <c r="C28" s="44" t="s">
        <v>3</v>
      </c>
      <c r="D28" s="47">
        <f>D22*D18*From_Btu_to_MBtu*From_MWh_to_kWh</f>
        <v>20.119999999999997</v>
      </c>
      <c r="E28" s="47">
        <f>D22*E18*From_Btu_to_MBtu*From_MWh_to_kWh</f>
        <v>20.119999999999997</v>
      </c>
      <c r="F28" s="31">
        <f>D22*F18*From_Btu_to_MBtu*From_MWh_to_kWh</f>
        <v>20.7</v>
      </c>
    </row>
    <row r="29" spans="2:6">
      <c r="B29" s="19"/>
      <c r="C29" s="27" t="s">
        <v>24</v>
      </c>
      <c r="D29" s="49">
        <f>D19*D27</f>
        <v>2815611.8000000003</v>
      </c>
      <c r="E29" s="49">
        <f>E19*E27</f>
        <v>3122283.6080000005</v>
      </c>
      <c r="F29" s="50">
        <f>F27*F19</f>
        <v>3379527.0079999999</v>
      </c>
    </row>
    <row r="30" spans="2:6">
      <c r="B30" s="19"/>
      <c r="C30" s="27" t="s">
        <v>25</v>
      </c>
      <c r="D30" s="27">
        <v>31.21</v>
      </c>
      <c r="E30" s="27">
        <v>31.21</v>
      </c>
      <c r="F30" s="33">
        <v>31.29</v>
      </c>
    </row>
    <row r="31" spans="2:6">
      <c r="B31" s="19"/>
      <c r="C31" s="27" t="s">
        <v>26</v>
      </c>
      <c r="D31" s="28">
        <f>D17*D27*From_Dollar_to_MillionDollar</f>
        <v>3.1574351750000003</v>
      </c>
      <c r="E31" s="28">
        <f>E17*E27*From_Dollar_to_MillionDollar</f>
        <v>3.5013378230000001</v>
      </c>
      <c r="F31" s="29">
        <f>F17*F27*From_Dollar_to_MillionDollar</f>
        <v>3.7594283831999999</v>
      </c>
    </row>
    <row r="32" spans="2:6">
      <c r="B32" s="19"/>
      <c r="C32" s="27" t="s">
        <v>27</v>
      </c>
      <c r="D32" s="28">
        <f>D28*D27*From_Dollar_to_MillionDollar</f>
        <v>50.944342999999989</v>
      </c>
      <c r="E32" s="28">
        <f>E28*E27*From_Dollar_to_MillionDollar</f>
        <v>56.49311707999999</v>
      </c>
      <c r="F32" s="29">
        <f>F28*F27*From_Dollar_to_MillionDollar</f>
        <v>61.150532399999996</v>
      </c>
    </row>
    <row r="33" spans="2:6">
      <c r="B33" s="19"/>
      <c r="C33" s="27" t="s">
        <v>28</v>
      </c>
      <c r="D33" s="59">
        <v>0</v>
      </c>
      <c r="E33" s="59">
        <v>0</v>
      </c>
      <c r="F33" s="60">
        <v>0</v>
      </c>
    </row>
    <row r="34" spans="2:6">
      <c r="B34" s="19"/>
      <c r="C34" s="27" t="s">
        <v>29</v>
      </c>
      <c r="D34" s="28">
        <f>D24*D29*From_Dollar_to_MillionDollar</f>
        <v>28.156118000000003</v>
      </c>
      <c r="E34" s="28">
        <f>D24*E29*From_Dollar_to_MillionDollar</f>
        <v>31.222836080000004</v>
      </c>
      <c r="F34" s="29">
        <f>D24*F29*From_Dollar_to_MillionDollar</f>
        <v>33.795270079999995</v>
      </c>
    </row>
    <row r="35" spans="2:6">
      <c r="B35" s="19"/>
      <c r="C35" s="27" t="s">
        <v>30</v>
      </c>
      <c r="D35" s="28">
        <f>D30+D31+D32+D33</f>
        <v>85.311778175000001</v>
      </c>
      <c r="E35" s="28">
        <f t="shared" ref="E35:F35" si="0">E30+E31+E32+E33</f>
        <v>91.204454902999998</v>
      </c>
      <c r="F35" s="29">
        <f t="shared" si="0"/>
        <v>96.199960783199998</v>
      </c>
    </row>
    <row r="36" spans="2:6">
      <c r="B36" s="19"/>
      <c r="C36" s="27" t="s">
        <v>31</v>
      </c>
      <c r="D36" s="28">
        <f>D30+D31+D32+D34</f>
        <v>113.46789617500001</v>
      </c>
      <c r="E36" s="28">
        <f t="shared" ref="E36:F36" si="1">E30+E31+E32+E34</f>
        <v>122.42729098300001</v>
      </c>
      <c r="F36" s="29">
        <f t="shared" si="1"/>
        <v>129.99523086319999</v>
      </c>
    </row>
    <row r="37" spans="2:6">
      <c r="B37" s="26"/>
      <c r="C37" s="27" t="s">
        <v>32</v>
      </c>
      <c r="D37" s="28">
        <f>D29/D27</f>
        <v>1.1120000000000001</v>
      </c>
      <c r="E37" s="28">
        <f t="shared" ref="E37:F37" si="2">E29/E27</f>
        <v>1.1120000000000001</v>
      </c>
      <c r="F37" s="29">
        <f t="shared" si="2"/>
        <v>1.1439999999999999</v>
      </c>
    </row>
    <row r="38" spans="2:6" ht="15.75" thickBot="1">
      <c r="B38" s="36"/>
      <c r="C38" s="37" t="s">
        <v>33</v>
      </c>
      <c r="D38" s="65">
        <f>SUM(D29:F29)/SUM(D27:F27)</f>
        <v>1.1233977105765807</v>
      </c>
      <c r="E38" s="65"/>
      <c r="F38" s="66"/>
    </row>
    <row r="39" spans="2:6" ht="15.75" thickBot="1">
      <c r="B39" s="16"/>
      <c r="C39" s="16"/>
      <c r="D39" s="53"/>
      <c r="E39" s="53"/>
      <c r="F39" s="53"/>
    </row>
    <row r="40" spans="2:6" ht="18.399999999999999">
      <c r="B40" s="23" t="s">
        <v>6</v>
      </c>
      <c r="C40" s="24" t="s">
        <v>34</v>
      </c>
      <c r="D40" s="24" t="s">
        <v>8</v>
      </c>
      <c r="E40" s="24" t="s">
        <v>9</v>
      </c>
      <c r="F40" s="25" t="s">
        <v>10</v>
      </c>
    </row>
    <row r="41" spans="2:6">
      <c r="B41" s="43">
        <v>3</v>
      </c>
      <c r="C41" s="44" t="s">
        <v>4</v>
      </c>
      <c r="D41" s="47">
        <f>(D35*From_MillionDollar_to_Dollar)/D27</f>
        <v>33.693102625369022</v>
      </c>
      <c r="E41" s="47">
        <f>(E35*From_MillionDollar_to_Dollar)/E27</f>
        <v>32.482428435481189</v>
      </c>
      <c r="F41" s="31">
        <f>(F35*From_MillionDollar_to_Dollar)/F27</f>
        <v>32.564543758775841</v>
      </c>
    </row>
    <row r="42" spans="2:6">
      <c r="B42" s="61"/>
      <c r="C42" s="62" t="s">
        <v>35</v>
      </c>
      <c r="D42" s="67">
        <f>(D35+E35+F35)*From_MillionDollar_to_Dollar/(D27+E27+F27)</f>
        <v>32.881277046614365</v>
      </c>
      <c r="E42" s="68"/>
      <c r="F42" s="69"/>
    </row>
    <row r="43" spans="2:6" ht="15.75" thickBot="1">
      <c r="B43" s="51">
        <v>4</v>
      </c>
      <c r="C43" s="52" t="s">
        <v>5</v>
      </c>
      <c r="D43" s="63">
        <f>(D36/D27)*From_MillionDollar_to_Dollar</f>
        <v>44.813102625369027</v>
      </c>
      <c r="E43" s="63">
        <f>(E36/E27)*From_MillionDollar_to_Dollar</f>
        <v>43.602428435481194</v>
      </c>
      <c r="F43" s="64">
        <f>(F36/F27)*From_MillionDollar_to_Dollar</f>
        <v>44.004543758775839</v>
      </c>
    </row>
  </sheetData>
  <mergeCells count="8">
    <mergeCell ref="D38:F38"/>
    <mergeCell ref="D42:F42"/>
    <mergeCell ref="B2:F4"/>
    <mergeCell ref="B6:C6"/>
    <mergeCell ref="D21:F21"/>
    <mergeCell ref="D22:F22"/>
    <mergeCell ref="D23:F23"/>
    <mergeCell ref="D24:F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1F90F-5B48-40ED-9C3C-B67D6439F77D}">
  <dimension ref="B1:M49"/>
  <sheetViews>
    <sheetView topLeftCell="A8" zoomScale="85" zoomScaleNormal="85" workbookViewId="0">
      <selection activeCell="G15" sqref="G15:I15"/>
    </sheetView>
  </sheetViews>
  <sheetFormatPr defaultRowHeight="15"/>
  <cols>
    <col min="2" max="2" width="17" customWidth="1"/>
    <col min="3" max="3" width="48.5703125" customWidth="1"/>
    <col min="4" max="4" width="13.7109375" bestFit="1" customWidth="1"/>
    <col min="5" max="5" width="12.5703125" bestFit="1" customWidth="1"/>
    <col min="6" max="6" width="14.28515625" bestFit="1" customWidth="1"/>
    <col min="7" max="7" width="28.28515625" bestFit="1" customWidth="1"/>
    <col min="8" max="9" width="14.85546875" bestFit="1" customWidth="1"/>
  </cols>
  <sheetData>
    <row r="1" spans="2:13" ht="14.45" customHeight="1" thickBot="1"/>
    <row r="2" spans="2:13" ht="14.45" customHeight="1">
      <c r="B2" s="70" t="s">
        <v>36</v>
      </c>
      <c r="C2" s="71"/>
      <c r="D2" s="71"/>
      <c r="E2" s="72"/>
      <c r="F2" s="1"/>
      <c r="G2" s="1"/>
      <c r="H2" s="1"/>
      <c r="I2" s="1"/>
      <c r="J2" s="1"/>
      <c r="K2" s="1"/>
      <c r="L2" s="1"/>
      <c r="M2" s="1"/>
    </row>
    <row r="3" spans="2:13" ht="14.45" customHeight="1">
      <c r="B3" s="73"/>
      <c r="C3" s="74"/>
      <c r="D3" s="74"/>
      <c r="E3" s="75"/>
      <c r="F3" s="1"/>
      <c r="G3" s="1"/>
      <c r="H3" s="1"/>
      <c r="I3" s="1"/>
      <c r="J3" s="1"/>
      <c r="K3" s="1"/>
      <c r="L3" s="1"/>
      <c r="M3" s="1"/>
    </row>
    <row r="4" spans="2:13" ht="14.45" customHeight="1" thickBot="1">
      <c r="B4" s="76"/>
      <c r="C4" s="77"/>
      <c r="D4" s="77"/>
      <c r="E4" s="78"/>
      <c r="F4" s="1"/>
      <c r="G4" s="1"/>
      <c r="H4" s="1"/>
      <c r="I4" s="1"/>
      <c r="J4" s="1"/>
      <c r="K4" s="1"/>
      <c r="L4" s="1"/>
      <c r="M4" s="1"/>
    </row>
    <row r="5" spans="2:13" ht="15.75" thickBot="1">
      <c r="B5" s="16"/>
      <c r="C5" s="16"/>
      <c r="D5" s="16"/>
      <c r="E5" s="16"/>
    </row>
    <row r="6" spans="2:13" ht="15.75" thickBot="1">
      <c r="B6" s="92" t="s">
        <v>37</v>
      </c>
      <c r="C6" s="93"/>
      <c r="D6" s="16"/>
      <c r="E6" s="16"/>
    </row>
    <row r="7" spans="2:13">
      <c r="B7" s="17">
        <v>1</v>
      </c>
      <c r="C7" s="18" t="s">
        <v>38</v>
      </c>
      <c r="D7" s="16"/>
      <c r="E7" s="16"/>
    </row>
    <row r="8" spans="2:13">
      <c r="B8" s="19">
        <v>2</v>
      </c>
      <c r="C8" s="20" t="s">
        <v>3</v>
      </c>
      <c r="D8" s="16"/>
      <c r="E8" s="16"/>
    </row>
    <row r="9" spans="2:13">
      <c r="B9" s="19">
        <v>3</v>
      </c>
      <c r="C9" s="20" t="s">
        <v>30</v>
      </c>
      <c r="D9" s="16"/>
      <c r="E9" s="16"/>
    </row>
    <row r="10" spans="2:13">
      <c r="B10" s="19">
        <v>4</v>
      </c>
      <c r="C10" s="20" t="s">
        <v>39</v>
      </c>
      <c r="D10" s="16"/>
      <c r="E10" s="16"/>
    </row>
    <row r="11" spans="2:13">
      <c r="B11" s="19">
        <v>5</v>
      </c>
      <c r="C11" s="20" t="s">
        <v>4</v>
      </c>
      <c r="D11" s="16"/>
      <c r="E11" s="16"/>
    </row>
    <row r="12" spans="2:13">
      <c r="B12" s="19">
        <v>6</v>
      </c>
      <c r="C12" s="20" t="s">
        <v>40</v>
      </c>
      <c r="D12" s="16"/>
      <c r="E12" s="16"/>
    </row>
    <row r="13" spans="2:13" ht="15.75" thickBot="1">
      <c r="B13" s="21">
        <v>7</v>
      </c>
      <c r="C13" s="22" t="s">
        <v>41</v>
      </c>
      <c r="D13" s="16"/>
      <c r="E13" s="16"/>
    </row>
    <row r="14" spans="2:13" ht="15.75" thickBot="1">
      <c r="B14" s="16"/>
      <c r="C14" s="16"/>
      <c r="D14" s="16"/>
      <c r="E14" s="16"/>
    </row>
    <row r="15" spans="2:13" ht="18.399999999999999">
      <c r="B15" s="23" t="s">
        <v>6</v>
      </c>
      <c r="C15" s="24" t="s">
        <v>7</v>
      </c>
      <c r="D15" s="24" t="s">
        <v>42</v>
      </c>
      <c r="E15" s="25" t="s">
        <v>10</v>
      </c>
      <c r="G15" s="94" t="s">
        <v>43</v>
      </c>
      <c r="H15" s="94"/>
      <c r="I15" s="94"/>
    </row>
    <row r="16" spans="2:13">
      <c r="B16" s="26"/>
      <c r="C16" s="27" t="s">
        <v>12</v>
      </c>
      <c r="D16" s="28">
        <v>1180</v>
      </c>
      <c r="E16" s="29">
        <v>493.4</v>
      </c>
      <c r="G16" s="3" t="s">
        <v>44</v>
      </c>
      <c r="H16" s="30">
        <f>D21*D19*From_Btu_to_MBtu*From_MWh_to_kWh</f>
        <v>796.97519999999986</v>
      </c>
      <c r="I16" s="30">
        <f>E21*E19*From_Btu_to_MBtu*From_MWh_to_kWh</f>
        <v>2288.3849999999998</v>
      </c>
    </row>
    <row r="17" spans="2:9">
      <c r="B17" s="26"/>
      <c r="C17" s="27" t="s">
        <v>2</v>
      </c>
      <c r="D17" s="28">
        <v>0.51659999999999995</v>
      </c>
      <c r="E17" s="31">
        <f>E32/(E16*Hours_in_a_year)</f>
        <v>0.68348131407640211</v>
      </c>
      <c r="G17" s="3" t="s">
        <v>45</v>
      </c>
      <c r="H17" s="32">
        <f>H16*D32</f>
        <v>4255715270.1167994</v>
      </c>
      <c r="I17" s="32">
        <f>I16*E32</f>
        <v>6760191356.8199997</v>
      </c>
    </row>
    <row r="18" spans="2:9">
      <c r="B18" s="26"/>
      <c r="C18" s="27" t="s">
        <v>14</v>
      </c>
      <c r="D18" s="27">
        <v>0</v>
      </c>
      <c r="E18" s="33">
        <v>1.2726</v>
      </c>
      <c r="G18" s="3" t="s">
        <v>46</v>
      </c>
      <c r="H18" s="95">
        <f>(H17+I17)/(D32+E32)</f>
        <v>1328.1832391086241</v>
      </c>
      <c r="I18" s="96"/>
    </row>
    <row r="19" spans="2:9">
      <c r="B19" s="26"/>
      <c r="C19" s="27" t="s">
        <v>15</v>
      </c>
      <c r="D19" s="34">
        <v>6777</v>
      </c>
      <c r="E19" s="35">
        <v>10350</v>
      </c>
    </row>
    <row r="20" spans="2:9">
      <c r="B20" s="26"/>
      <c r="C20" s="27" t="s">
        <v>16</v>
      </c>
      <c r="D20" s="27">
        <v>0.3987</v>
      </c>
      <c r="E20" s="33">
        <v>1.1439999999999999</v>
      </c>
    </row>
    <row r="21" spans="2:9">
      <c r="B21" s="26"/>
      <c r="C21" s="27" t="s">
        <v>47</v>
      </c>
      <c r="D21" s="27">
        <v>117.6</v>
      </c>
      <c r="E21" s="33">
        <v>221.1</v>
      </c>
    </row>
    <row r="22" spans="2:9">
      <c r="B22" s="26"/>
      <c r="C22" s="27" t="s">
        <v>48</v>
      </c>
      <c r="D22" s="27">
        <v>846.6</v>
      </c>
      <c r="E22" s="29">
        <v>0</v>
      </c>
    </row>
    <row r="23" spans="2:9" ht="15.75" thickBot="1">
      <c r="B23" s="36"/>
      <c r="C23" s="37" t="s">
        <v>49</v>
      </c>
      <c r="D23" s="37">
        <v>0.1128</v>
      </c>
      <c r="E23" s="38" t="s">
        <v>50</v>
      </c>
    </row>
    <row r="24" spans="2:9" ht="15.75" thickBot="1">
      <c r="B24" s="16"/>
      <c r="C24" s="16"/>
      <c r="D24" s="16"/>
      <c r="E24" s="16"/>
    </row>
    <row r="25" spans="2:9" ht="18.399999999999999">
      <c r="B25" s="23" t="s">
        <v>6</v>
      </c>
      <c r="C25" s="24" t="s">
        <v>17</v>
      </c>
      <c r="D25" s="81" t="s">
        <v>18</v>
      </c>
      <c r="E25" s="83"/>
    </row>
    <row r="26" spans="2:9">
      <c r="B26" s="26"/>
      <c r="C26" s="27" t="s">
        <v>19</v>
      </c>
      <c r="D26" s="84">
        <v>2</v>
      </c>
      <c r="E26" s="85"/>
    </row>
    <row r="27" spans="2:9">
      <c r="B27" s="26"/>
      <c r="C27" s="27" t="s">
        <v>51</v>
      </c>
      <c r="D27" s="84">
        <v>3</v>
      </c>
      <c r="E27" s="85"/>
    </row>
    <row r="28" spans="2:9">
      <c r="B28" s="26"/>
      <c r="C28" s="27" t="s">
        <v>20</v>
      </c>
      <c r="D28" s="84">
        <v>0</v>
      </c>
      <c r="E28" s="85"/>
    </row>
    <row r="29" spans="2:9" ht="15.75" thickBot="1">
      <c r="B29" s="36"/>
      <c r="C29" s="37" t="s">
        <v>21</v>
      </c>
      <c r="D29" s="86">
        <v>10</v>
      </c>
      <c r="E29" s="87"/>
    </row>
    <row r="30" spans="2:9" ht="15.75" thickBot="1">
      <c r="B30" s="16"/>
      <c r="C30" s="16"/>
      <c r="D30" s="42"/>
      <c r="E30" s="42"/>
    </row>
    <row r="31" spans="2:9" ht="18.399999999999999">
      <c r="B31" s="23" t="s">
        <v>6</v>
      </c>
      <c r="C31" s="24" t="s">
        <v>22</v>
      </c>
      <c r="D31" s="24" t="s">
        <v>42</v>
      </c>
      <c r="E31" s="25" t="s">
        <v>10</v>
      </c>
    </row>
    <row r="32" spans="2:9">
      <c r="B32" s="43">
        <v>4</v>
      </c>
      <c r="C32" s="44" t="s">
        <v>39</v>
      </c>
      <c r="D32" s="45">
        <f>[1]TABLE_A!D27+[1]TABLE_A!E27</f>
        <v>5339834</v>
      </c>
      <c r="E32" s="46">
        <v>2954132</v>
      </c>
    </row>
    <row r="33" spans="2:5">
      <c r="B33" s="43">
        <v>2</v>
      </c>
      <c r="C33" s="44" t="s">
        <v>3</v>
      </c>
      <c r="D33" s="47">
        <f>$D$27*D19*From_Btu_to_MBtu*From_MWh_to_kWh</f>
        <v>20.331</v>
      </c>
      <c r="E33" s="31">
        <f>D26*E19*From_Btu_to_MBtu*From_MWh_to_kWh</f>
        <v>20.7</v>
      </c>
    </row>
    <row r="34" spans="2:5">
      <c r="B34" s="48"/>
      <c r="C34" s="27" t="s">
        <v>24</v>
      </c>
      <c r="D34" s="49">
        <f>D20*D32</f>
        <v>2128991.8158</v>
      </c>
      <c r="E34" s="50">
        <f>E20*E32</f>
        <v>3379527.0079999999</v>
      </c>
    </row>
    <row r="35" spans="2:5">
      <c r="B35" s="48"/>
      <c r="C35" s="27" t="s">
        <v>25</v>
      </c>
      <c r="D35" s="27">
        <v>15.37</v>
      </c>
      <c r="E35" s="33">
        <v>31.29</v>
      </c>
    </row>
    <row r="36" spans="2:5">
      <c r="B36" s="48"/>
      <c r="C36" s="27" t="s">
        <v>26</v>
      </c>
      <c r="D36" s="28">
        <f>D18*D32*From_Dollar_to_MillionDollar</f>
        <v>0</v>
      </c>
      <c r="E36" s="29">
        <f>E18*E32*From_Dollar_to_MillionDollar</f>
        <v>3.7594283831999999</v>
      </c>
    </row>
    <row r="37" spans="2:5">
      <c r="B37" s="48"/>
      <c r="C37" s="27" t="s">
        <v>27</v>
      </c>
      <c r="D37" s="28">
        <f>D33*D32*From_Dollar_to_MillionDollar</f>
        <v>108.56416505399999</v>
      </c>
      <c r="E37" s="29">
        <f>E33*E32*From_Dollar_to_MillionDollar</f>
        <v>61.150532399999996</v>
      </c>
    </row>
    <row r="38" spans="2:5">
      <c r="B38" s="43">
        <v>1</v>
      </c>
      <c r="C38" s="44" t="s">
        <v>38</v>
      </c>
      <c r="D38" s="47">
        <f>D22*D23</f>
        <v>95.496480000000005</v>
      </c>
      <c r="E38" s="29">
        <v>0</v>
      </c>
    </row>
    <row r="39" spans="2:5">
      <c r="B39" s="48"/>
      <c r="C39" s="27" t="s">
        <v>28</v>
      </c>
      <c r="D39" s="27">
        <v>0</v>
      </c>
      <c r="E39" s="33">
        <v>0</v>
      </c>
    </row>
    <row r="40" spans="2:5">
      <c r="B40" s="48"/>
      <c r="C40" s="27" t="s">
        <v>29</v>
      </c>
      <c r="D40" s="28">
        <f>D29*D34*From_Dollar_to_MillionDollar</f>
        <v>21.289918157999999</v>
      </c>
      <c r="E40" s="29">
        <f>D29*E34*From_Dollar_to_MillionDollar</f>
        <v>33.795270079999995</v>
      </c>
    </row>
    <row r="41" spans="2:5">
      <c r="B41" s="43">
        <v>3</v>
      </c>
      <c r="C41" s="44" t="s">
        <v>30</v>
      </c>
      <c r="D41" s="47">
        <f>D35+D36+D37+D38+D39</f>
        <v>219.430645054</v>
      </c>
      <c r="E41" s="31">
        <f>E35+E36+E37+E38+E39</f>
        <v>96.199960783199998</v>
      </c>
    </row>
    <row r="42" spans="2:5">
      <c r="B42" s="48"/>
      <c r="C42" s="27" t="s">
        <v>52</v>
      </c>
      <c r="D42" s="28">
        <f>D35+D36+D37+D38+D40</f>
        <v>240.720563212</v>
      </c>
      <c r="E42" s="29">
        <f>E35+E36+E37+E38+E40</f>
        <v>129.99523086319999</v>
      </c>
    </row>
    <row r="43" spans="2:5" ht="15.75" thickBot="1">
      <c r="B43" s="51">
        <v>6</v>
      </c>
      <c r="C43" s="52" t="s">
        <v>40</v>
      </c>
      <c r="D43" s="88">
        <f>(D34+E34)/(D32+E32)</f>
        <v>0.66415980289767274</v>
      </c>
      <c r="E43" s="89"/>
    </row>
    <row r="44" spans="2:5" ht="15.75" thickBot="1">
      <c r="B44" s="16"/>
      <c r="C44" s="16"/>
      <c r="D44" s="53"/>
      <c r="E44" s="53"/>
    </row>
    <row r="45" spans="2:5" ht="18.399999999999999">
      <c r="B45" s="23" t="s">
        <v>6</v>
      </c>
      <c r="C45" s="24" t="s">
        <v>34</v>
      </c>
      <c r="D45" s="24" t="s">
        <v>42</v>
      </c>
      <c r="E45" s="25" t="s">
        <v>10</v>
      </c>
    </row>
    <row r="46" spans="2:5">
      <c r="B46" s="43">
        <v>5</v>
      </c>
      <c r="C46" s="44" t="s">
        <v>4</v>
      </c>
      <c r="D46" s="47">
        <f>(D41*From_MillionDollar_to_Dollar)/D32</f>
        <v>41.093158524029022</v>
      </c>
      <c r="E46" s="31">
        <f>(E41*From_MillionDollar_to_Dollar)/E32</f>
        <v>32.564543758775841</v>
      </c>
    </row>
    <row r="47" spans="2:5">
      <c r="B47" s="43">
        <v>7</v>
      </c>
      <c r="C47" s="44" t="s">
        <v>41</v>
      </c>
      <c r="D47" s="90">
        <f>SUM(D41:E41)*From_MillionDollar_to_Dollar/SUM(D32:E32)</f>
        <v>38.055449689231907</v>
      </c>
      <c r="E47" s="91"/>
    </row>
    <row r="48" spans="2:5">
      <c r="B48" s="19" t="s">
        <v>53</v>
      </c>
      <c r="C48" s="27" t="s">
        <v>5</v>
      </c>
      <c r="D48" s="28">
        <f>(D42*From_MillionDollar_to_Dollar)/D32</f>
        <v>45.080158524029024</v>
      </c>
      <c r="E48" s="29">
        <f>(E42*From_MillionDollar_to_Dollar)/E32</f>
        <v>44.004543758775839</v>
      </c>
    </row>
    <row r="49" spans="2:5" ht="15.75" thickBot="1">
      <c r="B49" s="21" t="s">
        <v>53</v>
      </c>
      <c r="C49" s="37" t="s">
        <v>54</v>
      </c>
      <c r="D49" s="65">
        <f>((D42+E42)*From_MillionDollar_to_Dollar)/(D32+E32)</f>
        <v>44.697047718208637</v>
      </c>
      <c r="E49" s="87"/>
    </row>
  </sheetData>
  <mergeCells count="12">
    <mergeCell ref="D49:E49"/>
    <mergeCell ref="B2:E4"/>
    <mergeCell ref="B6:C6"/>
    <mergeCell ref="G15:I15"/>
    <mergeCell ref="H18:I18"/>
    <mergeCell ref="D25:E25"/>
    <mergeCell ref="D26:E26"/>
    <mergeCell ref="D27:E27"/>
    <mergeCell ref="D28:E28"/>
    <mergeCell ref="D29:E29"/>
    <mergeCell ref="D43:E43"/>
    <mergeCell ref="D47:E47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04E24-A910-4C9A-9A06-74E842610934}">
  <dimension ref="B1:N51"/>
  <sheetViews>
    <sheetView topLeftCell="A18" zoomScale="85" zoomScaleNormal="85" workbookViewId="0">
      <selection activeCell="I24" sqref="I24"/>
    </sheetView>
  </sheetViews>
  <sheetFormatPr defaultRowHeight="15"/>
  <cols>
    <col min="2" max="2" width="17" customWidth="1"/>
    <col min="3" max="3" width="47.85546875" customWidth="1"/>
    <col min="4" max="4" width="12.5703125" bestFit="1" customWidth="1"/>
    <col min="5" max="6" width="13.28515625" bestFit="1" customWidth="1"/>
    <col min="8" max="8" width="28.28515625" bestFit="1" customWidth="1"/>
    <col min="9" max="9" width="13.42578125" bestFit="1" customWidth="1"/>
    <col min="10" max="11" width="14.85546875" bestFit="1" customWidth="1"/>
  </cols>
  <sheetData>
    <row r="1" spans="2:14" ht="14.45" customHeight="1" thickBot="1"/>
    <row r="2" spans="2:14" ht="14.45" customHeight="1">
      <c r="B2" s="70" t="s">
        <v>55</v>
      </c>
      <c r="C2" s="71"/>
      <c r="D2" s="71"/>
      <c r="E2" s="71"/>
      <c r="F2" s="72"/>
      <c r="G2" s="1"/>
      <c r="H2" s="1"/>
      <c r="I2" s="1"/>
      <c r="J2" s="1"/>
      <c r="K2" s="1"/>
      <c r="L2" s="1"/>
      <c r="M2" s="1"/>
      <c r="N2" s="1"/>
    </row>
    <row r="3" spans="2:14" ht="14.45" customHeight="1">
      <c r="B3" s="73"/>
      <c r="C3" s="74"/>
      <c r="D3" s="74"/>
      <c r="E3" s="74"/>
      <c r="F3" s="75"/>
      <c r="G3" s="1"/>
      <c r="H3" s="1"/>
      <c r="I3" s="1"/>
      <c r="J3" s="1"/>
      <c r="K3" s="1"/>
      <c r="L3" s="1"/>
      <c r="M3" s="1"/>
      <c r="N3" s="1"/>
    </row>
    <row r="4" spans="2:14" ht="14.45" customHeight="1" thickBot="1">
      <c r="B4" s="76"/>
      <c r="C4" s="77"/>
      <c r="D4" s="77"/>
      <c r="E4" s="77"/>
      <c r="F4" s="78"/>
      <c r="G4" s="1"/>
      <c r="H4" s="1"/>
      <c r="I4" s="1"/>
      <c r="J4" s="1"/>
      <c r="K4" s="1"/>
      <c r="L4" s="1"/>
      <c r="M4" s="1"/>
      <c r="N4" s="1"/>
    </row>
    <row r="5" spans="2:14" ht="15.75" thickBot="1">
      <c r="B5" s="16"/>
      <c r="C5" s="16"/>
      <c r="D5" s="16"/>
      <c r="E5" s="16"/>
      <c r="F5" s="16"/>
    </row>
    <row r="6" spans="2:14" ht="15.75" thickBot="1">
      <c r="B6" s="92" t="s">
        <v>56</v>
      </c>
      <c r="C6" s="93"/>
      <c r="D6" s="16"/>
      <c r="E6" s="16"/>
      <c r="F6" s="16"/>
    </row>
    <row r="7" spans="2:14">
      <c r="B7" s="17">
        <v>1</v>
      </c>
      <c r="C7" s="20" t="s">
        <v>3</v>
      </c>
      <c r="D7" s="16"/>
      <c r="E7" s="16"/>
      <c r="F7" s="16"/>
    </row>
    <row r="8" spans="2:14">
      <c r="B8" s="19">
        <v>2</v>
      </c>
      <c r="C8" s="20" t="s">
        <v>39</v>
      </c>
      <c r="D8" s="16"/>
      <c r="E8" s="16"/>
      <c r="F8" s="16"/>
    </row>
    <row r="9" spans="2:14">
      <c r="B9" s="19">
        <v>3</v>
      </c>
      <c r="C9" s="20" t="s">
        <v>4</v>
      </c>
      <c r="D9" s="16"/>
      <c r="E9" s="16"/>
      <c r="F9" s="16"/>
    </row>
    <row r="10" spans="2:14">
      <c r="B10" s="19">
        <v>4</v>
      </c>
      <c r="C10" s="20" t="s">
        <v>57</v>
      </c>
      <c r="D10" s="16"/>
      <c r="E10" s="16"/>
      <c r="F10" s="16"/>
    </row>
    <row r="11" spans="2:14" ht="15.75" thickBot="1">
      <c r="B11" s="21">
        <v>5</v>
      </c>
      <c r="C11" s="22" t="s">
        <v>58</v>
      </c>
      <c r="D11" s="16"/>
      <c r="E11" s="16"/>
      <c r="F11" s="16"/>
    </row>
    <row r="12" spans="2:14" ht="15.75" thickBot="1">
      <c r="B12" s="16"/>
      <c r="C12" s="16"/>
      <c r="D12" s="16"/>
      <c r="E12" s="16"/>
      <c r="F12" s="16"/>
    </row>
    <row r="13" spans="2:14" ht="18.399999999999999">
      <c r="B13" s="23" t="s">
        <v>6</v>
      </c>
      <c r="C13" s="24" t="s">
        <v>7</v>
      </c>
      <c r="D13" s="24" t="s">
        <v>59</v>
      </c>
      <c r="E13" s="24" t="s">
        <v>9</v>
      </c>
      <c r="F13" s="25" t="s">
        <v>10</v>
      </c>
      <c r="H13" s="94" t="s">
        <v>43</v>
      </c>
      <c r="I13" s="94"/>
      <c r="J13" s="94"/>
      <c r="K13" s="94"/>
    </row>
    <row r="14" spans="2:14">
      <c r="B14" s="26"/>
      <c r="C14" s="27" t="s">
        <v>11</v>
      </c>
      <c r="D14" s="28">
        <v>525</v>
      </c>
      <c r="E14" s="28">
        <v>525</v>
      </c>
      <c r="F14" s="29">
        <v>527.20000000000005</v>
      </c>
      <c r="H14" s="3" t="s">
        <v>44</v>
      </c>
      <c r="I14" s="4">
        <f>D20*D18*From_Btu_to_MBtu*From_MWh_to_kWh</f>
        <v>222.62779999999998</v>
      </c>
      <c r="J14" s="4">
        <f>E20*E18*From_Btu_to_MBtu*From_MWh_to_kWh</f>
        <v>2224.2660000000001</v>
      </c>
      <c r="K14" s="4">
        <f>F20*F18*From_Btu_to_MBtu*From_MWh_to_kWh</f>
        <v>2288.3849999999998</v>
      </c>
    </row>
    <row r="15" spans="2:14">
      <c r="B15" s="26"/>
      <c r="C15" s="27" t="s">
        <v>12</v>
      </c>
      <c r="D15" s="28">
        <v>432.6</v>
      </c>
      <c r="E15" s="28">
        <v>491.7</v>
      </c>
      <c r="F15" s="29">
        <v>493.4</v>
      </c>
      <c r="H15" s="3" t="s">
        <v>45</v>
      </c>
      <c r="I15" s="32">
        <f>I14*D32</f>
        <v>495906268.08036375</v>
      </c>
      <c r="J15" s="32">
        <f>J14*E32</f>
        <v>6245314093.1940002</v>
      </c>
      <c r="K15" s="32">
        <f>K14*F32</f>
        <v>6760191356.8199997</v>
      </c>
    </row>
    <row r="16" spans="2:14">
      <c r="B16" s="26"/>
      <c r="C16" s="54" t="s">
        <v>2</v>
      </c>
      <c r="D16" s="28">
        <v>0.58779999999999999</v>
      </c>
      <c r="E16" s="28">
        <v>0.65180000000000005</v>
      </c>
      <c r="F16" s="29">
        <v>0.68340000000000001</v>
      </c>
      <c r="H16" s="3" t="s">
        <v>60</v>
      </c>
      <c r="I16" s="98">
        <f>SUM(I15:K15)/SUM(D32:F32)</f>
        <v>1689.9042290049613</v>
      </c>
      <c r="J16" s="98"/>
      <c r="K16" s="98"/>
    </row>
    <row r="17" spans="2:6">
      <c r="B17" s="26"/>
      <c r="C17" s="27" t="s">
        <v>14</v>
      </c>
      <c r="D17" s="28">
        <v>8.6570999999999998</v>
      </c>
      <c r="E17" s="28">
        <v>1.2470000000000001</v>
      </c>
      <c r="F17" s="29">
        <v>1.2726</v>
      </c>
    </row>
    <row r="18" spans="2:6">
      <c r="B18" s="26"/>
      <c r="C18" s="27" t="s">
        <v>15</v>
      </c>
      <c r="D18" s="34">
        <v>10060</v>
      </c>
      <c r="E18" s="34">
        <v>10060</v>
      </c>
      <c r="F18" s="35">
        <v>10350</v>
      </c>
    </row>
    <row r="19" spans="2:6">
      <c r="B19" s="26"/>
      <c r="C19" s="27" t="s">
        <v>16</v>
      </c>
      <c r="D19" s="28">
        <v>0.12659999999999999</v>
      </c>
      <c r="E19" s="28">
        <v>1.1120000000000001</v>
      </c>
      <c r="F19" s="29">
        <v>1.1439999999999999</v>
      </c>
    </row>
    <row r="20" spans="2:6">
      <c r="B20" s="26"/>
      <c r="C20" s="27" t="s">
        <v>47</v>
      </c>
      <c r="D20" s="28">
        <v>22.13</v>
      </c>
      <c r="E20" s="28">
        <v>221.1</v>
      </c>
      <c r="F20" s="29">
        <v>221.1</v>
      </c>
    </row>
    <row r="21" spans="2:6">
      <c r="B21" s="26"/>
      <c r="C21" s="27" t="s">
        <v>48</v>
      </c>
      <c r="D21" s="27">
        <v>846.6</v>
      </c>
      <c r="E21" s="27">
        <v>0</v>
      </c>
      <c r="F21" s="33">
        <v>0</v>
      </c>
    </row>
    <row r="22" spans="2:6">
      <c r="B22" s="26"/>
      <c r="C22" s="27" t="s">
        <v>49</v>
      </c>
      <c r="D22" s="28">
        <v>0.1128</v>
      </c>
      <c r="E22" s="39" t="s">
        <v>50</v>
      </c>
      <c r="F22" s="40" t="s">
        <v>50</v>
      </c>
    </row>
    <row r="23" spans="2:6" ht="15.75" thickBot="1">
      <c r="B23" s="36"/>
      <c r="C23" s="37" t="s">
        <v>61</v>
      </c>
      <c r="D23" s="37">
        <v>1.2</v>
      </c>
      <c r="E23" s="41" t="s">
        <v>50</v>
      </c>
      <c r="F23" s="38" t="s">
        <v>50</v>
      </c>
    </row>
    <row r="24" spans="2:6" ht="15.75" thickBot="1">
      <c r="B24" s="16"/>
      <c r="C24" s="16"/>
      <c r="D24" s="16"/>
      <c r="E24" s="16"/>
      <c r="F24" s="16"/>
    </row>
    <row r="25" spans="2:6" ht="18.399999999999999">
      <c r="B25" s="23" t="s">
        <v>6</v>
      </c>
      <c r="C25" s="24" t="s">
        <v>17</v>
      </c>
      <c r="D25" s="81" t="s">
        <v>18</v>
      </c>
      <c r="E25" s="82"/>
      <c r="F25" s="83"/>
    </row>
    <row r="26" spans="2:6">
      <c r="B26" s="26"/>
      <c r="C26" s="27" t="s">
        <v>19</v>
      </c>
      <c r="D26" s="84">
        <v>2</v>
      </c>
      <c r="E26" s="84"/>
      <c r="F26" s="85"/>
    </row>
    <row r="27" spans="2:6">
      <c r="B27" s="26"/>
      <c r="C27" s="27" t="s">
        <v>51</v>
      </c>
      <c r="D27" s="84">
        <v>3</v>
      </c>
      <c r="E27" s="84"/>
      <c r="F27" s="85"/>
    </row>
    <row r="28" spans="2:6">
      <c r="B28" s="26"/>
      <c r="C28" s="27" t="s">
        <v>20</v>
      </c>
      <c r="D28" s="84">
        <v>0</v>
      </c>
      <c r="E28" s="84"/>
      <c r="F28" s="85"/>
    </row>
    <row r="29" spans="2:6" ht="15.75" thickBot="1">
      <c r="B29" s="36"/>
      <c r="C29" s="37" t="s">
        <v>62</v>
      </c>
      <c r="D29" s="86">
        <v>10</v>
      </c>
      <c r="E29" s="86"/>
      <c r="F29" s="87"/>
    </row>
    <row r="30" spans="2:6" ht="15.75" thickBot="1">
      <c r="B30" s="16"/>
      <c r="C30" s="16"/>
      <c r="D30" s="42"/>
      <c r="E30" s="42"/>
      <c r="F30" s="42"/>
    </row>
    <row r="31" spans="2:6" ht="18.399999999999999">
      <c r="B31" s="23" t="s">
        <v>6</v>
      </c>
      <c r="C31" s="24" t="s">
        <v>22</v>
      </c>
      <c r="D31" s="24" t="s">
        <v>59</v>
      </c>
      <c r="E31" s="24" t="s">
        <v>9</v>
      </c>
      <c r="F31" s="25" t="s">
        <v>10</v>
      </c>
    </row>
    <row r="32" spans="2:6">
      <c r="B32" s="43">
        <v>2</v>
      </c>
      <c r="C32" s="44" t="s">
        <v>39</v>
      </c>
      <c r="D32" s="45">
        <f>D16*D15*8760</f>
        <v>2227512.7727999999</v>
      </c>
      <c r="E32" s="45">
        <v>2807809</v>
      </c>
      <c r="F32" s="46">
        <v>2954132</v>
      </c>
    </row>
    <row r="33" spans="2:6">
      <c r="B33" s="43">
        <v>1</v>
      </c>
      <c r="C33" s="44" t="s">
        <v>3</v>
      </c>
      <c r="D33" s="47">
        <f>D26*D18*From_Btu_to_MBtu*From_MWh_to_kWh</f>
        <v>20.119999999999997</v>
      </c>
      <c r="E33" s="47">
        <f>D26*E18*From_Btu_to_MBtu*From_MWh_to_kWh</f>
        <v>20.119999999999997</v>
      </c>
      <c r="F33" s="31">
        <f>D26*F18*From_Btu_to_MBtu*From_MWh_to_kWh</f>
        <v>20.7</v>
      </c>
    </row>
    <row r="34" spans="2:6">
      <c r="B34" s="48"/>
      <c r="C34" s="27" t="s">
        <v>24</v>
      </c>
      <c r="D34" s="49">
        <f>D19*D32</f>
        <v>282003.11703647999</v>
      </c>
      <c r="E34" s="49">
        <f>E19*E32</f>
        <v>3122283.6080000005</v>
      </c>
      <c r="F34" s="50">
        <f>F19*F32</f>
        <v>3379527.0079999999</v>
      </c>
    </row>
    <row r="35" spans="2:6">
      <c r="B35" s="48"/>
      <c r="C35" s="27" t="s">
        <v>25</v>
      </c>
      <c r="D35" s="27">
        <v>47.07</v>
      </c>
      <c r="E35" s="27">
        <v>31.21</v>
      </c>
      <c r="F35" s="33">
        <v>31.29</v>
      </c>
    </row>
    <row r="36" spans="2:6">
      <c r="B36" s="48"/>
      <c r="C36" s="27" t="s">
        <v>26</v>
      </c>
      <c r="D36" s="28">
        <f>D17*D32*From_Dollar_to_MillionDollar</f>
        <v>19.283800825406878</v>
      </c>
      <c r="E36" s="28">
        <f>E17*E32*From_Dollar_to_MillionDollar</f>
        <v>3.5013378230000001</v>
      </c>
      <c r="F36" s="29">
        <f>F17*F32*From_Dollar_to_MillionDollar</f>
        <v>3.7594283831999999</v>
      </c>
    </row>
    <row r="37" spans="2:6">
      <c r="B37" s="48"/>
      <c r="C37" s="27" t="s">
        <v>27</v>
      </c>
      <c r="D37" s="28">
        <f>D33*D32*From_Dollar_to_MillionDollar</f>
        <v>44.817556988735994</v>
      </c>
      <c r="E37" s="28">
        <f>E33*E32*From_Dollar_to_MillionDollar</f>
        <v>56.49311707999999</v>
      </c>
      <c r="F37" s="29">
        <f>F33*F32*From_Dollar_to_MillionDollar</f>
        <v>61.150532399999996</v>
      </c>
    </row>
    <row r="38" spans="2:6">
      <c r="B38" s="48"/>
      <c r="C38" s="27" t="s">
        <v>38</v>
      </c>
      <c r="D38" s="28">
        <f>80.9994</f>
        <v>80.999399999999994</v>
      </c>
      <c r="E38" s="28">
        <v>0</v>
      </c>
      <c r="F38" s="29">
        <v>0</v>
      </c>
    </row>
    <row r="39" spans="2:6">
      <c r="B39" s="48"/>
      <c r="C39" s="27" t="s">
        <v>28</v>
      </c>
      <c r="D39" s="27">
        <v>0</v>
      </c>
      <c r="E39" s="27">
        <v>0</v>
      </c>
      <c r="F39" s="33">
        <v>0</v>
      </c>
    </row>
    <row r="40" spans="2:6">
      <c r="B40" s="48"/>
      <c r="C40" s="27" t="s">
        <v>29</v>
      </c>
      <c r="D40" s="28">
        <f>D29*D34*From_Dollar_to_MillionDollar</f>
        <v>2.8200311703647998</v>
      </c>
      <c r="E40" s="28">
        <f>D29*E34*From_Dollar_to_MillionDollar</f>
        <v>31.222836080000004</v>
      </c>
      <c r="F40" s="29">
        <f>D29*F34*From_Dollar_to_MillionDollar</f>
        <v>33.795270079999995</v>
      </c>
    </row>
    <row r="41" spans="2:6">
      <c r="B41" s="48"/>
      <c r="C41" s="27" t="s">
        <v>30</v>
      </c>
      <c r="D41" s="28">
        <f>SUM(D35:D39)</f>
        <v>192.17075781414286</v>
      </c>
      <c r="E41" s="28">
        <f t="shared" ref="E41:F41" si="0">SUM(E35:E39)</f>
        <v>91.204454902999998</v>
      </c>
      <c r="F41" s="29">
        <f t="shared" si="0"/>
        <v>96.199960783199998</v>
      </c>
    </row>
    <row r="42" spans="2:6">
      <c r="B42" s="48"/>
      <c r="C42" s="27" t="s">
        <v>63</v>
      </c>
      <c r="D42" s="28">
        <f>D35+D36+D37+D38+D40</f>
        <v>194.99078898450767</v>
      </c>
      <c r="E42" s="28">
        <f t="shared" ref="E42:F42" si="1">E35+E36+E37+E38+E40</f>
        <v>122.42729098300001</v>
      </c>
      <c r="F42" s="29">
        <f t="shared" si="1"/>
        <v>129.99523086319999</v>
      </c>
    </row>
    <row r="43" spans="2:6" ht="15.75" thickBot="1">
      <c r="B43" s="51">
        <v>4</v>
      </c>
      <c r="C43" s="52" t="s">
        <v>57</v>
      </c>
      <c r="D43" s="88">
        <f>SUM(D34:F34)/SUM(D32:F32)</f>
        <v>0.84909606162712814</v>
      </c>
      <c r="E43" s="88"/>
      <c r="F43" s="89"/>
    </row>
    <row r="44" spans="2:6" ht="15.75" thickBot="1">
      <c r="B44" s="16"/>
      <c r="C44" s="16"/>
      <c r="D44" s="53"/>
      <c r="E44" s="53"/>
      <c r="F44" s="53"/>
    </row>
    <row r="45" spans="2:6" ht="18.399999999999999">
      <c r="B45" s="23" t="s">
        <v>6</v>
      </c>
      <c r="C45" s="24" t="s">
        <v>34</v>
      </c>
      <c r="D45" s="24" t="s">
        <v>59</v>
      </c>
      <c r="E45" s="24" t="s">
        <v>9</v>
      </c>
      <c r="F45" s="25" t="s">
        <v>10</v>
      </c>
    </row>
    <row r="46" spans="2:6">
      <c r="B46" s="43">
        <v>3</v>
      </c>
      <c r="C46" s="44" t="s">
        <v>4</v>
      </c>
      <c r="D46" s="47">
        <f>(D41*From_MillionDollar_to_Dollar)/D32</f>
        <v>86.271450453944112</v>
      </c>
      <c r="E46" s="47">
        <f>(E41*From_MillionDollar_to_Dollar)/E32</f>
        <v>32.482428435481189</v>
      </c>
      <c r="F46" s="31">
        <f>(F41*From_MillionDollar_to_Dollar)/F32</f>
        <v>32.564543758775841</v>
      </c>
    </row>
    <row r="47" spans="2:6">
      <c r="B47" s="43">
        <v>5</v>
      </c>
      <c r="C47" s="44" t="s">
        <v>58</v>
      </c>
      <c r="D47" s="90">
        <f>SUM(D41:F41)*From_MillionDollar_to_Dollar/SUM(D32:F32)</f>
        <v>47.50952747140262</v>
      </c>
      <c r="E47" s="97"/>
      <c r="F47" s="91"/>
    </row>
    <row r="48" spans="2:6">
      <c r="B48" s="19" t="s">
        <v>53</v>
      </c>
      <c r="C48" s="27" t="s">
        <v>5</v>
      </c>
      <c r="D48" s="28">
        <f>(D42*From_MillionDollar_to_Dollar)/D32</f>
        <v>87.537450453944118</v>
      </c>
      <c r="E48" s="28">
        <f>(E42*From_MillionDollar_to_Dollar)/E32</f>
        <v>43.602428435481194</v>
      </c>
      <c r="F48" s="29">
        <f>(F42*From_MillionDollar_to_Dollar)/F32</f>
        <v>44.004543758775839</v>
      </c>
    </row>
    <row r="49" spans="2:6" ht="15.75" thickBot="1">
      <c r="B49" s="21" t="s">
        <v>53</v>
      </c>
      <c r="C49" s="37" t="s">
        <v>64</v>
      </c>
      <c r="D49" s="65">
        <f>SUM(D42:F42)*From_MillionDollar_to_Dollar/SUM(D32:F32)</f>
        <v>56.000488087673894</v>
      </c>
      <c r="E49" s="65"/>
      <c r="F49" s="87"/>
    </row>
    <row r="51" spans="2:6">
      <c r="C51" s="55"/>
    </row>
  </sheetData>
  <mergeCells count="12">
    <mergeCell ref="D49:F49"/>
    <mergeCell ref="B2:F4"/>
    <mergeCell ref="B6:C6"/>
    <mergeCell ref="H13:K13"/>
    <mergeCell ref="I16:K16"/>
    <mergeCell ref="D25:F25"/>
    <mergeCell ref="D26:F26"/>
    <mergeCell ref="D27:F27"/>
    <mergeCell ref="D28:F28"/>
    <mergeCell ref="D29:F29"/>
    <mergeCell ref="D43:F43"/>
    <mergeCell ref="D47:F47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A9332-627A-4975-B88C-4F154A66A23B}">
  <dimension ref="B1:Q53"/>
  <sheetViews>
    <sheetView topLeftCell="A15" zoomScale="85" zoomScaleNormal="85" workbookViewId="0">
      <selection activeCell="D43" sqref="D43"/>
    </sheetView>
  </sheetViews>
  <sheetFormatPr defaultRowHeight="15"/>
  <cols>
    <col min="2" max="2" width="45.85546875" customWidth="1"/>
    <col min="3" max="4" width="12.42578125" bestFit="1" customWidth="1"/>
    <col min="6" max="6" width="45.85546875" customWidth="1"/>
    <col min="7" max="7" width="12.5703125" bestFit="1" customWidth="1"/>
    <col min="8" max="9" width="13.28515625" bestFit="1" customWidth="1"/>
    <col min="11" max="11" width="5.7109375" customWidth="1"/>
    <col min="12" max="15" width="26.7109375" customWidth="1"/>
  </cols>
  <sheetData>
    <row r="1" spans="2:17" ht="14.45" customHeight="1"/>
    <row r="2" spans="2:17" ht="14.45" customHeight="1">
      <c r="B2" s="74" t="s">
        <v>65</v>
      </c>
      <c r="C2" s="74"/>
      <c r="D2" s="74"/>
      <c r="E2" s="74"/>
      <c r="F2" s="74"/>
      <c r="G2" s="74"/>
      <c r="H2" s="74"/>
      <c r="I2" s="75"/>
      <c r="J2" s="1"/>
      <c r="K2" s="1"/>
      <c r="L2" s="1"/>
      <c r="M2" s="1"/>
      <c r="N2" s="1"/>
      <c r="O2" s="1"/>
      <c r="P2" s="1"/>
      <c r="Q2" s="1"/>
    </row>
    <row r="3" spans="2:17" ht="14.45" customHeight="1">
      <c r="B3" s="74"/>
      <c r="C3" s="74"/>
      <c r="D3" s="74"/>
      <c r="E3" s="74"/>
      <c r="F3" s="74"/>
      <c r="G3" s="74"/>
      <c r="H3" s="74"/>
      <c r="I3" s="75"/>
      <c r="J3" s="1"/>
      <c r="K3" s="1"/>
      <c r="L3" s="1"/>
      <c r="M3" s="1"/>
      <c r="N3" s="1"/>
      <c r="O3" s="1"/>
      <c r="P3" s="1"/>
      <c r="Q3" s="1"/>
    </row>
    <row r="4" spans="2:17" ht="14.45" customHeight="1">
      <c r="B4" s="74"/>
      <c r="C4" s="74"/>
      <c r="D4" s="74"/>
      <c r="E4" s="74"/>
      <c r="F4" s="74"/>
      <c r="G4" s="74"/>
      <c r="H4" s="74"/>
      <c r="I4" s="75"/>
      <c r="J4" s="1"/>
      <c r="K4" s="1"/>
      <c r="L4" s="1"/>
      <c r="M4" s="1"/>
      <c r="N4" s="1"/>
      <c r="O4" s="1"/>
      <c r="P4" s="1"/>
      <c r="Q4" s="1"/>
    </row>
    <row r="6" spans="2:17" ht="18.399999999999999">
      <c r="B6" s="2" t="s">
        <v>17</v>
      </c>
      <c r="C6" s="2" t="s">
        <v>66</v>
      </c>
    </row>
    <row r="7" spans="2:17">
      <c r="B7" s="3" t="s">
        <v>67</v>
      </c>
      <c r="C7" s="4">
        <f>E7/100</f>
        <v>2</v>
      </c>
      <c r="E7">
        <v>200</v>
      </c>
    </row>
    <row r="8" spans="2:17">
      <c r="B8" s="3" t="s">
        <v>68</v>
      </c>
      <c r="C8" s="4">
        <f>E8/100</f>
        <v>5.5</v>
      </c>
      <c r="E8">
        <v>550</v>
      </c>
    </row>
    <row r="9" spans="2:17">
      <c r="B9" s="3" t="s">
        <v>69</v>
      </c>
      <c r="C9" s="4">
        <f>E9/100</f>
        <v>0</v>
      </c>
      <c r="E9">
        <v>0</v>
      </c>
    </row>
    <row r="11" spans="2:17" ht="18.399999999999999">
      <c r="B11" s="2" t="s">
        <v>7</v>
      </c>
      <c r="C11" s="2" t="s">
        <v>42</v>
      </c>
      <c r="D11" s="2" t="s">
        <v>10</v>
      </c>
      <c r="F11" s="2" t="s">
        <v>7</v>
      </c>
      <c r="G11" s="2" t="s">
        <v>59</v>
      </c>
      <c r="H11" s="2" t="s">
        <v>9</v>
      </c>
      <c r="I11" s="2" t="s">
        <v>10</v>
      </c>
      <c r="K11" s="8" t="s">
        <v>70</v>
      </c>
      <c r="L11" s="9" t="s">
        <v>71</v>
      </c>
      <c r="M11" s="9" t="s">
        <v>72</v>
      </c>
      <c r="N11" s="9" t="s">
        <v>73</v>
      </c>
    </row>
    <row r="12" spans="2:17">
      <c r="B12" s="3" t="s">
        <v>12</v>
      </c>
      <c r="C12" s="4">
        <v>1180</v>
      </c>
      <c r="D12" s="4">
        <v>493.4</v>
      </c>
      <c r="F12" s="3" t="s">
        <v>11</v>
      </c>
      <c r="G12" s="4">
        <v>525</v>
      </c>
      <c r="H12" s="4">
        <v>525</v>
      </c>
      <c r="I12" s="4">
        <v>527.20000000000005</v>
      </c>
      <c r="L12" s="4">
        <v>1.32</v>
      </c>
      <c r="M12" s="4">
        <v>35.549999999999997</v>
      </c>
      <c r="N12" s="4">
        <v>40.6</v>
      </c>
    </row>
    <row r="13" spans="2:17">
      <c r="B13" s="3" t="s">
        <v>2</v>
      </c>
      <c r="C13" s="4">
        <v>0.51659999999999995</v>
      </c>
      <c r="D13" s="4">
        <f>D22/(D12*Hours_in_a_year)</f>
        <v>0.68348131407640211</v>
      </c>
      <c r="F13" s="3" t="s">
        <v>12</v>
      </c>
      <c r="G13" s="4">
        <v>432.6</v>
      </c>
      <c r="H13" s="4">
        <v>491.7</v>
      </c>
      <c r="I13" s="4">
        <v>493.4</v>
      </c>
      <c r="L13" s="4">
        <v>1.42</v>
      </c>
      <c r="M13" s="4">
        <v>35.92</v>
      </c>
      <c r="N13" s="4">
        <v>41.61</v>
      </c>
    </row>
    <row r="14" spans="2:17">
      <c r="B14" s="3" t="s">
        <v>14</v>
      </c>
      <c r="C14" s="3">
        <v>0</v>
      </c>
      <c r="D14" s="3">
        <v>1.2726</v>
      </c>
      <c r="F14" s="10" t="s">
        <v>2</v>
      </c>
      <c r="G14" s="4">
        <v>0.58779999999999999</v>
      </c>
      <c r="H14" s="4">
        <v>0.65180000000000005</v>
      </c>
      <c r="I14" s="4">
        <v>0.68340000000000001</v>
      </c>
      <c r="L14" s="4">
        <v>1.52</v>
      </c>
      <c r="M14" s="4">
        <v>36.29</v>
      </c>
      <c r="N14" s="4">
        <v>42.63</v>
      </c>
    </row>
    <row r="15" spans="2:17">
      <c r="B15" s="3" t="s">
        <v>15</v>
      </c>
      <c r="C15" s="11">
        <v>6777</v>
      </c>
      <c r="D15" s="11">
        <v>10350</v>
      </c>
      <c r="F15" s="3" t="s">
        <v>14</v>
      </c>
      <c r="G15" s="3">
        <v>8.6570999999999998</v>
      </c>
      <c r="H15" s="3">
        <v>1.2470000000000001</v>
      </c>
      <c r="I15" s="3">
        <v>1.2726</v>
      </c>
      <c r="L15" s="4">
        <v>1.62</v>
      </c>
      <c r="M15" s="4">
        <v>36.65</v>
      </c>
      <c r="N15" s="4">
        <v>43.65</v>
      </c>
    </row>
    <row r="16" spans="2:17">
      <c r="B16" s="3" t="s">
        <v>16</v>
      </c>
      <c r="C16" s="3">
        <v>0.3987</v>
      </c>
      <c r="D16" s="3">
        <v>1.1439999999999999</v>
      </c>
      <c r="F16" s="3" t="s">
        <v>15</v>
      </c>
      <c r="G16" s="11">
        <v>10060</v>
      </c>
      <c r="H16" s="11">
        <v>10060</v>
      </c>
      <c r="I16" s="11">
        <v>10350</v>
      </c>
      <c r="L16" s="4">
        <v>1.72</v>
      </c>
      <c r="M16" s="4">
        <v>37.020000000000003</v>
      </c>
      <c r="N16" s="4">
        <v>44.66</v>
      </c>
    </row>
    <row r="17" spans="2:14">
      <c r="B17" s="3" t="s">
        <v>47</v>
      </c>
      <c r="C17" s="3">
        <v>117.6</v>
      </c>
      <c r="D17" s="3">
        <v>221.1</v>
      </c>
      <c r="F17" s="3" t="s">
        <v>16</v>
      </c>
      <c r="G17" s="3">
        <v>0.12659999999999999</v>
      </c>
      <c r="H17" s="3">
        <v>1.1120000000000001</v>
      </c>
      <c r="I17" s="3">
        <v>1.1439999999999999</v>
      </c>
      <c r="L17" s="4">
        <v>1.82</v>
      </c>
      <c r="M17" s="4">
        <v>37.39</v>
      </c>
      <c r="N17" s="3">
        <v>45.68</v>
      </c>
    </row>
    <row r="18" spans="2:14">
      <c r="B18" s="3" t="s">
        <v>48</v>
      </c>
      <c r="C18" s="3">
        <v>846.6</v>
      </c>
      <c r="D18" s="3">
        <v>0</v>
      </c>
      <c r="F18" s="3" t="s">
        <v>47</v>
      </c>
      <c r="G18" s="3">
        <v>22.13</v>
      </c>
      <c r="H18" s="3">
        <v>221.1</v>
      </c>
      <c r="I18" s="3">
        <v>221.1</v>
      </c>
      <c r="L18" s="4">
        <v>1.92</v>
      </c>
      <c r="M18" s="4">
        <v>37.76</v>
      </c>
      <c r="N18" s="4">
        <v>46.7</v>
      </c>
    </row>
    <row r="19" spans="2:14">
      <c r="B19" s="3" t="s">
        <v>49</v>
      </c>
      <c r="C19" s="3">
        <v>0.1128</v>
      </c>
      <c r="D19" s="12" t="s">
        <v>50</v>
      </c>
      <c r="F19" s="3" t="s">
        <v>49</v>
      </c>
      <c r="G19" s="3">
        <v>0.1128</v>
      </c>
      <c r="H19" s="12" t="s">
        <v>50</v>
      </c>
      <c r="I19" s="12" t="s">
        <v>50</v>
      </c>
      <c r="L19" s="4">
        <v>2.02</v>
      </c>
      <c r="M19" s="4">
        <v>38.130000000000003</v>
      </c>
      <c r="N19" s="4">
        <v>47.71</v>
      </c>
    </row>
    <row r="20" spans="2:14">
      <c r="F20" s="3" t="s">
        <v>61</v>
      </c>
      <c r="G20" s="3">
        <v>1.2</v>
      </c>
      <c r="H20" s="12" t="s">
        <v>50</v>
      </c>
      <c r="I20" s="12" t="s">
        <v>50</v>
      </c>
      <c r="L20" s="4">
        <v>2.12</v>
      </c>
      <c r="M20" s="4">
        <v>38.5</v>
      </c>
      <c r="N20" s="4">
        <v>48.73</v>
      </c>
    </row>
    <row r="21" spans="2:14" ht="18.399999999999999">
      <c r="B21" s="2" t="s">
        <v>22</v>
      </c>
      <c r="C21" s="2" t="s">
        <v>42</v>
      </c>
      <c r="D21" s="2" t="s">
        <v>10</v>
      </c>
      <c r="L21" s="4">
        <v>2.2200000000000002</v>
      </c>
      <c r="M21" s="4">
        <v>38.869999999999997</v>
      </c>
      <c r="N21" s="4">
        <v>49.75</v>
      </c>
    </row>
    <row r="22" spans="2:14" ht="18.399999999999999">
      <c r="B22" s="3" t="s">
        <v>39</v>
      </c>
      <c r="C22" s="11">
        <f>C13*C12*Hours_in_a_year</f>
        <v>5339990.88</v>
      </c>
      <c r="D22" s="11">
        <v>2954132</v>
      </c>
      <c r="F22" s="2" t="s">
        <v>22</v>
      </c>
      <c r="G22" s="2" t="s">
        <v>59</v>
      </c>
      <c r="H22" s="2" t="s">
        <v>9</v>
      </c>
      <c r="I22" s="2" t="s">
        <v>10</v>
      </c>
      <c r="L22" s="4">
        <v>2.3199999999999998</v>
      </c>
      <c r="M22" s="4">
        <v>39.229999999999997</v>
      </c>
      <c r="N22" s="4">
        <v>50.76</v>
      </c>
    </row>
    <row r="23" spans="2:14">
      <c r="B23" s="3" t="s">
        <v>3</v>
      </c>
      <c r="C23" s="4">
        <f>$C$8*C15*From_Btu_to_MBtu*From_MWh_to_kWh</f>
        <v>37.273499999999999</v>
      </c>
      <c r="D23" s="4">
        <f>C7*D15*From_Btu_to_MBtu*From_MWh_to_kWh</f>
        <v>20.7</v>
      </c>
      <c r="F23" s="3" t="s">
        <v>39</v>
      </c>
      <c r="G23" s="11">
        <f>G14*G13*8760</f>
        <v>2227512.7727999999</v>
      </c>
      <c r="H23" s="11">
        <v>2807809</v>
      </c>
      <c r="I23" s="11">
        <v>2954132</v>
      </c>
      <c r="L23" s="4">
        <v>2.42</v>
      </c>
      <c r="M23" s="4">
        <v>39.6</v>
      </c>
      <c r="N23" s="4">
        <v>51.78</v>
      </c>
    </row>
    <row r="24" spans="2:14">
      <c r="B24" s="3" t="s">
        <v>24</v>
      </c>
      <c r="C24" s="13">
        <f>C16*C22</f>
        <v>2129054.3638559999</v>
      </c>
      <c r="D24" s="13">
        <f>D16*D22</f>
        <v>3379527.0079999999</v>
      </c>
      <c r="F24" s="3" t="s">
        <v>3</v>
      </c>
      <c r="G24" s="4">
        <f>C7*G16*From_Btu_to_MBtu*From_MWh_to_kWh</f>
        <v>20.119999999999997</v>
      </c>
      <c r="H24" s="4">
        <f>C7*H16*From_Btu_to_MBtu*From_MWh_to_kWh</f>
        <v>20.119999999999997</v>
      </c>
      <c r="I24" s="4">
        <f>C7*I16*From_Btu_to_MBtu*From_MWh_to_kWh</f>
        <v>20.7</v>
      </c>
      <c r="L24" s="4">
        <v>2.5</v>
      </c>
      <c r="M24" s="4">
        <v>39.9</v>
      </c>
      <c r="N24" s="4">
        <v>52.59</v>
      </c>
    </row>
    <row r="25" spans="2:14">
      <c r="B25" s="3" t="s">
        <v>25</v>
      </c>
      <c r="C25" s="3">
        <v>15.37</v>
      </c>
      <c r="D25" s="3">
        <v>31.29</v>
      </c>
      <c r="F25" s="3" t="s">
        <v>24</v>
      </c>
      <c r="G25" s="13">
        <f>G17*G23</f>
        <v>282003.11703647999</v>
      </c>
      <c r="H25" s="13">
        <f>H17*H23</f>
        <v>3122283.6080000005</v>
      </c>
      <c r="I25" s="13">
        <f>I17*I23</f>
        <v>3379527.0079999999</v>
      </c>
      <c r="L25" t="s">
        <v>74</v>
      </c>
    </row>
    <row r="26" spans="2:14">
      <c r="B26" s="3" t="s">
        <v>26</v>
      </c>
      <c r="C26" s="4">
        <f>C14*C22*From_Dollar_to_MillionDollar</f>
        <v>0</v>
      </c>
      <c r="D26" s="4">
        <f>D14*D22*From_Dollar_to_MillionDollar</f>
        <v>3.7594283831999999</v>
      </c>
      <c r="F26" s="3" t="s">
        <v>25</v>
      </c>
      <c r="G26" s="3">
        <v>47.07</v>
      </c>
      <c r="H26" s="3">
        <v>31.21</v>
      </c>
      <c r="I26" s="3">
        <v>31.29</v>
      </c>
    </row>
    <row r="27" spans="2:14">
      <c r="B27" s="3" t="s">
        <v>27</v>
      </c>
      <c r="C27" s="4">
        <f>C23*C22*From_Dollar_to_MillionDollar</f>
        <v>199.04015006568</v>
      </c>
      <c r="D27" s="4">
        <f>D23*D22*From_Dollar_to_MillionDollar</f>
        <v>61.150532399999996</v>
      </c>
      <c r="F27" s="3" t="s">
        <v>26</v>
      </c>
      <c r="G27" s="4">
        <f>G15*G23*From_Dollar_to_MillionDollar</f>
        <v>19.283800825406878</v>
      </c>
      <c r="H27" s="4">
        <f>H15*H23*From_Dollar_to_MillionDollar</f>
        <v>3.5013378230000001</v>
      </c>
      <c r="I27" s="4">
        <f>I15*I23*From_Dollar_to_MillionDollar</f>
        <v>3.7594283831999999</v>
      </c>
      <c r="K27" s="8" t="s">
        <v>70</v>
      </c>
      <c r="L27" s="9" t="s">
        <v>75</v>
      </c>
      <c r="M27" s="9" t="s">
        <v>72</v>
      </c>
      <c r="N27" s="9" t="s">
        <v>73</v>
      </c>
    </row>
    <row r="28" spans="2:14">
      <c r="B28" s="3" t="s">
        <v>38</v>
      </c>
      <c r="C28" s="4">
        <f>C18*C19</f>
        <v>95.496480000000005</v>
      </c>
      <c r="D28" s="4">
        <v>0</v>
      </c>
      <c r="F28" s="3" t="s">
        <v>27</v>
      </c>
      <c r="G28" s="4">
        <f>G24*G23*From_Dollar_to_MillionDollar</f>
        <v>44.817556988735994</v>
      </c>
      <c r="H28" s="4">
        <f>H24*H23*From_Dollar_to_MillionDollar</f>
        <v>56.49311707999999</v>
      </c>
      <c r="I28" s="4">
        <f>I24*I23*From_Dollar_to_MillionDollar</f>
        <v>61.150532399999996</v>
      </c>
      <c r="L28" s="4">
        <v>4.5</v>
      </c>
      <c r="M28" s="4">
        <v>44.6</v>
      </c>
      <c r="N28" s="4">
        <v>47.51</v>
      </c>
    </row>
    <row r="29" spans="2:14">
      <c r="B29" s="3" t="s">
        <v>29</v>
      </c>
      <c r="C29" s="4">
        <f>C9*C24*From_Dollar_to_MillionDollar</f>
        <v>0</v>
      </c>
      <c r="D29" s="4">
        <f>C9*D24*From_Dollar_to_MillionDollar</f>
        <v>0</v>
      </c>
      <c r="F29" s="3" t="s">
        <v>38</v>
      </c>
      <c r="G29" s="4">
        <f>80.9994</f>
        <v>80.999399999999994</v>
      </c>
      <c r="H29" s="4">
        <v>0</v>
      </c>
      <c r="I29" s="4">
        <v>0</v>
      </c>
      <c r="L29" s="4">
        <v>4.5999999999999996</v>
      </c>
      <c r="M29" s="4">
        <v>45.04</v>
      </c>
      <c r="N29" s="4">
        <v>47.51</v>
      </c>
    </row>
    <row r="30" spans="2:14">
      <c r="B30" s="3" t="s">
        <v>30</v>
      </c>
      <c r="C30" s="4">
        <f>C25+C26+C27+C28+C29</f>
        <v>309.90663006568002</v>
      </c>
      <c r="D30" s="4">
        <f>D25+D26+D27+D28+D29</f>
        <v>96.199960783199998</v>
      </c>
      <c r="F30" s="3" t="s">
        <v>29</v>
      </c>
      <c r="G30" s="4">
        <f>C9*G25*From_Dollar_to_MillionDollar</f>
        <v>0</v>
      </c>
      <c r="H30" s="4">
        <f>C9*H25*From_Dollar_to_MillionDollar</f>
        <v>0</v>
      </c>
      <c r="I30" s="4">
        <f>C9*I25*From_Dollar_to_MillionDollar</f>
        <v>0</v>
      </c>
      <c r="L30" s="4">
        <v>4.7</v>
      </c>
      <c r="M30" s="4">
        <v>45.47</v>
      </c>
      <c r="N30" s="4">
        <v>47.51</v>
      </c>
    </row>
    <row r="31" spans="2:14">
      <c r="B31" s="3" t="s">
        <v>40</v>
      </c>
      <c r="C31" s="102">
        <f>(C24+D24)/(C22+D22)</f>
        <v>0.6641547818322171</v>
      </c>
      <c r="D31" s="103"/>
      <c r="F31" s="3" t="s">
        <v>30</v>
      </c>
      <c r="G31" s="4">
        <f>G26+G27+G28+G29+G30</f>
        <v>192.17075781414286</v>
      </c>
      <c r="H31" s="4">
        <f>H26+H27+H28+H29+H30</f>
        <v>91.204454902999998</v>
      </c>
      <c r="I31" s="4">
        <f>I26+I27+I28+I29+I30</f>
        <v>96.199960783199998</v>
      </c>
      <c r="L31" s="4">
        <v>4.8</v>
      </c>
      <c r="M31" s="4">
        <v>45.91</v>
      </c>
      <c r="N31" s="4">
        <v>47.51</v>
      </c>
    </row>
    <row r="32" spans="2:14">
      <c r="C32" s="7"/>
      <c r="D32" s="7"/>
      <c r="F32" s="3" t="s">
        <v>57</v>
      </c>
      <c r="G32" s="102">
        <f>SUM(G25:I25)/SUM(G23:I23)</f>
        <v>0.84909606162712814</v>
      </c>
      <c r="H32" s="104"/>
      <c r="I32" s="103"/>
      <c r="L32" s="4">
        <v>4.9000000000000004</v>
      </c>
      <c r="M32" s="4">
        <v>46.35</v>
      </c>
      <c r="N32" s="4">
        <v>47.51</v>
      </c>
    </row>
    <row r="33" spans="2:14" ht="18.399999999999999">
      <c r="B33" s="2" t="s">
        <v>34</v>
      </c>
      <c r="C33" s="2" t="s">
        <v>42</v>
      </c>
      <c r="D33" s="2" t="s">
        <v>10</v>
      </c>
      <c r="G33" s="7"/>
      <c r="H33" s="7"/>
      <c r="I33" s="7"/>
      <c r="L33" s="4">
        <v>5</v>
      </c>
      <c r="M33" s="4">
        <v>46.78</v>
      </c>
      <c r="N33" s="4">
        <v>47.51</v>
      </c>
    </row>
    <row r="34" spans="2:14" ht="18.399999999999999">
      <c r="B34" s="3" t="s">
        <v>4</v>
      </c>
      <c r="C34" s="4">
        <f>(C30*From_MillionDollar_to_Dollar)/C22</f>
        <v>58.035048566539878</v>
      </c>
      <c r="D34" s="4">
        <f>(D30*From_MillionDollar_to_Dollar)/D22</f>
        <v>32.564543758775841</v>
      </c>
      <c r="F34" s="2" t="s">
        <v>34</v>
      </c>
      <c r="G34" s="2" t="s">
        <v>59</v>
      </c>
      <c r="H34" s="2" t="s">
        <v>9</v>
      </c>
      <c r="I34" s="2" t="s">
        <v>10</v>
      </c>
      <c r="L34" s="4">
        <v>5.0999999999999996</v>
      </c>
      <c r="M34" s="4">
        <v>47.22</v>
      </c>
      <c r="N34" s="4">
        <v>47.51</v>
      </c>
    </row>
    <row r="35" spans="2:14">
      <c r="B35" s="14" t="s">
        <v>76</v>
      </c>
      <c r="C35" s="100">
        <f>((C30+D30)*From_MillionDollar_to_Dollar)/(C22+D22)</f>
        <v>48.963175096928403</v>
      </c>
      <c r="D35" s="100"/>
      <c r="F35" s="3" t="s">
        <v>4</v>
      </c>
      <c r="G35" s="4">
        <f>(G31*From_MillionDollar_to_Dollar)/G23</f>
        <v>86.271450453944112</v>
      </c>
      <c r="H35" s="4">
        <f>(H31*From_MillionDollar_to_Dollar)/H23</f>
        <v>32.482428435481189</v>
      </c>
      <c r="I35" s="4">
        <f>(I31*From_MillionDollar_to_Dollar)/I23</f>
        <v>32.564543758775841</v>
      </c>
      <c r="L35" s="4">
        <v>5.2</v>
      </c>
      <c r="M35" s="4">
        <v>47.65</v>
      </c>
      <c r="N35" s="4">
        <v>47.51</v>
      </c>
    </row>
    <row r="36" spans="2:14">
      <c r="B36" s="14" t="s">
        <v>77</v>
      </c>
      <c r="C36" s="100">
        <f>(C35-[1]TABLE_A!D42)*From_Ton_to_Tonne/([1]TABLE_A!D38-LCOE_Comparison!C31)</f>
        <v>31.768059494488622</v>
      </c>
      <c r="D36" s="100"/>
      <c r="F36" s="14" t="s">
        <v>78</v>
      </c>
      <c r="G36" s="100">
        <f>SUM(G31:I31)*From_MillionDollar_to_Dollar/SUM(G23:I23)</f>
        <v>47.50952747140262</v>
      </c>
      <c r="H36" s="100"/>
      <c r="I36" s="100"/>
      <c r="L36" s="4">
        <v>5.3</v>
      </c>
      <c r="M36" s="4">
        <v>48.09</v>
      </c>
      <c r="N36" s="4">
        <v>47.51</v>
      </c>
    </row>
    <row r="37" spans="2:14">
      <c r="B37" s="15" t="s">
        <v>79</v>
      </c>
      <c r="C37" s="95">
        <f>[1]TABLE_B!H18</f>
        <v>1328.1832391086241</v>
      </c>
      <c r="D37" s="99"/>
      <c r="F37" s="14" t="s">
        <v>80</v>
      </c>
      <c r="G37" s="100">
        <f>(G36-[1]TABLE_A!D42)*From_Ton_to_Tonne/([1]TABLE_A!D38-LCOE_Comparison!G32)</f>
        <v>48.379327694296819</v>
      </c>
      <c r="H37" s="100"/>
      <c r="I37" s="100"/>
      <c r="L37" s="4">
        <v>5.4</v>
      </c>
      <c r="M37" s="4">
        <v>48.53</v>
      </c>
      <c r="N37" s="4">
        <v>47.51</v>
      </c>
    </row>
    <row r="38" spans="2:14">
      <c r="F38" s="15" t="s">
        <v>81</v>
      </c>
      <c r="G38" s="95">
        <f>[1]TABLE_C!I16</f>
        <v>1689.9042290049613</v>
      </c>
      <c r="H38" s="101"/>
      <c r="I38" s="99"/>
      <c r="L38" s="4">
        <v>5.5</v>
      </c>
      <c r="M38" s="4">
        <v>48.96</v>
      </c>
      <c r="N38" s="4">
        <v>47.51</v>
      </c>
    </row>
    <row r="39" spans="2:14">
      <c r="L39" t="s">
        <v>82</v>
      </c>
    </row>
    <row r="41" spans="2:14">
      <c r="K41" s="8" t="s">
        <v>83</v>
      </c>
      <c r="L41" s="9" t="s">
        <v>84</v>
      </c>
      <c r="M41" s="9" t="s">
        <v>72</v>
      </c>
      <c r="N41" s="9" t="s">
        <v>73</v>
      </c>
    </row>
    <row r="42" spans="2:14">
      <c r="L42" s="4">
        <v>0</v>
      </c>
      <c r="M42" s="4">
        <v>48.96</v>
      </c>
      <c r="N42" s="3">
        <v>47.51</v>
      </c>
    </row>
    <row r="43" spans="2:14">
      <c r="L43" s="4">
        <v>10</v>
      </c>
      <c r="M43" s="4">
        <v>55.6</v>
      </c>
      <c r="N43" s="3">
        <v>56</v>
      </c>
    </row>
    <row r="44" spans="2:14">
      <c r="L44" s="4">
        <v>20</v>
      </c>
      <c r="M44" s="4">
        <v>62.25</v>
      </c>
      <c r="N44" s="3">
        <v>64.489999999999995</v>
      </c>
    </row>
    <row r="45" spans="2:14">
      <c r="L45" s="4">
        <v>30</v>
      </c>
      <c r="M45" s="4">
        <v>68.89</v>
      </c>
      <c r="N45" s="3">
        <v>72.98</v>
      </c>
    </row>
    <row r="46" spans="2:14">
      <c r="L46" s="4">
        <v>40</v>
      </c>
      <c r="M46" s="4">
        <v>75.53</v>
      </c>
      <c r="N46" s="3">
        <v>81.47</v>
      </c>
    </row>
    <row r="47" spans="2:14">
      <c r="L47" s="4">
        <v>50</v>
      </c>
      <c r="M47" s="4">
        <v>82.17</v>
      </c>
      <c r="N47" s="3">
        <v>89.96</v>
      </c>
    </row>
    <row r="48" spans="2:14">
      <c r="L48" s="4">
        <v>60</v>
      </c>
      <c r="M48" s="4">
        <v>88.81</v>
      </c>
      <c r="N48" s="3">
        <v>98.46</v>
      </c>
    </row>
    <row r="49" spans="12:14">
      <c r="L49" s="4">
        <v>70</v>
      </c>
      <c r="M49" s="4">
        <v>95.45</v>
      </c>
      <c r="N49" s="3">
        <v>106.95</v>
      </c>
    </row>
    <row r="50" spans="12:14">
      <c r="L50" s="4">
        <v>80</v>
      </c>
      <c r="M50" s="4">
        <v>102.1</v>
      </c>
      <c r="N50" s="3">
        <v>115.44</v>
      </c>
    </row>
    <row r="51" spans="12:14">
      <c r="L51" s="4">
        <v>90</v>
      </c>
      <c r="M51" s="4">
        <v>108.74</v>
      </c>
      <c r="N51" s="3">
        <v>123.93</v>
      </c>
    </row>
    <row r="52" spans="12:14">
      <c r="L52" s="4">
        <v>100</v>
      </c>
      <c r="M52" s="4">
        <v>115.38</v>
      </c>
      <c r="N52" s="3">
        <v>132.41999999999999</v>
      </c>
    </row>
    <row r="53" spans="12:14">
      <c r="L53" t="s">
        <v>85</v>
      </c>
    </row>
  </sheetData>
  <mergeCells count="9">
    <mergeCell ref="C37:D37"/>
    <mergeCell ref="G37:I37"/>
    <mergeCell ref="G38:I38"/>
    <mergeCell ref="B2:I4"/>
    <mergeCell ref="C31:D31"/>
    <mergeCell ref="G32:I32"/>
    <mergeCell ref="C35:D35"/>
    <mergeCell ref="C36:D36"/>
    <mergeCell ref="G36:I36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pinner 1">
              <controlPr defaultSize="0" autoPict="0">
                <anchor moveWithCells="1" sizeWithCells="1">
                  <from>
                    <xdr:col>3</xdr:col>
                    <xdr:colOff>8313</xdr:colOff>
                    <xdr:row>6</xdr:row>
                    <xdr:rowOff>8313</xdr:rowOff>
                  </from>
                  <to>
                    <xdr:col>3</xdr:col>
                    <xdr:colOff>931025</xdr:colOff>
                    <xdr:row>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Spinner 2">
              <controlPr defaultSize="0" autoPict="0">
                <anchor moveWithCells="1" sizeWithCells="1">
                  <from>
                    <xdr:col>3</xdr:col>
                    <xdr:colOff>8313</xdr:colOff>
                    <xdr:row>7</xdr:row>
                    <xdr:rowOff>8313</xdr:rowOff>
                  </from>
                  <to>
                    <xdr:col>3</xdr:col>
                    <xdr:colOff>931025</xdr:colOff>
                    <xdr:row>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Spinner 3">
              <controlPr defaultSize="0" autoPict="0">
                <anchor moveWithCells="1" sizeWithCells="1">
                  <from>
                    <xdr:col>3</xdr:col>
                    <xdr:colOff>8313</xdr:colOff>
                    <xdr:row>8</xdr:row>
                    <xdr:rowOff>0</xdr:rowOff>
                  </from>
                  <to>
                    <xdr:col>3</xdr:col>
                    <xdr:colOff>931025</xdr:colOff>
                    <xdr:row>8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BD2FE-6480-493E-A698-8C31455B7B70}">
  <dimension ref="B1:O68"/>
  <sheetViews>
    <sheetView tabSelected="1" zoomScale="145" zoomScaleNormal="145" workbookViewId="0">
      <selection activeCell="B2" sqref="B2:D11"/>
    </sheetView>
  </sheetViews>
  <sheetFormatPr defaultRowHeight="15"/>
  <cols>
    <col min="2" max="2" width="22.85546875" customWidth="1"/>
    <col min="3" max="3" width="28.28515625" bestFit="1" customWidth="1"/>
    <col min="4" max="4" width="30.5703125" bestFit="1" customWidth="1"/>
    <col min="6" max="6" width="17" customWidth="1"/>
    <col min="7" max="7" width="47.85546875" customWidth="1"/>
    <col min="8" max="8" width="12.5703125" bestFit="1" customWidth="1"/>
    <col min="9" max="10" width="13.28515625" bestFit="1" customWidth="1"/>
    <col min="12" max="12" width="15.85546875" customWidth="1"/>
    <col min="13" max="13" width="29.85546875" customWidth="1"/>
    <col min="14" max="14" width="15.42578125" customWidth="1"/>
    <col min="15" max="15" width="12.140625" bestFit="1" customWidth="1"/>
  </cols>
  <sheetData>
    <row r="1" spans="2:10" ht="14.45" customHeight="1"/>
    <row r="2" spans="2:10" ht="14.45" customHeight="1">
      <c r="B2" s="74" t="s">
        <v>86</v>
      </c>
      <c r="C2" s="74"/>
      <c r="D2" s="74"/>
      <c r="E2" s="1"/>
      <c r="F2" s="1"/>
      <c r="G2" s="1"/>
      <c r="H2" s="1"/>
      <c r="I2" s="1"/>
      <c r="J2" s="1"/>
    </row>
    <row r="3" spans="2:10" ht="14.45" customHeight="1">
      <c r="B3" s="74"/>
      <c r="C3" s="74"/>
      <c r="D3" s="74"/>
      <c r="E3" s="1"/>
      <c r="F3" s="1"/>
      <c r="G3" s="1"/>
      <c r="H3" s="1"/>
      <c r="I3" s="1"/>
      <c r="J3" s="1"/>
    </row>
    <row r="4" spans="2:10" ht="14.45" customHeight="1">
      <c r="B4" s="74"/>
      <c r="C4" s="74"/>
      <c r="D4" s="74"/>
      <c r="E4" s="1"/>
      <c r="F4" s="1"/>
      <c r="G4" s="1"/>
      <c r="H4" s="1"/>
      <c r="I4" s="1"/>
      <c r="J4" s="1"/>
    </row>
    <row r="6" spans="2:10" ht="18.399999999999999">
      <c r="B6" s="2" t="s">
        <v>87</v>
      </c>
      <c r="C6" s="2" t="s">
        <v>4</v>
      </c>
      <c r="D6" s="2" t="s">
        <v>88</v>
      </c>
    </row>
    <row r="7" spans="2:10">
      <c r="B7" s="3" t="s">
        <v>89</v>
      </c>
      <c r="C7" s="4">
        <f>LCOE_Comparison!C35</f>
        <v>48.963175096928403</v>
      </c>
      <c r="D7" s="4">
        <f>LCOE_Comparison!C36</f>
        <v>31.768059494488622</v>
      </c>
    </row>
    <row r="8" spans="2:10">
      <c r="B8" s="3" t="s">
        <v>90</v>
      </c>
      <c r="C8" s="4">
        <f>LCOE_Comparison!G36</f>
        <v>47.50952747140262</v>
      </c>
      <c r="D8" s="4">
        <f>LCOE_Comparison!G37</f>
        <v>48.379327694296819</v>
      </c>
    </row>
    <row r="9" spans="2:10">
      <c r="B9" s="3" t="s">
        <v>91</v>
      </c>
      <c r="C9" s="5">
        <v>46</v>
      </c>
      <c r="D9" s="6">
        <f>(C9-TABLE_A!D42)*From_Ton_to_Tonne/(TABLE_A!D38-0)</f>
        <v>10.593851643474455</v>
      </c>
    </row>
    <row r="11" spans="2:10">
      <c r="B11" t="s">
        <v>92</v>
      </c>
    </row>
    <row r="13" spans="2:10">
      <c r="D13" s="7"/>
    </row>
    <row r="14" spans="2:10">
      <c r="D14" s="7"/>
    </row>
    <row r="15" spans="2:10">
      <c r="D15" s="7"/>
    </row>
    <row r="16" spans="2:10">
      <c r="D16" s="7"/>
    </row>
    <row r="17" spans="4:4">
      <c r="D17" s="7"/>
    </row>
    <row r="18" spans="4:4">
      <c r="D18" s="7"/>
    </row>
    <row r="19" spans="4:4">
      <c r="D19" s="7"/>
    </row>
    <row r="20" spans="4:4">
      <c r="D20" s="7"/>
    </row>
    <row r="21" spans="4:4">
      <c r="D21" s="7"/>
    </row>
    <row r="22" spans="4:4">
      <c r="D22" s="7"/>
    </row>
    <row r="23" spans="4:4">
      <c r="D23" s="7"/>
    </row>
    <row r="24" spans="4:4">
      <c r="D24" s="7"/>
    </row>
    <row r="25" spans="4:4">
      <c r="D25" s="7"/>
    </row>
    <row r="30" spans="4:4">
      <c r="D30" s="7"/>
    </row>
    <row r="31" spans="4:4">
      <c r="D31" s="7"/>
    </row>
    <row r="32" spans="4:4">
      <c r="D32" s="7"/>
    </row>
    <row r="33" spans="4:15">
      <c r="D33" s="7"/>
    </row>
    <row r="34" spans="4:15">
      <c r="D34" s="7"/>
    </row>
    <row r="38" spans="4:15">
      <c r="D38" s="7"/>
    </row>
    <row r="39" spans="4:15">
      <c r="M39" s="7"/>
      <c r="N39" s="7"/>
    </row>
    <row r="43" spans="4:15">
      <c r="M43" s="7"/>
      <c r="N43" s="7"/>
    </row>
    <row r="44" spans="4:15">
      <c r="M44" s="7"/>
      <c r="N44" s="7"/>
      <c r="O44" s="7"/>
    </row>
    <row r="45" spans="4:15">
      <c r="M45" s="7"/>
      <c r="N45" s="7"/>
      <c r="O45" s="7"/>
    </row>
    <row r="46" spans="4:15">
      <c r="M46" s="7"/>
      <c r="N46" s="7"/>
      <c r="O46" s="7"/>
    </row>
    <row r="47" spans="4:15">
      <c r="M47" s="7"/>
      <c r="N47" s="7"/>
      <c r="O47" s="7"/>
    </row>
    <row r="48" spans="4:15">
      <c r="M48" s="7"/>
      <c r="N48" s="7"/>
      <c r="O48" s="7"/>
    </row>
    <row r="49" spans="13:15">
      <c r="M49" s="7"/>
      <c r="N49" s="7"/>
    </row>
    <row r="50" spans="13:15">
      <c r="M50" s="7"/>
      <c r="N50" s="7"/>
      <c r="O50" s="7"/>
    </row>
    <row r="51" spans="13:15">
      <c r="M51" s="7"/>
      <c r="N51" s="7"/>
      <c r="O51" s="7"/>
    </row>
    <row r="52" spans="13:15">
      <c r="M52" s="7"/>
      <c r="N52" s="7"/>
      <c r="O52" s="7"/>
    </row>
    <row r="53" spans="13:15">
      <c r="M53" s="7"/>
      <c r="N53" s="7"/>
      <c r="O53" s="7"/>
    </row>
    <row r="54" spans="13:15">
      <c r="M54" s="7"/>
      <c r="N54" s="7"/>
      <c r="O54" s="7"/>
    </row>
    <row r="55" spans="13:15">
      <c r="M55" s="7"/>
      <c r="N55" s="7"/>
      <c r="O55" s="7"/>
    </row>
    <row r="56" spans="13:15">
      <c r="O56" s="7"/>
    </row>
    <row r="58" spans="13:15">
      <c r="M58" s="7"/>
      <c r="N58" s="7"/>
    </row>
    <row r="59" spans="13:15">
      <c r="M59" s="7"/>
      <c r="N59" s="7"/>
    </row>
    <row r="60" spans="13:15">
      <c r="M60" s="7"/>
      <c r="N60" s="7"/>
    </row>
    <row r="61" spans="13:15">
      <c r="M61" s="7"/>
      <c r="N61" s="7"/>
    </row>
    <row r="62" spans="13:15">
      <c r="M62" s="7"/>
      <c r="N62" s="7"/>
    </row>
    <row r="63" spans="13:15">
      <c r="M63" s="7"/>
      <c r="N63" s="7"/>
    </row>
    <row r="64" spans="13:15">
      <c r="M64" s="7"/>
      <c r="N64" s="7"/>
    </row>
    <row r="65" spans="13:14">
      <c r="M65" s="7"/>
      <c r="N65" s="7"/>
    </row>
    <row r="66" spans="13:14">
      <c r="M66" s="7"/>
      <c r="N66" s="7"/>
    </row>
    <row r="67" spans="13:14">
      <c r="M67" s="7"/>
      <c r="N67" s="7"/>
    </row>
    <row r="68" spans="13:14">
      <c r="M68" s="7"/>
      <c r="N68" s="7"/>
    </row>
  </sheetData>
  <mergeCells count="1">
    <mergeCell ref="B2:D4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2</xdr:col>
                    <xdr:colOff>0</xdr:colOff>
                    <xdr:row>9</xdr:row>
                    <xdr:rowOff>0</xdr:rowOff>
                  </from>
                  <to>
                    <xdr:col>3</xdr:col>
                    <xdr:colOff>0</xdr:colOff>
                    <xdr:row>10</xdr:row>
                    <xdr:rowOff>8313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Al Ghiffary</cp:lastModifiedBy>
  <cp:revision/>
  <dcterms:created xsi:type="dcterms:W3CDTF">2022-09-11T03:30:08Z</dcterms:created>
  <dcterms:modified xsi:type="dcterms:W3CDTF">2023-02-02T22:59:28Z</dcterms:modified>
  <cp:category/>
  <cp:contentStatus/>
</cp:coreProperties>
</file>