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2adcaaff30910/DUKE EE MEM/1. Fall 22/ENV 716L/Week 1/Assignment/"/>
    </mc:Choice>
  </mc:AlternateContent>
  <xr:revisionPtr revIDLastSave="2906" documentId="8_{7BC1BD0B-E3BB-4EBD-B49E-F2B8ED1D3CDA}" xr6:coauthVersionLast="47" xr6:coauthVersionMax="47" xr10:uidLastSave="{6EA6A8B4-E447-4A7E-B046-F4C1404CD9A2}"/>
  <bookViews>
    <workbookView xWindow="-118" yWindow="-118" windowWidth="25370" windowHeight="13759" firstSheet="3" activeTab="7" xr2:uid="{C5EF1F46-C5C5-435E-80C1-46331E30A13F}"/>
  </bookViews>
  <sheets>
    <sheet name="Instructions" sheetId="1" r:id="rId1"/>
    <sheet name="Constants" sheetId="2" r:id="rId2"/>
    <sheet name="UnitConversions" sheetId="3" r:id="rId3"/>
    <sheet name="TABLE_A" sheetId="10" r:id="rId4"/>
    <sheet name="TABLE_B" sheetId="11" r:id="rId5"/>
    <sheet name="TABLE_C" sheetId="14" r:id="rId6"/>
    <sheet name="LCOE_Comparison" sheetId="18" r:id="rId7"/>
    <sheet name="Comparison_NuclearPP" sheetId="20" r:id="rId8"/>
  </sheets>
  <definedNames>
    <definedName name="From_Btu_to_MBtu">UnitConversions!$D$6</definedName>
    <definedName name="From_Dollar_to_MillionDollar">UnitConversions!$D$9</definedName>
    <definedName name="From_kWh_to_MWh">UnitConversions!$D$7</definedName>
    <definedName name="From_MillionDollar_to_Dollar">UnitConversions!$D$10</definedName>
    <definedName name="From_MWh_to_kWh">UnitConversions!$D$8</definedName>
    <definedName name="From_Ton_to_Tonne">UnitConversions!$D$11</definedName>
    <definedName name="Hours_in_a_year">Constants!$C$6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8" l="1"/>
  <c r="C37" i="18"/>
  <c r="J15" i="14"/>
  <c r="K15" i="14"/>
  <c r="I15" i="14"/>
  <c r="I16" i="14" s="1"/>
  <c r="E8" i="20" s="1"/>
  <c r="J14" i="14"/>
  <c r="K14" i="14"/>
  <c r="I14" i="14"/>
  <c r="I16" i="11"/>
  <c r="I17" i="11" s="1"/>
  <c r="H16" i="11"/>
  <c r="H17" i="11" s="1"/>
  <c r="D9" i="20"/>
  <c r="D32" i="11"/>
  <c r="D36" i="11" s="1"/>
  <c r="C9" i="18"/>
  <c r="C8" i="18"/>
  <c r="C23" i="18" s="1"/>
  <c r="C7" i="18"/>
  <c r="H24" i="18" s="1"/>
  <c r="H28" i="18" s="1"/>
  <c r="C28" i="18"/>
  <c r="D26" i="18"/>
  <c r="D24" i="18"/>
  <c r="C22" i="18"/>
  <c r="C26" i="18" s="1"/>
  <c r="D13" i="18"/>
  <c r="G29" i="18"/>
  <c r="I27" i="18"/>
  <c r="H27" i="18"/>
  <c r="I25" i="18"/>
  <c r="H25" i="18"/>
  <c r="G23" i="18"/>
  <c r="G27" i="18" s="1"/>
  <c r="D32" i="14"/>
  <c r="D36" i="14" s="1"/>
  <c r="D38" i="14"/>
  <c r="D33" i="14"/>
  <c r="E36" i="14"/>
  <c r="E34" i="14"/>
  <c r="E40" i="14" s="1"/>
  <c r="E33" i="14"/>
  <c r="E37" i="14" s="1"/>
  <c r="D28" i="10"/>
  <c r="D32" i="10" s="1"/>
  <c r="F36" i="14"/>
  <c r="F34" i="14"/>
  <c r="F40" i="14" s="1"/>
  <c r="F33" i="14"/>
  <c r="F37" i="14" s="1"/>
  <c r="E36" i="11"/>
  <c r="E34" i="11"/>
  <c r="E40" i="11" s="1"/>
  <c r="D38" i="11"/>
  <c r="E33" i="11"/>
  <c r="E37" i="11" s="1"/>
  <c r="E17" i="11"/>
  <c r="D33" i="11"/>
  <c r="F31" i="10"/>
  <c r="E31" i="10"/>
  <c r="D31" i="10"/>
  <c r="F29" i="10"/>
  <c r="F34" i="10" s="1"/>
  <c r="E29" i="10"/>
  <c r="E34" i="10" s="1"/>
  <c r="D29" i="10"/>
  <c r="D34" i="10" s="1"/>
  <c r="F28" i="10"/>
  <c r="F32" i="10" s="1"/>
  <c r="E28" i="10"/>
  <c r="E32" i="10" s="1"/>
  <c r="F16" i="10"/>
  <c r="E16" i="10"/>
  <c r="D16" i="10"/>
  <c r="D9" i="3"/>
  <c r="D7" i="3"/>
  <c r="H18" i="11" l="1"/>
  <c r="E7" i="20" s="1"/>
  <c r="D37" i="14"/>
  <c r="D41" i="14" s="1"/>
  <c r="D38" i="10"/>
  <c r="D29" i="18"/>
  <c r="D37" i="10"/>
  <c r="F37" i="10"/>
  <c r="E37" i="10"/>
  <c r="H30" i="18"/>
  <c r="H31" i="18" s="1"/>
  <c r="H35" i="18" s="1"/>
  <c r="I30" i="18"/>
  <c r="I24" i="18"/>
  <c r="I28" i="18" s="1"/>
  <c r="D23" i="18"/>
  <c r="D27" i="18" s="1"/>
  <c r="G24" i="18"/>
  <c r="G28" i="18" s="1"/>
  <c r="C27" i="18"/>
  <c r="C24" i="18"/>
  <c r="C29" i="18" s="1"/>
  <c r="G25" i="18"/>
  <c r="E42" i="11"/>
  <c r="E48" i="11" s="1"/>
  <c r="F35" i="10"/>
  <c r="F41" i="10" s="1"/>
  <c r="E36" i="10"/>
  <c r="E43" i="10" s="1"/>
  <c r="E41" i="14"/>
  <c r="E46" i="14" s="1"/>
  <c r="F41" i="14"/>
  <c r="F46" i="14" s="1"/>
  <c r="E42" i="14"/>
  <c r="E48" i="14" s="1"/>
  <c r="F42" i="14"/>
  <c r="F48" i="14" s="1"/>
  <c r="D34" i="14"/>
  <c r="E35" i="10"/>
  <c r="E41" i="10" s="1"/>
  <c r="F36" i="10"/>
  <c r="F43" i="10" s="1"/>
  <c r="D35" i="10"/>
  <c r="D36" i="10"/>
  <c r="D43" i="10" s="1"/>
  <c r="D34" i="11"/>
  <c r="D37" i="11"/>
  <c r="E41" i="11"/>
  <c r="E46" i="11" s="1"/>
  <c r="D30" i="18" l="1"/>
  <c r="D34" i="18" s="1"/>
  <c r="D41" i="10"/>
  <c r="D42" i="10"/>
  <c r="G30" i="18"/>
  <c r="G31" i="18" s="1"/>
  <c r="G32" i="18"/>
  <c r="I31" i="18"/>
  <c r="I35" i="18" s="1"/>
  <c r="C30" i="18"/>
  <c r="C31" i="18"/>
  <c r="D46" i="14"/>
  <c r="D47" i="14"/>
  <c r="D40" i="11"/>
  <c r="D42" i="11" s="1"/>
  <c r="D43" i="11"/>
  <c r="D40" i="14"/>
  <c r="D42" i="14" s="1"/>
  <c r="D43" i="14"/>
  <c r="D41" i="11"/>
  <c r="C35" i="18" l="1"/>
  <c r="C34" i="18"/>
  <c r="G36" i="18"/>
  <c r="G35" i="18"/>
  <c r="D46" i="11"/>
  <c r="D47" i="11"/>
  <c r="D48" i="11"/>
  <c r="D49" i="11"/>
  <c r="D48" i="14"/>
  <c r="D49" i="14"/>
  <c r="C36" i="18" l="1"/>
  <c r="D7" i="20" s="1"/>
  <c r="C7" i="20"/>
  <c r="G37" i="18"/>
  <c r="D8" i="20" s="1"/>
  <c r="C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2" authorId="0" shapeId="0" xr:uid="{9F91E5EC-71FC-43E6-898B-6495459B6709}">
      <text>
        <r>
          <rPr>
            <b/>
            <sz val="9"/>
            <color indexed="81"/>
            <rFont val="Tahoma"/>
            <family val="2"/>
          </rPr>
          <t>Al Ghiffary:</t>
        </r>
        <r>
          <rPr>
            <sz val="9"/>
            <color indexed="81"/>
            <rFont val="Tahoma"/>
            <family val="2"/>
          </rPr>
          <t xml:space="preserve">
Adding up both Annual Generations of Unit 1 and 2 because the hours of operation of NGCC is uncertain (can't use 8760hrs/yr as mentioned in the assignment word file)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8" authorId="0" shapeId="0" xr:uid="{D48A7457-DB54-4621-AF58-73B21975966F}">
      <text>
        <r>
          <rPr>
            <b/>
            <sz val="9"/>
            <color indexed="81"/>
            <rFont val="Tahoma"/>
            <family val="2"/>
          </rPr>
          <t>Al Ghiffary:</t>
        </r>
        <r>
          <rPr>
            <sz val="9"/>
            <color indexed="81"/>
            <rFont val="Tahoma"/>
            <family val="2"/>
          </rPr>
          <t xml:space="preserve">
Just a note, I have clarified to Dalia during the OH about the retrofit factor and decided not to multiply it with retrofit factor.</t>
        </r>
      </text>
    </comment>
  </commentList>
</comments>
</file>

<file path=xl/sharedStrings.xml><?xml version="1.0" encoding="utf-8"?>
<sst xmlns="http://schemas.openxmlformats.org/spreadsheetml/2006/main" count="296" uniqueCount="111">
  <si>
    <t>Constants</t>
  </si>
  <si>
    <t>Hours in a day</t>
  </si>
  <si>
    <t>Hours in a year</t>
  </si>
  <si>
    <t>Days in a year</t>
  </si>
  <si>
    <t>Unit Conversions</t>
  </si>
  <si>
    <t>From</t>
  </si>
  <si>
    <t>To</t>
  </si>
  <si>
    <t>Multiply by</t>
  </si>
  <si>
    <t>Btu</t>
  </si>
  <si>
    <t>Mbtu</t>
  </si>
  <si>
    <t>kWh</t>
  </si>
  <si>
    <t>MWh</t>
  </si>
  <si>
    <t>$</t>
  </si>
  <si>
    <t>$M</t>
  </si>
  <si>
    <t>Ton</t>
  </si>
  <si>
    <t>Tonne</t>
  </si>
  <si>
    <t>lbs</t>
  </si>
  <si>
    <t>Table A: the LCOEs for the three generators at The Hunter Power Plant, Utah</t>
  </si>
  <si>
    <t>4 Questions were asked in the Table A:</t>
  </si>
  <si>
    <t>Gross Capacity Factor in recent years</t>
  </si>
  <si>
    <t>Fuel Cost per unit ($/MWh)</t>
  </si>
  <si>
    <t>Cost of Electricity ($/MWh)</t>
  </si>
  <si>
    <t>Cost of Electricity (CO2 tax included) ($/MWh)</t>
  </si>
  <si>
    <t>Question</t>
  </si>
  <si>
    <t>Plant Data</t>
  </si>
  <si>
    <t>Unit 1</t>
  </si>
  <si>
    <t>Unit 2</t>
  </si>
  <si>
    <t>Unit 3</t>
  </si>
  <si>
    <t>Generator Nameplate Capacity (MW)</t>
  </si>
  <si>
    <t>Net Electrical Output (MW)</t>
  </si>
  <si>
    <t>Net Capacity Factor</t>
  </si>
  <si>
    <t>Variable O&amp;M ($/MWh)</t>
  </si>
  <si>
    <t>Net Plant Heat Rate in recent years, HHV (Btu/kWh)</t>
  </si>
  <si>
    <t>CO2 emission rate per unit (tons/MWh)</t>
  </si>
  <si>
    <t>Assumptions</t>
  </si>
  <si>
    <t>Cost</t>
  </si>
  <si>
    <t>Fuel Price - Coal - Default ($/Mbtu)</t>
  </si>
  <si>
    <t>Tax of CO2 - Default ($/ton)</t>
  </si>
  <si>
    <t>Tax of CO2 - Specified ($/ton)</t>
  </si>
  <si>
    <t>Intermediate Outputs</t>
  </si>
  <si>
    <t>Annual Net Electricity Output (MWh/year)</t>
  </si>
  <si>
    <t>Annual CO2 Emission (tons/year)</t>
  </si>
  <si>
    <t>Annual Fixed O&amp;M ($M/year)</t>
  </si>
  <si>
    <t>Annual Variable O&amp;M ($M/year)</t>
  </si>
  <si>
    <t>Annual Fuel Cost ($M/year)</t>
  </si>
  <si>
    <t>Annual CO2 Emission Total Tax - Default ($M/year)</t>
  </si>
  <si>
    <t>Annual CO2 Emission Total Tax - Specific ($M/year)</t>
  </si>
  <si>
    <t>Annual Total Cost ($M/year)</t>
  </si>
  <si>
    <t>Annual Total Cost plus CO2 Tax ($M/year)</t>
  </si>
  <si>
    <t xml:space="preserve">CO2 Emission Rate </t>
  </si>
  <si>
    <t>CO2 Emission Rate Bundle Default (Ton/MWh)</t>
  </si>
  <si>
    <t>Final Outputs</t>
  </si>
  <si>
    <t>Cost of Electricity Bundle Default (needed for COA)</t>
  </si>
  <si>
    <t>Table B: the LCOEs for the Strategy #1 at The Hunter Power Plant, Utah</t>
  </si>
  <si>
    <t>6 Questions were asked in the Table B:</t>
  </si>
  <si>
    <t>Annualized Capital ($M/year)</t>
  </si>
  <si>
    <t>Annual Generation (MWh/year)</t>
  </si>
  <si>
    <t>CO2 emission rate for Bundle 1 (Tons/MWh)</t>
  </si>
  <si>
    <t>Cost of Electricity for Bundle 1 ($/MWh)</t>
  </si>
  <si>
    <t>NGCC</t>
  </si>
  <si>
    <t>Calculation of Emission Rate (lbs/MWh) for dispatchable plants</t>
  </si>
  <si>
    <t>lbs/MWh</t>
  </si>
  <si>
    <t>lbs/year</t>
  </si>
  <si>
    <t>Emission Rate (lbs/MWh) Bundle 1</t>
  </si>
  <si>
    <t>CO2 Emission (lb/Mbtu)</t>
  </si>
  <si>
    <t>Capital required ($M)</t>
  </si>
  <si>
    <t>Fixed Charge Factor</t>
  </si>
  <si>
    <t>N/A</t>
  </si>
  <si>
    <t>Fuel Price - Natural Gas - Default ($/Mbtu)</t>
  </si>
  <si>
    <t>Annual Total Cost plus emission tax ($M/year)</t>
  </si>
  <si>
    <t>If needed</t>
  </si>
  <si>
    <t>Cost of Electricity (CO2 tax included) for Bundle 1 ($/MWh)</t>
  </si>
  <si>
    <t>Table C: the LCOEs for the Strategy #2 at The Hunter Power Plant, Utah</t>
  </si>
  <si>
    <t>6 Questions were asked in the Table C:</t>
  </si>
  <si>
    <t>CO2 emission rate for Bundle 2 (Tons/MWh)</t>
  </si>
  <si>
    <t>Cost of Electricity for Bundle 2 ($/MWh)</t>
  </si>
  <si>
    <t>Unit 1+CCS</t>
  </si>
  <si>
    <t>Emission Rate (lbs/MWh) Bundle 2</t>
  </si>
  <si>
    <t>Retrofit factor</t>
  </si>
  <si>
    <t>Tax of CO2 - Specific ($/ton)</t>
  </si>
  <si>
    <t>Annual Total Cost - Carbon Tax included ($M/year)</t>
  </si>
  <si>
    <t>Cost of Electricity (CO2 tax included) for Bundle 2 ($/MWh)</t>
  </si>
  <si>
    <t>Comparing LCOEs and COA by considering fuel price and carbon tax uncertainties</t>
  </si>
  <si>
    <t>Price</t>
  </si>
  <si>
    <t>Fuel Price - Coal ($/Mbtu)</t>
  </si>
  <si>
    <t>Fuel Price - ($/Mbtu)</t>
  </si>
  <si>
    <t>Tax of CO2 - ($/ton)</t>
  </si>
  <si>
    <t>e</t>
  </si>
  <si>
    <t>Fuel Price - Coal ($/MBtu)</t>
  </si>
  <si>
    <t>LCOE Bundle 1</t>
  </si>
  <si>
    <t>LCOE Bundle 2</t>
  </si>
  <si>
    <t>Assuming default price of NG ($3.00/Mbtu) and Carbon Tax ($0/Mbtu)</t>
  </si>
  <si>
    <t>Fuel Price - Natural Gas ($/MBtu)</t>
  </si>
  <si>
    <t>Cost of Electricity Bundle 1 ($/MWh)</t>
  </si>
  <si>
    <t>Cost of Abatement Bundle 1 ($/tonne)</t>
  </si>
  <si>
    <t>Cost of Electricity Bundle 2 ($/MWh)</t>
  </si>
  <si>
    <t>Emission Rate Bundle 1 (lbs/MWh)</t>
  </si>
  <si>
    <t>Cost of Abatement Bundle 2 ($/tonne)</t>
  </si>
  <si>
    <t>Emission Rate Bundle 2 (lbs/MWh)</t>
  </si>
  <si>
    <t>Assuming constant price of coal ($2/MBtu) and Carbon Tax ($0/MBtu)</t>
  </si>
  <si>
    <t>f</t>
  </si>
  <si>
    <t>CO2 Tax ($/Ton)</t>
  </si>
  <si>
    <t>Assuming constant price of coal ($2/MBtu) and Natural Gas ($5.5/MBtu)</t>
  </si>
  <si>
    <t>Comparing LCOEs between Strategy #1, #2, and #3 (Nuclear Power Plant)</t>
  </si>
  <si>
    <t>Strategy</t>
  </si>
  <si>
    <t>Cost of Abatement ($/Ton)</t>
  </si>
  <si>
    <t>Emission Rate (lbs/MWh)</t>
  </si>
  <si>
    <t>Strategy #1 (NGCC)</t>
  </si>
  <si>
    <t>Strategy #2 (CCS)</t>
  </si>
  <si>
    <t>Strategy #3 (Nuclear)</t>
  </si>
  <si>
    <t>Assuming Coal Price of $2/Mbtu, NG price $5.5/Mbtu, and Carbon Tax $0/ton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</si>
</sst>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16">
    <xf numFmtId="0" fontId="0" fillId="0" borderId="0"/>
    <xf numFmtId="165" fontId="1" fillId="0" borderId="0" applyFont="0" applyFill="0" applyBorder="0" applyAlignment="0" applyProtection="0"/>
    <xf numFmtId="0" fontId="10" fillId="0" borderId="0"/>
    <xf numFmtId="0" fontId="11" fillId="0" borderId="0"/>
    <xf numFmtId="0" fontId="13" fillId="5" borderId="0" applyNumberFormat="0" applyBorder="0" applyAlignment="0" applyProtection="0"/>
    <xf numFmtId="0" fontId="9" fillId="5" borderId="0" applyNumberFormat="0" applyBorder="0" applyAlignment="0" applyProtection="0"/>
    <xf numFmtId="0" fontId="13" fillId="6" borderId="0" applyNumberFormat="0" applyBorder="0" applyAlignment="0" applyProtection="0"/>
    <xf numFmtId="0" fontId="9" fillId="6" borderId="0" applyNumberFormat="0" applyBorder="0" applyAlignment="0" applyProtection="0"/>
    <xf numFmtId="0" fontId="13" fillId="7" borderId="0" applyNumberFormat="0" applyBorder="0" applyAlignment="0" applyProtection="0"/>
    <xf numFmtId="0" fontId="9" fillId="7" borderId="0" applyNumberFormat="0" applyBorder="0" applyAlignment="0" applyProtection="0"/>
    <xf numFmtId="0" fontId="13" fillId="8" borderId="0" applyNumberFormat="0" applyBorder="0" applyAlignment="0" applyProtection="0"/>
    <xf numFmtId="0" fontId="9" fillId="8" borderId="0" applyNumberFormat="0" applyBorder="0" applyAlignment="0" applyProtection="0"/>
    <xf numFmtId="166" fontId="14" fillId="0" borderId="0" applyFill="0" applyProtection="0">
      <alignment horizontal="right" vertical="center"/>
    </xf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49" fontId="15" fillId="0" borderId="0" applyFill="0" applyBorder="0" applyProtection="0">
      <alignment horizontal="right" vertical="center"/>
    </xf>
    <xf numFmtId="0" fontId="16" fillId="0" borderId="21" applyNumberFormat="0" applyFill="0" applyAlignment="0" applyProtection="0"/>
    <xf numFmtId="0" fontId="17" fillId="0" borderId="0" applyFill="0" applyBorder="0" applyProtection="0">
      <alignment horizontal="right"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22" fillId="0" borderId="0" applyFill="0" applyProtection="0">
      <alignment horizontal="right" vertical="center"/>
    </xf>
    <xf numFmtId="166" fontId="23" fillId="0" borderId="0" applyFill="0" applyProtection="0">
      <alignment horizontal="right" vertical="center"/>
    </xf>
    <xf numFmtId="0" fontId="9" fillId="0" borderId="0"/>
    <xf numFmtId="0" fontId="10" fillId="0" borderId="0"/>
    <xf numFmtId="0" fontId="1" fillId="0" borderId="0"/>
    <xf numFmtId="0" fontId="24" fillId="0" borderId="0">
      <alignment horizontal="right" vertical="center"/>
    </xf>
    <xf numFmtId="0" fontId="9" fillId="0" borderId="0"/>
    <xf numFmtId="0" fontId="1" fillId="0" borderId="0"/>
    <xf numFmtId="0" fontId="10" fillId="0" borderId="0"/>
    <xf numFmtId="0" fontId="3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25" fillId="0" borderId="0" applyFill="0" applyProtection="0">
      <alignment horizontal="right" vertical="center"/>
    </xf>
    <xf numFmtId="0" fontId="12" fillId="0" borderId="0" applyNumberFormat="0" applyFill="0" applyBorder="0" applyAlignment="0" applyProtection="0"/>
    <xf numFmtId="0" fontId="26" fillId="0" borderId="0" applyFill="0" applyBorder="0" applyProtection="0">
      <alignment horizontal="right" vertical="center"/>
    </xf>
    <xf numFmtId="0" fontId="27" fillId="0" borderId="0" applyFill="0" applyBorder="0" applyProtection="0">
      <alignment horizontal="right" vertical="center"/>
    </xf>
    <xf numFmtId="0" fontId="1" fillId="9" borderId="25"/>
    <xf numFmtId="0" fontId="28" fillId="0" borderId="0" applyFill="0" applyBorder="0" applyProtection="0">
      <alignment horizontal="right" vertical="center"/>
    </xf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</cellStyleXfs>
  <cellXfs count="110">
    <xf numFmtId="0" fontId="0" fillId="0" borderId="0" xfId="0"/>
    <xf numFmtId="2" fontId="0" fillId="0" borderId="0" xfId="0" applyNumberFormat="1"/>
    <xf numFmtId="0" fontId="0" fillId="0" borderId="3" xfId="0" applyBorder="1"/>
    <xf numFmtId="2" fontId="0" fillId="0" borderId="3" xfId="0" applyNumberFormat="1" applyBorder="1"/>
    <xf numFmtId="0" fontId="6" fillId="0" borderId="3" xfId="0" applyFont="1" applyBorder="1"/>
    <xf numFmtId="3" fontId="0" fillId="0" borderId="3" xfId="0" applyNumberFormat="1" applyBorder="1"/>
    <xf numFmtId="0" fontId="5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0" fillId="0" borderId="24" xfId="0" applyBorder="1"/>
    <xf numFmtId="0" fontId="6" fillId="4" borderId="3" xfId="0" applyFont="1" applyFill="1" applyBorder="1"/>
    <xf numFmtId="0" fontId="2" fillId="0" borderId="3" xfId="0" applyFont="1" applyBorder="1" applyAlignment="1">
      <alignment horizontal="left"/>
    </xf>
    <xf numFmtId="11" fontId="0" fillId="0" borderId="3" xfId="0" applyNumberFormat="1" applyBorder="1"/>
    <xf numFmtId="0" fontId="0" fillId="4" borderId="3" xfId="0" applyFill="1" applyBorder="1"/>
    <xf numFmtId="165" fontId="1" fillId="0" borderId="3" xfId="1" applyFont="1" applyFill="1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2" fontId="2" fillId="4" borderId="3" xfId="0" applyNumberFormat="1" applyFont="1" applyFill="1" applyBorder="1" applyAlignment="1">
      <alignment vertical="center"/>
    </xf>
    <xf numFmtId="2" fontId="2" fillId="4" borderId="8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" vertical="center"/>
    </xf>
    <xf numFmtId="165" fontId="0" fillId="0" borderId="3" xfId="1" applyFont="1" applyBorder="1" applyAlignment="1">
      <alignment vertical="center"/>
    </xf>
    <xf numFmtId="165" fontId="0" fillId="0" borderId="8" xfId="1" applyFont="1" applyBorder="1" applyAlignment="1">
      <alignment vertical="center"/>
    </xf>
    <xf numFmtId="165" fontId="0" fillId="0" borderId="3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center"/>
    </xf>
    <xf numFmtId="2" fontId="2" fillId="4" borderId="10" xfId="0" applyNumberFormat="1" applyFont="1" applyFill="1" applyBorder="1" applyAlignment="1">
      <alignment vertical="center"/>
    </xf>
    <xf numFmtId="2" fontId="2" fillId="4" borderId="11" xfId="0" applyNumberFormat="1" applyFont="1" applyFill="1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2" fillId="4" borderId="3" xfId="0" applyNumberFormat="1" applyFont="1" applyFill="1" applyBorder="1" applyAlignment="1">
      <alignment vertical="center"/>
    </xf>
    <xf numFmtId="3" fontId="2" fillId="4" borderId="8" xfId="0" applyNumberFormat="1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Alignment="1">
      <alignment horizontal="center"/>
    </xf>
    <xf numFmtId="2" fontId="0" fillId="4" borderId="3" xfId="0" applyNumberFormat="1" applyFill="1" applyBorder="1"/>
    <xf numFmtId="4" fontId="0" fillId="0" borderId="3" xfId="0" applyNumberFormat="1" applyBorder="1"/>
    <xf numFmtId="4" fontId="0" fillId="0" borderId="3" xfId="1" applyNumberFormat="1" applyFont="1" applyBorder="1"/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4" borderId="10" xfId="0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8" xfId="0" applyNumberFormat="1" applyFont="1" applyFill="1" applyBorder="1" applyAlignment="1">
      <alignment horizontal="center" vertical="center"/>
    </xf>
    <xf numFmtId="2" fontId="2" fillId="4" borderId="28" xfId="0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4" borderId="20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2" fillId="0" borderId="3" xfId="0" applyFont="1" applyBorder="1" applyAlignment="1">
      <alignment horizontal="center" wrapText="1"/>
    </xf>
  </cellXfs>
  <cellStyles count="216">
    <cellStyle name="20% - Accent1 2" xfId="4" xr:uid="{ADF15D3B-372A-4EDE-83E7-87CBD57D0DE8}"/>
    <cellStyle name="20% - Accent1 2 2" xfId="5" xr:uid="{A7DCDA9D-C39F-4206-BFC0-3E5E858529F6}"/>
    <cellStyle name="20% - Accent1 2 2 2" xfId="139" xr:uid="{14961C4F-41DB-4AD9-B0FC-495C7B10DA17}"/>
    <cellStyle name="20% - Accent1 2 2 2 2" xfId="161" xr:uid="{90D62751-29EA-4EA6-98EB-0A2D7B4631EC}"/>
    <cellStyle name="20% - Accent1 2 2 2 2 2" xfId="205" xr:uid="{43E316D9-C532-4598-898D-644F69A3BCA1}"/>
    <cellStyle name="20% - Accent1 2 2 2 3" xfId="183" xr:uid="{1F1B03CA-5E74-4EA7-BE4E-DA5CEDCF7B85}"/>
    <cellStyle name="20% - Accent1 2 2 3" xfId="150" xr:uid="{5BBDE40C-5A2E-45C0-8A35-13F0B97CF47D}"/>
    <cellStyle name="20% - Accent1 2 2 3 2" xfId="194" xr:uid="{54662AA1-8777-471C-83F1-8FCB196CE4E1}"/>
    <cellStyle name="20% - Accent1 2 2 4" xfId="172" xr:uid="{0A9BD10C-3D09-46BD-9268-E9B3767E66B5}"/>
    <cellStyle name="20% - Accent2 2" xfId="6" xr:uid="{614DB9C2-29A0-45C5-A28C-E57F9F8EE17A}"/>
    <cellStyle name="20% - Accent2 2 2" xfId="7" xr:uid="{40A32577-88D1-42E7-9772-9AE9312A1B93}"/>
    <cellStyle name="20% - Accent2 2 2 2" xfId="140" xr:uid="{9D15ECDB-83B6-487F-A865-6D7399587D3E}"/>
    <cellStyle name="20% - Accent2 2 2 2 2" xfId="162" xr:uid="{54DC0DB3-71D0-4BE6-83D3-851AF1ADD332}"/>
    <cellStyle name="20% - Accent2 2 2 2 2 2" xfId="206" xr:uid="{117C8EDD-8B94-41FB-B34F-FD4C361FF591}"/>
    <cellStyle name="20% - Accent2 2 2 2 3" xfId="184" xr:uid="{8E926B50-479E-426A-B84C-0B55976E53BA}"/>
    <cellStyle name="20% - Accent2 2 2 3" xfId="151" xr:uid="{C6CA3C7C-861C-4885-9429-285C5759DF05}"/>
    <cellStyle name="20% - Accent2 2 2 3 2" xfId="195" xr:uid="{D1E52EF8-FA77-478B-A8D0-61C83B4C9CFA}"/>
    <cellStyle name="20% - Accent2 2 2 4" xfId="173" xr:uid="{33DAF989-D082-4BDC-95BE-B2C87B4D1323}"/>
    <cellStyle name="20% - Accent3 2" xfId="8" xr:uid="{57A4C522-1C9E-40DE-B862-4A8BC915C7B0}"/>
    <cellStyle name="20% - Accent3 2 2" xfId="9" xr:uid="{5F3C3A21-F020-4738-B1FE-1D16CA72B50C}"/>
    <cellStyle name="20% - Accent3 2 2 2" xfId="141" xr:uid="{1192CA1D-1455-4DD5-8CB8-2B0536B7F220}"/>
    <cellStyle name="20% - Accent3 2 2 2 2" xfId="163" xr:uid="{A15CDE46-8265-4303-861C-E360348E1237}"/>
    <cellStyle name="20% - Accent3 2 2 2 2 2" xfId="207" xr:uid="{04E7ACFF-F934-4EE5-A3D9-3A501E01B32F}"/>
    <cellStyle name="20% - Accent3 2 2 2 3" xfId="185" xr:uid="{FE0A4A85-A8DD-4A9A-9360-2CDB91DD7E7F}"/>
    <cellStyle name="20% - Accent3 2 2 3" xfId="152" xr:uid="{CF44C980-68FF-41E0-A605-88FD1CD34467}"/>
    <cellStyle name="20% - Accent3 2 2 3 2" xfId="196" xr:uid="{A7DF3C41-FAD0-4D74-9183-531D63DC1DE7}"/>
    <cellStyle name="20% - Accent3 2 2 4" xfId="174" xr:uid="{9E0F4055-0B2D-4C87-9C3A-1F6594D00576}"/>
    <cellStyle name="20% - Accent4 2" xfId="10" xr:uid="{60BDA90E-AE3E-4AFD-B13F-B7657716652E}"/>
    <cellStyle name="20% - Accent4 2 2" xfId="11" xr:uid="{86219702-A210-4275-AC16-BAC48DCF0335}"/>
    <cellStyle name="20% - Accent4 2 2 2" xfId="142" xr:uid="{CCCCBF3D-08E9-4BC6-BF83-2F20407C91D5}"/>
    <cellStyle name="20% - Accent4 2 2 2 2" xfId="164" xr:uid="{6CD4543B-DBD7-4FB1-B7C2-E9008CA01740}"/>
    <cellStyle name="20% - Accent4 2 2 2 2 2" xfId="208" xr:uid="{60E6AF11-21E9-4339-A687-5A620A98D825}"/>
    <cellStyle name="20% - Accent4 2 2 2 3" xfId="186" xr:uid="{34BA61DB-843B-40FC-A5D7-771C64A4AA68}"/>
    <cellStyle name="20% - Accent4 2 2 3" xfId="153" xr:uid="{3394B2DF-40F5-43B8-B338-534B65CC0C60}"/>
    <cellStyle name="20% - Accent4 2 2 3 2" xfId="197" xr:uid="{28E859FD-57FF-4D3F-98D7-385130E9FEA2}"/>
    <cellStyle name="20% - Accent4 2 2 4" xfId="175" xr:uid="{5964EB45-3D08-441F-9B56-650091ABBF48}"/>
    <cellStyle name="Calculated" xfId="12" xr:uid="{50922150-1BD2-40AC-9950-B54E9F8C4C89}"/>
    <cellStyle name="Comma" xfId="1" builtinId="3"/>
    <cellStyle name="Comma 10" xfId="13" xr:uid="{DD83E806-0D6D-4973-8FAF-734D2D9160F5}"/>
    <cellStyle name="Comma 10 2" xfId="143" xr:uid="{8B0A0687-8483-4D7C-97A8-439A7326FA57}"/>
    <cellStyle name="Comma 10 2 2" xfId="165" xr:uid="{5C4E79A2-A76E-4A76-83F4-499787EBCC18}"/>
    <cellStyle name="Comma 10 2 2 2" xfId="209" xr:uid="{F9A21093-ACC8-4F8A-8D68-DE6C3A4574F5}"/>
    <cellStyle name="Comma 10 2 3" xfId="187" xr:uid="{C4C0D3E5-86F4-4102-93D7-BB0C4547E758}"/>
    <cellStyle name="Comma 10 3" xfId="154" xr:uid="{10FC7E0D-055F-4BBB-9287-B59818E7CA2A}"/>
    <cellStyle name="Comma 10 3 2" xfId="198" xr:uid="{FDDDE734-D370-43C6-B573-CC847263C99B}"/>
    <cellStyle name="Comma 10 4" xfId="176" xr:uid="{72348053-033D-4E7E-8089-21703B30F36A}"/>
    <cellStyle name="Comma 11" xfId="14" xr:uid="{AA4790F2-FEB0-4DE1-BB5A-A99C447991E3}"/>
    <cellStyle name="Comma 2" xfId="15" xr:uid="{692D5BF9-D74F-4A8B-8C2F-FB6909168D9A}"/>
    <cellStyle name="Comma 2 2" xfId="16" xr:uid="{8556856E-0EC5-407E-BABC-DD76A47F9E5C}"/>
    <cellStyle name="Comma 2 2 2" xfId="144" xr:uid="{7D990593-8239-4A63-9DF0-AC28D9B9FEBE}"/>
    <cellStyle name="Comma 2 2 2 2" xfId="166" xr:uid="{BECEE099-4857-4831-8C2B-955FDAA23EAC}"/>
    <cellStyle name="Comma 2 2 2 2 2" xfId="210" xr:uid="{062EDFEC-979B-46B9-8873-769B105BB99A}"/>
    <cellStyle name="Comma 2 2 2 3" xfId="188" xr:uid="{BEC244E5-D296-413C-914C-1BA82EBDE233}"/>
    <cellStyle name="Comma 2 2 3" xfId="155" xr:uid="{0F88481F-D24C-4AD9-8753-85B5C2CBF6B4}"/>
    <cellStyle name="Comma 2 2 3 2" xfId="199" xr:uid="{E51473D8-571B-4A1D-B0F2-BFB8698C63D8}"/>
    <cellStyle name="Comma 2 2 4" xfId="177" xr:uid="{5ACAD28E-36FA-4785-BA41-5927E5200D1F}"/>
    <cellStyle name="Comma 3" xfId="17" xr:uid="{4079125E-2735-48C4-B184-AC40F63392FD}"/>
    <cellStyle name="Comma 3 2" xfId="18" xr:uid="{20F5997E-35F4-4E11-B0EA-99C075CC55F9}"/>
    <cellStyle name="Comma 3 2 2" xfId="145" xr:uid="{1EC3DE71-D2E8-43E8-8DF4-18ACFFDEF74D}"/>
    <cellStyle name="Comma 3 2 2 2" xfId="167" xr:uid="{91A3AFD0-F89E-47CC-906D-9C6A63DE1255}"/>
    <cellStyle name="Comma 3 2 2 2 2" xfId="211" xr:uid="{133EBE10-A82A-441E-B2BB-4269DB7A448B}"/>
    <cellStyle name="Comma 3 2 2 3" xfId="189" xr:uid="{BE8778C8-F59B-405D-B6CE-6DC7CE70EC6B}"/>
    <cellStyle name="Comma 3 2 3" xfId="156" xr:uid="{2704BC96-BABB-4236-A841-FE6E3ED3925D}"/>
    <cellStyle name="Comma 3 2 3 2" xfId="200" xr:uid="{9F014DD4-B7C2-49D5-8F1B-140C3B62D8E3}"/>
    <cellStyle name="Comma 3 2 4" xfId="178" xr:uid="{71949ECD-2CB6-4494-BA20-54E05F7C51D8}"/>
    <cellStyle name="Comma 4" xfId="19" xr:uid="{C20398FE-F003-4C3C-9088-BE63BAB24656}"/>
    <cellStyle name="Comma 5" xfId="20" xr:uid="{EA0BC7C5-032B-4E8D-880A-5A9E509CABAF}"/>
    <cellStyle name="Comma 6" xfId="21" xr:uid="{F41241EF-8B55-449D-B16C-1496425F5026}"/>
    <cellStyle name="Comma 7" xfId="22" xr:uid="{DC8DC351-AF02-400A-8A68-56B625B40E0B}"/>
    <cellStyle name="Comma 8" xfId="23" xr:uid="{C9E4E388-CC69-4F83-A215-B11CD997B065}"/>
    <cellStyle name="Comma 9" xfId="24" xr:uid="{E7AE6F2B-42E5-4BF0-91C7-19A1D226D577}"/>
    <cellStyle name="Currency 2" xfId="25" xr:uid="{15C2CE61-230E-4967-83CD-36748FF064EA}"/>
    <cellStyle name="Currency 3" xfId="26" xr:uid="{167D7EEB-43A4-4D0B-9F6D-9D6B2F11D474}"/>
    <cellStyle name="Currency 4" xfId="27" xr:uid="{DDA37A8E-02A3-4363-9CB1-134F595EFDBB}"/>
    <cellStyle name="Currency 5" xfId="28" xr:uid="{BF17D089-1746-43A0-8070-7D749CC2D91D}"/>
    <cellStyle name="Currency 6" xfId="29" xr:uid="{C2C4CAA3-AF8D-4FA5-958F-87FE86BB2E73}"/>
    <cellStyle name="Currency 7" xfId="30" xr:uid="{8C53E356-AA25-4DA8-A075-7885301CBAD7}"/>
    <cellStyle name="Currency 8" xfId="31" xr:uid="{AF50E3F5-E2B7-4AE8-A1DE-D13892DFACD1}"/>
    <cellStyle name="Currency 8 2" xfId="146" xr:uid="{4B9BB210-C849-453D-B0AA-54E7E1A288C5}"/>
    <cellStyle name="Currency 8 2 2" xfId="168" xr:uid="{138FE4DE-B753-42EF-88E5-F824539284EF}"/>
    <cellStyle name="Currency 8 2 2 2" xfId="212" xr:uid="{9914C354-C1C4-4584-86D7-A3587C2A06AE}"/>
    <cellStyle name="Currency 8 2 3" xfId="190" xr:uid="{496A49B3-E287-4003-9262-297C43C6D8CB}"/>
    <cellStyle name="Currency 8 3" xfId="157" xr:uid="{5DF870BE-A8B3-42F9-AF01-3622657450FE}"/>
    <cellStyle name="Currency 8 3 2" xfId="201" xr:uid="{D3507B01-E69E-4902-9CEB-4B4032EA0DDA}"/>
    <cellStyle name="Currency 8 4" xfId="179" xr:uid="{BDF1F74B-8ECC-49C1-BC8A-91D933DAFB6D}"/>
    <cellStyle name="Heading" xfId="32" xr:uid="{E7E28D77-8170-4833-BF06-C2EF7780BCD0}"/>
    <cellStyle name="Heading 2 2" xfId="33" xr:uid="{BAF2606D-69A8-42B2-B0DD-42118648F973}"/>
    <cellStyle name="Heading2" xfId="34" xr:uid="{81C6298E-03DE-4208-A16F-2BED2510DDCF}"/>
    <cellStyle name="Hyperlink 10" xfId="35" xr:uid="{3A9D803B-E39D-4D60-901C-A9ABF98BD102}"/>
    <cellStyle name="Hyperlink 10 2" xfId="36" xr:uid="{15352DE1-E53F-4FCE-A1F8-1D0FF249854A}"/>
    <cellStyle name="Hyperlink 10 3" xfId="37" xr:uid="{A06CF6F8-F3A8-4B6C-B04A-C0802C59384C}"/>
    <cellStyle name="Hyperlink 11" xfId="38" xr:uid="{7CB08626-003C-4473-9103-12766D38D2DB}"/>
    <cellStyle name="Hyperlink 11 2" xfId="39" xr:uid="{8780175A-6CF8-4B60-BD8E-A22B6F503E7F}"/>
    <cellStyle name="Hyperlink 11 3" xfId="40" xr:uid="{B0FB8D64-3162-4561-A4AC-334AAA1815FF}"/>
    <cellStyle name="Hyperlink 12" xfId="41" xr:uid="{CA7073BC-8CAA-4453-A274-519573DF3F21}"/>
    <cellStyle name="Hyperlink 12 2" xfId="42" xr:uid="{346FD6E3-60C0-4553-B672-2790230F9EC6}"/>
    <cellStyle name="Hyperlink 12 3" xfId="43" xr:uid="{47F313D0-5166-4713-96B1-5FD000492DA1}"/>
    <cellStyle name="Hyperlink 13" xfId="44" xr:uid="{4A865085-8FE0-4B73-9A60-5FC2FCA2B0E5}"/>
    <cellStyle name="Hyperlink 13 2" xfId="45" xr:uid="{21AA21A2-6C0D-41F4-9703-700B58406A54}"/>
    <cellStyle name="Hyperlink 13 3" xfId="46" xr:uid="{296E78A2-2089-40FF-A28C-1ADAE429B369}"/>
    <cellStyle name="Hyperlink 14" xfId="47" xr:uid="{FC4A5647-7E51-400E-91A8-5BA1E193FE26}"/>
    <cellStyle name="Hyperlink 14 2" xfId="48" xr:uid="{19791F1F-0058-44CA-822C-299C0A403976}"/>
    <cellStyle name="Hyperlink 14 3" xfId="49" xr:uid="{183590F2-8C1A-43AD-9975-AE39D3ABD9A5}"/>
    <cellStyle name="Hyperlink 15" xfId="50" xr:uid="{FEEFE145-4DA5-4D44-A7A7-96157FF4B1C3}"/>
    <cellStyle name="Hyperlink 15 2" xfId="51" xr:uid="{F21F1C11-48A2-4EED-BFA4-2643D224D642}"/>
    <cellStyle name="Hyperlink 15 3" xfId="52" xr:uid="{C987CB2B-EF8E-4A25-89EF-28F46B90B7CE}"/>
    <cellStyle name="Hyperlink 16" xfId="53" xr:uid="{6024397D-596F-4AAB-9823-D2F930F92AC6}"/>
    <cellStyle name="Hyperlink 16 2" xfId="54" xr:uid="{F99FFA21-38ED-4B3B-88C5-96AC5C951638}"/>
    <cellStyle name="Hyperlink 16 3" xfId="55" xr:uid="{3157B374-DD31-421D-AC16-EFE1BE99D58F}"/>
    <cellStyle name="Hyperlink 17" xfId="56" xr:uid="{A28DBB77-2DB8-4729-ACAC-B4583111BB2F}"/>
    <cellStyle name="Hyperlink 17 2" xfId="57" xr:uid="{921F912E-3EBE-4B11-8D4C-BAE9411E8A3D}"/>
    <cellStyle name="Hyperlink 17 3" xfId="58" xr:uid="{59BC7D0B-033B-472E-BFBC-4C99171D915A}"/>
    <cellStyle name="Hyperlink 18" xfId="59" xr:uid="{A9792EF5-692A-4CC5-9301-EF20616B703A}"/>
    <cellStyle name="Hyperlink 18 2" xfId="60" xr:uid="{35C0835F-A9F4-4E5F-AC4B-E6E48EBE5315}"/>
    <cellStyle name="Hyperlink 18 3" xfId="61" xr:uid="{7ED6C9C1-B9D6-4EB3-AD7B-944E42828DFE}"/>
    <cellStyle name="Hyperlink 19" xfId="62" xr:uid="{F5577ECF-DE8A-4D42-B995-F263DFFDD2FB}"/>
    <cellStyle name="Hyperlink 19 2" xfId="63" xr:uid="{E5C15EEA-398E-434D-9ED2-FC07A1E47F25}"/>
    <cellStyle name="Hyperlink 19 3" xfId="64" xr:uid="{34795F90-917E-4920-8EB7-90797DBD2CDA}"/>
    <cellStyle name="Hyperlink 2" xfId="65" xr:uid="{4530B7AF-1ECC-44F3-A3A5-C83562FFD059}"/>
    <cellStyle name="Hyperlink 2 2" xfId="66" xr:uid="{CFC28277-CBDF-4E10-BEB9-79A6B3BE29C7}"/>
    <cellStyle name="Hyperlink 2 3" xfId="67" xr:uid="{C43404AB-9AD8-4A35-A33C-9E14FE7C631C}"/>
    <cellStyle name="Hyperlink 20" xfId="68" xr:uid="{B97F1F5E-A32F-4885-89B8-8E1D00E4BF4C}"/>
    <cellStyle name="Hyperlink 20 2" xfId="69" xr:uid="{28B6845D-A225-472F-A415-4893E8C03DFC}"/>
    <cellStyle name="Hyperlink 20 3" xfId="70" xr:uid="{9529447D-32C1-4897-BA20-D052F434EF45}"/>
    <cellStyle name="Hyperlink 21" xfId="71" xr:uid="{5F5F4E02-E8BD-4ED4-8DB5-09E79C71229F}"/>
    <cellStyle name="Hyperlink 21 2" xfId="72" xr:uid="{B1471F7D-274C-4264-85B3-F742F1BBE57E}"/>
    <cellStyle name="Hyperlink 21 3" xfId="73" xr:uid="{134CF8C7-3E59-4633-8FB6-EDE9E3D0BF86}"/>
    <cellStyle name="Hyperlink 22" xfId="74" xr:uid="{74B984CC-5644-482D-B774-8476EFEC10F8}"/>
    <cellStyle name="Hyperlink 22 2" xfId="75" xr:uid="{1390EEBE-15B4-43A1-B426-7E14F67225FE}"/>
    <cellStyle name="Hyperlink 22 3" xfId="76" xr:uid="{723EEAB4-A7B4-45A3-9B6E-A2E0C79DA1F4}"/>
    <cellStyle name="Hyperlink 23" xfId="77" xr:uid="{3CC4E352-ADEF-4EA6-A547-C03BDF4FAD1B}"/>
    <cellStyle name="Hyperlink 23 2" xfId="78" xr:uid="{5FA4C88C-710C-459F-ACAD-0B2AF8EACF10}"/>
    <cellStyle name="Hyperlink 23 3" xfId="79" xr:uid="{FE6CD7CA-76AD-4B0D-8FDB-5CFAFEEC2DB8}"/>
    <cellStyle name="Hyperlink 24" xfId="80" xr:uid="{0C6D5085-77B0-4A47-A187-6AB9A4E8164B}"/>
    <cellStyle name="Hyperlink 25" xfId="81" xr:uid="{D9E52AEB-1F04-413E-B057-DA56347795BB}"/>
    <cellStyle name="Hyperlink 26" xfId="82" xr:uid="{A4FB8052-9762-4319-8DC8-144D08B76FB9}"/>
    <cellStyle name="Hyperlink 27" xfId="83" xr:uid="{1905E0A6-84CA-42F5-911A-42415F5012C7}"/>
    <cellStyle name="Hyperlink 28" xfId="84" xr:uid="{BE3DD3C0-84E5-48BA-AF8B-7FA23C47C548}"/>
    <cellStyle name="Hyperlink 29" xfId="85" xr:uid="{6728749F-4875-4700-8066-BB9AD7F4C5B7}"/>
    <cellStyle name="Hyperlink 3" xfId="86" xr:uid="{99650E72-2A50-4290-A49B-B5B04F199CF2}"/>
    <cellStyle name="Hyperlink 3 2" xfId="87" xr:uid="{22B5291E-C209-4E20-8E3F-E578B6B978CF}"/>
    <cellStyle name="Hyperlink 3 3" xfId="88" xr:uid="{DC6215DB-0DCF-4193-A5E2-275C01F02DB2}"/>
    <cellStyle name="Hyperlink 30" xfId="89" xr:uid="{6067FBB0-2813-46B1-A445-FE3D7DA6F7A9}"/>
    <cellStyle name="Hyperlink 31" xfId="90" xr:uid="{91607FDB-0F78-4937-848B-9316E5FC4200}"/>
    <cellStyle name="Hyperlink 32" xfId="91" xr:uid="{A3A5CB5D-D262-4AE9-85FA-FF99FA17CB22}"/>
    <cellStyle name="Hyperlink 33" xfId="92" xr:uid="{4CFF9EF8-E8A5-4989-B46F-02A9B94A86E2}"/>
    <cellStyle name="Hyperlink 33 2" xfId="93" xr:uid="{9D35666F-FF49-4E6B-8B5C-8C68712346A1}"/>
    <cellStyle name="Hyperlink 33 3" xfId="94" xr:uid="{96570337-47D0-4510-8097-5518A1703FC9}"/>
    <cellStyle name="Hyperlink 34" xfId="95" xr:uid="{C3FD5E51-2C44-496E-9F8D-20B458CEB575}"/>
    <cellStyle name="Hyperlink 34 2" xfId="96" xr:uid="{1C2F85E4-8B2A-44C3-905F-670C8CAB1A2C}"/>
    <cellStyle name="Hyperlink 34 3" xfId="97" xr:uid="{FE7E2338-EB65-4906-916E-673150A49C24}"/>
    <cellStyle name="Hyperlink 34 4" xfId="98" xr:uid="{F5E0E474-9685-4DFF-B10C-00A78EE26F96}"/>
    <cellStyle name="Hyperlink 34 5" xfId="99" xr:uid="{32EFE1A6-A484-4DFD-9A1C-90FFE58B6F93}"/>
    <cellStyle name="Hyperlink 4" xfId="100" xr:uid="{683F96AD-35AE-4FC0-8DC2-E26E3025ED74}"/>
    <cellStyle name="Hyperlink 4 2" xfId="101" xr:uid="{5173BAF3-7080-42EE-A63D-13955F4A7A41}"/>
    <cellStyle name="Hyperlink 4 3" xfId="102" xr:uid="{978F3BD7-87E7-49CF-8A9A-57B56BFEA8C7}"/>
    <cellStyle name="Hyperlink 5" xfId="103" xr:uid="{D2991C95-DB4E-4F95-871D-0A5E2401AD67}"/>
    <cellStyle name="Hyperlink 5 2" xfId="104" xr:uid="{0D1CF2FF-B137-4F59-918D-627E0B6C21D8}"/>
    <cellStyle name="Hyperlink 5 3" xfId="105" xr:uid="{EC98771C-E3A9-4BB0-9971-626AA9F27C07}"/>
    <cellStyle name="Hyperlink 6" xfId="106" xr:uid="{2D40D4B0-38FB-4E65-AA27-931D09571B61}"/>
    <cellStyle name="Hyperlink 6 2" xfId="107" xr:uid="{1DB63C77-441D-448D-90A2-3414A93A72D3}"/>
    <cellStyle name="Hyperlink 6 3" xfId="108" xr:uid="{C9E6CB6E-51CE-4FFF-B8FC-BD7C6EC46B71}"/>
    <cellStyle name="Hyperlink 7" xfId="109" xr:uid="{774365B4-02E5-4D4A-9EE5-4E15A3F81B67}"/>
    <cellStyle name="Hyperlink 7 2" xfId="110" xr:uid="{F9733CEF-4504-498F-ADC3-9BA718615495}"/>
    <cellStyle name="Hyperlink 7 3" xfId="111" xr:uid="{AFDF00C9-E154-4378-84D6-B2536C96CF59}"/>
    <cellStyle name="Hyperlink 8" xfId="112" xr:uid="{2D6FB2B3-354E-42F6-B0F7-9D3DCA02F04A}"/>
    <cellStyle name="Hyperlink 8 2" xfId="113" xr:uid="{35127205-35C7-4DBA-8F68-CF75867524B9}"/>
    <cellStyle name="Hyperlink 8 3" xfId="114" xr:uid="{6238DB86-C3F6-482A-A5C1-AE6E454B4D07}"/>
    <cellStyle name="Hyperlink 9" xfId="115" xr:uid="{533E1103-E71A-44E5-8E18-BB7EBD0614B9}"/>
    <cellStyle name="Hyperlink 9 2" xfId="116" xr:uid="{2C407B42-8B97-4B49-A495-5C3AB91A2751}"/>
    <cellStyle name="Hyperlink 9 3" xfId="117" xr:uid="{D6486D6E-6C02-41DF-8642-42608AC908A8}"/>
    <cellStyle name="Input 2" xfId="118" xr:uid="{4542BC4B-4A78-4978-9C04-8AC2B635EDB7}"/>
    <cellStyle name="Linked" xfId="119" xr:uid="{259ADE70-48D1-4444-BF47-85674FC93CD1}"/>
    <cellStyle name="Normal" xfId="0" builtinId="0"/>
    <cellStyle name="Normal 2" xfId="3" xr:uid="{D6E92748-18F7-47D3-AF9E-E58D398855E9}"/>
    <cellStyle name="Normal 2 2" xfId="2" xr:uid="{02DF42A7-7102-47E7-857C-89636C816F4C}"/>
    <cellStyle name="Normal 2 2 2" xfId="120" xr:uid="{59C01D71-A5CE-4AEC-849E-28D8E2895975}"/>
    <cellStyle name="Normal 2 2 2 2" xfId="147" xr:uid="{356ECC11-8853-47E8-9163-0D926E3EF2A7}"/>
    <cellStyle name="Normal 2 2 2 2 2" xfId="169" xr:uid="{74AF8D78-804F-474C-BE5B-D07F37E480F3}"/>
    <cellStyle name="Normal 2 2 2 2 2 2" xfId="213" xr:uid="{66169C5E-7731-4375-92A0-0190442F2D9A}"/>
    <cellStyle name="Normal 2 2 2 2 3" xfId="191" xr:uid="{CCBBF35B-67D7-4745-B604-5C747EF59742}"/>
    <cellStyle name="Normal 2 2 2 3" xfId="158" xr:uid="{448B5CFE-7682-40D8-9863-911BC97DFA05}"/>
    <cellStyle name="Normal 2 2 2 3 2" xfId="202" xr:uid="{985AA227-527A-4647-B52E-CD4A121E72EB}"/>
    <cellStyle name="Normal 2 2 2 4" xfId="180" xr:uid="{4E9B983D-A325-4811-B6B1-421A866CFD6C}"/>
    <cellStyle name="Normal 3" xfId="121" xr:uid="{DBFFC972-8C80-4973-B052-F3A1114469B8}"/>
    <cellStyle name="Normal 4" xfId="122" xr:uid="{AEC3C69A-EB7E-47C5-9A0C-40EB81A7786A}"/>
    <cellStyle name="Normal 5" xfId="123" xr:uid="{7E289C2E-0F46-4354-9DDF-B9C7CBA9D309}"/>
    <cellStyle name="Normal 6" xfId="124" xr:uid="{FDBADDBD-678E-41D5-8165-EDE9474F31CA}"/>
    <cellStyle name="Normal 6 2" xfId="148" xr:uid="{90332D6E-223D-4C50-9357-88FA20026019}"/>
    <cellStyle name="Normal 6 2 2" xfId="170" xr:uid="{D38733EB-7B33-40F6-B63E-E05A2B3C59EE}"/>
    <cellStyle name="Normal 6 2 2 2" xfId="214" xr:uid="{A737DE15-A7DB-4B6A-B4FB-EFFAAD195E6D}"/>
    <cellStyle name="Normal 6 2 3" xfId="192" xr:uid="{4174E4A5-A990-4FD4-9E86-E34490607170}"/>
    <cellStyle name="Normal 6 3" xfId="159" xr:uid="{CC9D2885-2F7F-4851-8C80-5F8C8E26EF9E}"/>
    <cellStyle name="Normal 6 3 2" xfId="203" xr:uid="{2851A0A6-7BB7-423E-8503-FB030F0E1D5C}"/>
    <cellStyle name="Normal 6 4" xfId="181" xr:uid="{D57ED95A-D865-4652-9FAB-29E5DF3178D2}"/>
    <cellStyle name="Normal 7" xfId="125" xr:uid="{EB7E9B49-2F4D-481F-A5F1-7EB2B97B9FA3}"/>
    <cellStyle name="Normal 8" xfId="126" xr:uid="{D6EDA4BB-C33E-4AB7-AF4E-68DEB4032A52}"/>
    <cellStyle name="Normal Small" xfId="127" xr:uid="{0B101DC9-3E0C-483D-A86F-88937B9C57E8}"/>
    <cellStyle name="Percent 2" xfId="128" xr:uid="{BB639468-AF43-4635-931E-491159393187}"/>
    <cellStyle name="Percent 2 2" xfId="129" xr:uid="{4AA6CF17-DAD8-45CA-A985-10917225AAB1}"/>
    <cellStyle name="Percent 2 3" xfId="130" xr:uid="{25B8EE0D-F8F7-4561-B346-77A53412ACD2}"/>
    <cellStyle name="Percent 2 4" xfId="149" xr:uid="{5B584847-9104-4B09-ABF5-D0B0B87B6B68}"/>
    <cellStyle name="Percent 2 4 2" xfId="171" xr:uid="{5EBF17B1-4874-43EC-9080-D0BC8CA218B3}"/>
    <cellStyle name="Percent 2 4 2 2" xfId="215" xr:uid="{3E239D25-9028-4F33-B46F-26B3ECFB24F0}"/>
    <cellStyle name="Percent 2 4 3" xfId="193" xr:uid="{9C2B83E8-1C27-418F-8CD8-FF7C1E5759DE}"/>
    <cellStyle name="Percent 2 5" xfId="160" xr:uid="{8D47C827-9BD8-40E3-98DE-37145B5EA6C0}"/>
    <cellStyle name="Percent 2 5 2" xfId="204" xr:uid="{CF5F7015-ECAE-476E-BBAE-02A5EB4D46C9}"/>
    <cellStyle name="Percent 2 6" xfId="182" xr:uid="{B43A3780-9FA7-417B-8DBF-4874BBD3531C}"/>
    <cellStyle name="Percent 3" xfId="131" xr:uid="{DD546DD9-EE2F-420D-A6C9-A50F792103F1}"/>
    <cellStyle name="Percent 3 2" xfId="132" xr:uid="{6C69FCB3-E260-4061-AA42-10BC84CE65D7}"/>
    <cellStyle name="Results" xfId="133" xr:uid="{7698D5B2-0626-4366-BB94-2F7E7CBBE7A8}"/>
    <cellStyle name="Title 2" xfId="134" xr:uid="{9F096221-D810-478D-B1CA-BC168D994D65}"/>
    <cellStyle name="Title 3" xfId="135" xr:uid="{D44BE053-6A68-44A8-B807-F31B68706F96}"/>
    <cellStyle name="Unit" xfId="136" xr:uid="{6366BC2B-2F7C-4422-A4C6-2727493F89FE}"/>
    <cellStyle name="UserInput" xfId="137" xr:uid="{5D87325E-710E-489B-8697-53538EFA4580}"/>
    <cellStyle name="Variable" xfId="138" xr:uid="{B976396D-D62D-4CC8-9A87-2CAB8284381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FA33DF0-1FEA-4BB5-AFB7-AAAB8AB233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LCOE of #1 and #2</a:t>
            </a:r>
            <a:r>
              <a:rPr lang="en-ID" baseline="0"/>
              <a:t> depending on</a:t>
            </a:r>
          </a:p>
          <a:p>
            <a:pPr>
              <a:defRPr/>
            </a:pPr>
            <a:r>
              <a:rPr lang="en-ID" baseline="0"/>
              <a:t>Natural Gas Prices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LCOE_Comparison!$M$27</c:f>
              <c:strCache>
                <c:ptCount val="1"/>
                <c:pt idx="0">
                  <c:v>LCOE Bundle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LCOE_Comparison!$L$28:$L$38</c:f>
              <c:numCache>
                <c:formatCode>0.00</c:formatCode>
                <c:ptCount val="11"/>
                <c:pt idx="0">
                  <c:v>4.5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5.0999999999999996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</c:numCache>
            </c:numRef>
          </c:cat>
          <c:val>
            <c:numRef>
              <c:f>LCOE_Comparison!$M$28:$M$38</c:f>
              <c:numCache>
                <c:formatCode>0.00</c:formatCode>
                <c:ptCount val="11"/>
                <c:pt idx="0">
                  <c:v>44.6</c:v>
                </c:pt>
                <c:pt idx="1">
                  <c:v>45.04</c:v>
                </c:pt>
                <c:pt idx="2">
                  <c:v>45.47</c:v>
                </c:pt>
                <c:pt idx="3">
                  <c:v>45.91</c:v>
                </c:pt>
                <c:pt idx="4">
                  <c:v>46.35</c:v>
                </c:pt>
                <c:pt idx="5">
                  <c:v>46.78</c:v>
                </c:pt>
                <c:pt idx="6">
                  <c:v>47.22</c:v>
                </c:pt>
                <c:pt idx="7">
                  <c:v>47.65</c:v>
                </c:pt>
                <c:pt idx="8">
                  <c:v>48.09</c:v>
                </c:pt>
                <c:pt idx="9">
                  <c:v>48.53</c:v>
                </c:pt>
                <c:pt idx="10">
                  <c:v>48.96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A-4DE4-A555-BF65768D6EF7}"/>
            </c:ext>
          </c:extLst>
        </c:ser>
        <c:ser>
          <c:idx val="2"/>
          <c:order val="1"/>
          <c:tx>
            <c:strRef>
              <c:f>LCOE_Comparison!$N$27</c:f>
              <c:strCache>
                <c:ptCount val="1"/>
                <c:pt idx="0">
                  <c:v>LCOE Bundle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LCOE_Comparison!$L$28:$L$38</c:f>
              <c:numCache>
                <c:formatCode>0.00</c:formatCode>
                <c:ptCount val="11"/>
                <c:pt idx="0">
                  <c:v>4.5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5.0999999999999996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5.5</c:v>
                </c:pt>
              </c:numCache>
            </c:numRef>
          </c:cat>
          <c:val>
            <c:numRef>
              <c:f>LCOE_Comparison!$N$28:$N$38</c:f>
              <c:numCache>
                <c:formatCode>0.00</c:formatCode>
                <c:ptCount val="11"/>
                <c:pt idx="0">
                  <c:v>47.51</c:v>
                </c:pt>
                <c:pt idx="1">
                  <c:v>47.51</c:v>
                </c:pt>
                <c:pt idx="2">
                  <c:v>47.51</c:v>
                </c:pt>
                <c:pt idx="3">
                  <c:v>47.51</c:v>
                </c:pt>
                <c:pt idx="4">
                  <c:v>47.51</c:v>
                </c:pt>
                <c:pt idx="5">
                  <c:v>47.51</c:v>
                </c:pt>
                <c:pt idx="6">
                  <c:v>47.51</c:v>
                </c:pt>
                <c:pt idx="7">
                  <c:v>47.51</c:v>
                </c:pt>
                <c:pt idx="8">
                  <c:v>47.51</c:v>
                </c:pt>
                <c:pt idx="9">
                  <c:v>47.51</c:v>
                </c:pt>
                <c:pt idx="10">
                  <c:v>47.51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A-4DE4-A555-BF65768D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19104"/>
        <c:axId val="171717856"/>
      </c:lineChart>
      <c:catAx>
        <c:axId val="1717191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7856"/>
        <c:crosses val="autoZero"/>
        <c:auto val="1"/>
        <c:lblAlgn val="ctr"/>
        <c:lblOffset val="100"/>
        <c:noMultiLvlLbl val="0"/>
      </c:catAx>
      <c:valAx>
        <c:axId val="1717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LCOE #1 and #2 depending</a:t>
            </a:r>
            <a:r>
              <a:rPr lang="en-ID" baseline="0"/>
              <a:t> on CO2 Tax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LCOE_Comparison!$M$41</c:f>
              <c:strCache>
                <c:ptCount val="1"/>
                <c:pt idx="0">
                  <c:v>LCOE Bundle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LCOE_Comparison!$L$42:$L$52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LCOE_Comparison!$M$42:$M$52</c:f>
              <c:numCache>
                <c:formatCode>0.00</c:formatCode>
                <c:ptCount val="11"/>
                <c:pt idx="0">
                  <c:v>48.96</c:v>
                </c:pt>
                <c:pt idx="1">
                  <c:v>55.6</c:v>
                </c:pt>
                <c:pt idx="2">
                  <c:v>62.25</c:v>
                </c:pt>
                <c:pt idx="3">
                  <c:v>68.89</c:v>
                </c:pt>
                <c:pt idx="4">
                  <c:v>75.53</c:v>
                </c:pt>
                <c:pt idx="5">
                  <c:v>82.17</c:v>
                </c:pt>
                <c:pt idx="6">
                  <c:v>88.81</c:v>
                </c:pt>
                <c:pt idx="7">
                  <c:v>95.45</c:v>
                </c:pt>
                <c:pt idx="8">
                  <c:v>102.1</c:v>
                </c:pt>
                <c:pt idx="9">
                  <c:v>108.74</c:v>
                </c:pt>
                <c:pt idx="10">
                  <c:v>115.38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A-44E9-831C-94B1710C923E}"/>
            </c:ext>
          </c:extLst>
        </c:ser>
        <c:ser>
          <c:idx val="2"/>
          <c:order val="1"/>
          <c:tx>
            <c:strRef>
              <c:f>LCOE_Comparison!$N$41</c:f>
              <c:strCache>
                <c:ptCount val="1"/>
                <c:pt idx="0">
                  <c:v>LCOE Bundle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LCOE_Comparison!$L$42:$L$52</c:f>
              <c:numCache>
                <c:formatCode>0.00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LCOE_Comparison!$N$42:$N$52</c:f>
              <c:numCache>
                <c:formatCode>General</c:formatCode>
                <c:ptCount val="11"/>
                <c:pt idx="0">
                  <c:v>47.51</c:v>
                </c:pt>
                <c:pt idx="1">
                  <c:v>56</c:v>
                </c:pt>
                <c:pt idx="2">
                  <c:v>64.489999999999995</c:v>
                </c:pt>
                <c:pt idx="3">
                  <c:v>72.98</c:v>
                </c:pt>
                <c:pt idx="4">
                  <c:v>81.47</c:v>
                </c:pt>
                <c:pt idx="5">
                  <c:v>89.96</c:v>
                </c:pt>
                <c:pt idx="6">
                  <c:v>98.46</c:v>
                </c:pt>
                <c:pt idx="7">
                  <c:v>106.95</c:v>
                </c:pt>
                <c:pt idx="8">
                  <c:v>115.44</c:v>
                </c:pt>
                <c:pt idx="9">
                  <c:v>123.93</c:v>
                </c:pt>
                <c:pt idx="10">
                  <c:v>132.41999999999999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A-44E9-831C-94B1710C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48352"/>
        <c:axId val="167646688"/>
      </c:lineChart>
      <c:catAx>
        <c:axId val="167648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6688"/>
        <c:crosses val="autoZero"/>
        <c:auto val="1"/>
        <c:lblAlgn val="ctr"/>
        <c:lblOffset val="100"/>
        <c:noMultiLvlLbl val="0"/>
      </c:catAx>
      <c:valAx>
        <c:axId val="1676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4" fmlaLink="$E$7" max="250" min="132" page="10" val="200"/>
</file>

<file path=xl/ctrlProps/ctrlProp2.xml><?xml version="1.0" encoding="utf-8"?>
<formControlPr xmlns="http://schemas.microsoft.com/office/spreadsheetml/2009/9/main" objectType="Spin" dx="24" fmlaLink="$E$8" max="600" min="100" page="10" val="550"/>
</file>

<file path=xl/ctrlProps/ctrlProp3.xml><?xml version="1.0" encoding="utf-8"?>
<formControlPr xmlns="http://schemas.microsoft.com/office/spreadsheetml/2009/9/main" objectType="Spin" dx="24" fmlaLink="$E$9" max="100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8313</xdr:colOff>
          <xdr:row>6</xdr:row>
          <xdr:rowOff>8313</xdr:rowOff>
        </xdr:from>
        <xdr:to>
          <xdr:col>3</xdr:col>
          <xdr:colOff>931025</xdr:colOff>
          <xdr:row>6</xdr:row>
          <xdr:rowOff>182880</xdr:rowOff>
        </xdr:to>
        <xdr:sp macro="" textlink="">
          <xdr:nvSpPr>
            <xdr:cNvPr id="15361" name="Spinner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6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8313</xdr:colOff>
          <xdr:row>7</xdr:row>
          <xdr:rowOff>8313</xdr:rowOff>
        </xdr:from>
        <xdr:to>
          <xdr:col>3</xdr:col>
          <xdr:colOff>931025</xdr:colOff>
          <xdr:row>7</xdr:row>
          <xdr:rowOff>182880</xdr:rowOff>
        </xdr:to>
        <xdr:sp macro="" textlink="">
          <xdr:nvSpPr>
            <xdr:cNvPr id="15362" name="Spinner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6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8313</xdr:colOff>
          <xdr:row>8</xdr:row>
          <xdr:rowOff>0</xdr:rowOff>
        </xdr:from>
        <xdr:to>
          <xdr:col>3</xdr:col>
          <xdr:colOff>931025</xdr:colOff>
          <xdr:row>8</xdr:row>
          <xdr:rowOff>182880</xdr:rowOff>
        </xdr:to>
        <xdr:sp macro="" textlink="">
          <xdr:nvSpPr>
            <xdr:cNvPr id="15363" name="Spinner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6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399061</xdr:colOff>
      <xdr:row>25</xdr:row>
      <xdr:rowOff>30512</xdr:rowOff>
    </xdr:from>
    <xdr:to>
      <xdr:col>21</xdr:col>
      <xdr:colOff>315934</xdr:colOff>
      <xdr:row>39</xdr:row>
      <xdr:rowOff>18637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404458</xdr:colOff>
      <xdr:row>40</xdr:row>
      <xdr:rowOff>57631</xdr:rowOff>
    </xdr:from>
    <xdr:to>
      <xdr:col>21</xdr:col>
      <xdr:colOff>76840</xdr:colOff>
      <xdr:row>54</xdr:row>
      <xdr:rowOff>140759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508543</xdr:colOff>
      <xdr:row>6</xdr:row>
      <xdr:rowOff>29339</xdr:rowOff>
    </xdr:from>
    <xdr:to>
      <xdr:col>8</xdr:col>
      <xdr:colOff>688489</xdr:colOff>
      <xdr:row>8</xdr:row>
      <xdr:rowOff>34788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979" y="1202900"/>
          <a:ext cx="5685905" cy="396636"/>
        </a:xfrm>
        <a:prstGeom prst="rect">
          <a:avLst/>
        </a:prstGeom>
        <a:noFill/>
        <a:ln w="12700"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97796</xdr:colOff>
      <xdr:row>46</xdr:row>
      <xdr:rowOff>9777</xdr:rowOff>
    </xdr:from>
    <xdr:to>
      <xdr:col>5</xdr:col>
      <xdr:colOff>297301</xdr:colOff>
      <xdr:row>48</xdr:row>
      <xdr:rowOff>26403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614" y="9202676"/>
          <a:ext cx="5685905" cy="407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FE90-3BF3-43E2-A734-F6B0B97AC6F6}">
  <sheetPr codeName="Sheet2"/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3EFD-F8F9-410B-8D3C-ECB9844A34C3}">
  <sheetPr codeName="Sheet3"/>
  <dimension ref="B2:C7"/>
  <sheetViews>
    <sheetView workbookViewId="0">
      <selection activeCell="D9" sqref="D9"/>
    </sheetView>
  </sheetViews>
  <sheetFormatPr defaultRowHeight="15"/>
  <cols>
    <col min="2" max="2" width="18.7109375" customWidth="1"/>
  </cols>
  <sheetData>
    <row r="2" spans="2:3" ht="23.45" customHeight="1">
      <c r="B2" s="68" t="s">
        <v>0</v>
      </c>
      <c r="C2" s="68"/>
    </row>
    <row r="3" spans="2:3">
      <c r="B3" s="68"/>
      <c r="C3" s="68"/>
    </row>
    <row r="5" spans="2:3">
      <c r="B5" s="2" t="s">
        <v>1</v>
      </c>
      <c r="C5" s="2">
        <v>24</v>
      </c>
    </row>
    <row r="6" spans="2:3">
      <c r="B6" s="2" t="s">
        <v>2</v>
      </c>
      <c r="C6" s="2">
        <v>8760</v>
      </c>
    </row>
    <row r="7" spans="2:3">
      <c r="B7" s="2" t="s">
        <v>3</v>
      </c>
      <c r="C7" s="2">
        <v>365</v>
      </c>
    </row>
  </sheetData>
  <mergeCells count="1"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6A40-DDF4-413F-8743-5F948B31F006}">
  <sheetPr codeName="Sheet4"/>
  <dimension ref="B2:D12"/>
  <sheetViews>
    <sheetView workbookViewId="0">
      <selection activeCell="C15" sqref="C15"/>
    </sheetView>
  </sheetViews>
  <sheetFormatPr defaultRowHeight="15"/>
  <cols>
    <col min="4" max="4" width="10.7109375" customWidth="1"/>
  </cols>
  <sheetData>
    <row r="2" spans="2:4" ht="23.45" customHeight="1">
      <c r="B2" s="68" t="s">
        <v>4</v>
      </c>
      <c r="C2" s="68"/>
      <c r="D2" s="68"/>
    </row>
    <row r="3" spans="2:4">
      <c r="B3" s="68"/>
      <c r="C3" s="68"/>
      <c r="D3" s="68"/>
    </row>
    <row r="5" spans="2:4">
      <c r="B5" s="13" t="s">
        <v>5</v>
      </c>
      <c r="C5" s="13" t="s">
        <v>6</v>
      </c>
      <c r="D5" s="13" t="s">
        <v>7</v>
      </c>
    </row>
    <row r="6" spans="2:4">
      <c r="B6" s="2" t="s">
        <v>8</v>
      </c>
      <c r="C6" s="2" t="s">
        <v>9</v>
      </c>
      <c r="D6" s="14">
        <v>9.9999999999999995E-7</v>
      </c>
    </row>
    <row r="7" spans="2:4">
      <c r="B7" s="2" t="s">
        <v>10</v>
      </c>
      <c r="C7" s="2" t="s">
        <v>11</v>
      </c>
      <c r="D7" s="14">
        <f>1/1000</f>
        <v>1E-3</v>
      </c>
    </row>
    <row r="8" spans="2:4">
      <c r="B8" s="2" t="s">
        <v>11</v>
      </c>
      <c r="C8" s="2" t="s">
        <v>10</v>
      </c>
      <c r="D8" s="14">
        <v>1000</v>
      </c>
    </row>
    <row r="9" spans="2:4">
      <c r="B9" s="2" t="s">
        <v>12</v>
      </c>
      <c r="C9" s="2" t="s">
        <v>13</v>
      </c>
      <c r="D9" s="14">
        <f>1/1000000</f>
        <v>9.9999999999999995E-7</v>
      </c>
    </row>
    <row r="10" spans="2:4">
      <c r="B10" s="2" t="s">
        <v>13</v>
      </c>
      <c r="C10" s="2" t="s">
        <v>12</v>
      </c>
      <c r="D10" s="14">
        <v>1000000</v>
      </c>
    </row>
    <row r="11" spans="2:4">
      <c r="B11" s="2" t="s">
        <v>14</v>
      </c>
      <c r="C11" s="2" t="s">
        <v>15</v>
      </c>
      <c r="D11" s="14">
        <v>0.90718500000000002</v>
      </c>
    </row>
    <row r="12" spans="2:4">
      <c r="B12" s="11" t="s">
        <v>16</v>
      </c>
      <c r="C12" s="11" t="s">
        <v>14</v>
      </c>
    </row>
  </sheetData>
  <mergeCells count="1">
    <mergeCell ref="B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4DDD-3A11-4B0E-8F69-7FE472FC6D6A}">
  <sheetPr codeName="Sheet6"/>
  <dimension ref="B1:N43"/>
  <sheetViews>
    <sheetView topLeftCell="A25" zoomScale="85" zoomScaleNormal="85" workbookViewId="0">
      <selection activeCell="F32" sqref="F32"/>
    </sheetView>
  </sheetViews>
  <sheetFormatPr defaultRowHeight="15"/>
  <cols>
    <col min="2" max="2" width="17" customWidth="1"/>
    <col min="3" max="3" width="55.42578125" customWidth="1"/>
    <col min="4" max="6" width="13.7109375" bestFit="1" customWidth="1"/>
  </cols>
  <sheetData>
    <row r="1" spans="2:14" ht="14.45" customHeight="1" thickBot="1"/>
    <row r="2" spans="2:14" ht="14.45" customHeight="1">
      <c r="B2" s="73" t="s">
        <v>17</v>
      </c>
      <c r="C2" s="74"/>
      <c r="D2" s="74"/>
      <c r="E2" s="74"/>
      <c r="F2" s="75"/>
      <c r="G2" s="6"/>
      <c r="H2" s="6"/>
      <c r="I2" s="6"/>
      <c r="J2" s="6"/>
      <c r="K2" s="6"/>
      <c r="L2" s="6"/>
      <c r="M2" s="6"/>
      <c r="N2" s="6"/>
    </row>
    <row r="3" spans="2:14" ht="14.45" customHeight="1">
      <c r="B3" s="76"/>
      <c r="C3" s="77"/>
      <c r="D3" s="77"/>
      <c r="E3" s="77"/>
      <c r="F3" s="78"/>
      <c r="G3" s="6"/>
      <c r="H3" s="6"/>
      <c r="I3" s="6"/>
      <c r="J3" s="6"/>
      <c r="K3" s="6"/>
      <c r="L3" s="6"/>
      <c r="M3" s="6"/>
      <c r="N3" s="6"/>
    </row>
    <row r="4" spans="2:14" ht="14.45" customHeight="1" thickBot="1">
      <c r="B4" s="79"/>
      <c r="C4" s="80"/>
      <c r="D4" s="80"/>
      <c r="E4" s="80"/>
      <c r="F4" s="81"/>
      <c r="G4" s="6"/>
      <c r="H4" s="6"/>
      <c r="I4" s="6"/>
      <c r="J4" s="6"/>
      <c r="K4" s="6"/>
      <c r="L4" s="6"/>
      <c r="M4" s="6"/>
      <c r="N4" s="6"/>
    </row>
    <row r="5" spans="2:14" ht="15.75" thickBot="1">
      <c r="B5" s="17"/>
      <c r="C5" s="17"/>
      <c r="D5" s="17"/>
      <c r="E5" s="17"/>
      <c r="F5" s="17"/>
    </row>
    <row r="6" spans="2:14" ht="15.75" thickBot="1">
      <c r="B6" s="87" t="s">
        <v>18</v>
      </c>
      <c r="C6" s="88"/>
      <c r="D6" s="17"/>
      <c r="E6" s="17"/>
      <c r="F6" s="17"/>
    </row>
    <row r="7" spans="2:14">
      <c r="B7" s="18">
        <v>1</v>
      </c>
      <c r="C7" s="19" t="s">
        <v>19</v>
      </c>
      <c r="D7" s="17"/>
      <c r="E7" s="17"/>
      <c r="F7" s="17"/>
    </row>
    <row r="8" spans="2:14">
      <c r="B8" s="20">
        <v>2</v>
      </c>
      <c r="C8" s="21" t="s">
        <v>20</v>
      </c>
      <c r="D8" s="17"/>
      <c r="E8" s="17"/>
      <c r="F8" s="17"/>
    </row>
    <row r="9" spans="2:14">
      <c r="B9" s="20">
        <v>3</v>
      </c>
      <c r="C9" s="21" t="s">
        <v>21</v>
      </c>
      <c r="D9" s="17"/>
      <c r="E9" s="17"/>
      <c r="F9" s="17"/>
    </row>
    <row r="10" spans="2:14" ht="15.75" thickBot="1">
      <c r="B10" s="22">
        <v>4</v>
      </c>
      <c r="C10" s="23" t="s">
        <v>22</v>
      </c>
      <c r="D10" s="17"/>
      <c r="E10" s="17"/>
      <c r="F10" s="17"/>
    </row>
    <row r="11" spans="2:14" ht="15.75" thickBot="1">
      <c r="B11" s="17"/>
      <c r="C11" s="17"/>
      <c r="D11" s="17"/>
      <c r="E11" s="17"/>
      <c r="F11" s="17"/>
    </row>
    <row r="12" spans="2:14" ht="18.399999999999999">
      <c r="B12" s="24" t="s">
        <v>23</v>
      </c>
      <c r="C12" s="25" t="s">
        <v>24</v>
      </c>
      <c r="D12" s="25" t="s">
        <v>25</v>
      </c>
      <c r="E12" s="25" t="s">
        <v>26</v>
      </c>
      <c r="F12" s="26" t="s">
        <v>27</v>
      </c>
    </row>
    <row r="13" spans="2:14">
      <c r="B13" s="20"/>
      <c r="C13" s="27" t="s">
        <v>28</v>
      </c>
      <c r="D13" s="28">
        <v>525</v>
      </c>
      <c r="E13" s="28">
        <v>525</v>
      </c>
      <c r="F13" s="29">
        <v>527.20000000000005</v>
      </c>
    </row>
    <row r="14" spans="2:14">
      <c r="B14" s="20"/>
      <c r="C14" s="27" t="s">
        <v>29</v>
      </c>
      <c r="D14" s="28">
        <v>491.7</v>
      </c>
      <c r="E14" s="28">
        <v>491.7</v>
      </c>
      <c r="F14" s="29">
        <v>493.4</v>
      </c>
    </row>
    <row r="15" spans="2:14">
      <c r="B15" s="20"/>
      <c r="C15" s="27" t="s">
        <v>30</v>
      </c>
      <c r="D15" s="28">
        <v>0.55059999999999998</v>
      </c>
      <c r="E15" s="28">
        <v>0.61050000000000004</v>
      </c>
      <c r="F15" s="29">
        <v>0.63970000000000005</v>
      </c>
    </row>
    <row r="16" spans="2:14">
      <c r="B16" s="30">
        <v>1</v>
      </c>
      <c r="C16" s="31" t="s">
        <v>19</v>
      </c>
      <c r="D16" s="32">
        <f>D27/(D14*Hours_in_a_year)</f>
        <v>0.58784614555966952</v>
      </c>
      <c r="E16" s="32">
        <f>E27/(E14*Hours_in_a_year)</f>
        <v>0.65187338123349892</v>
      </c>
      <c r="F16" s="33">
        <f>F27/(F14*Hours_in_a_year)</f>
        <v>0.68348131407640211</v>
      </c>
    </row>
    <row r="17" spans="2:6">
      <c r="B17" s="20"/>
      <c r="C17" s="27" t="s">
        <v>31</v>
      </c>
      <c r="D17" s="27">
        <v>1.2470000000000001</v>
      </c>
      <c r="E17" s="27">
        <v>1.2470000000000001</v>
      </c>
      <c r="F17" s="34">
        <v>1.2726</v>
      </c>
    </row>
    <row r="18" spans="2:6">
      <c r="B18" s="20"/>
      <c r="C18" s="27" t="s">
        <v>32</v>
      </c>
      <c r="D18" s="35">
        <v>10060</v>
      </c>
      <c r="E18" s="35">
        <v>10060</v>
      </c>
      <c r="F18" s="36">
        <v>10350</v>
      </c>
    </row>
    <row r="19" spans="2:6" ht="15.75" thickBot="1">
      <c r="B19" s="22"/>
      <c r="C19" s="37" t="s">
        <v>33</v>
      </c>
      <c r="D19" s="37">
        <v>1.1120000000000001</v>
      </c>
      <c r="E19" s="37">
        <v>1.1120000000000001</v>
      </c>
      <c r="F19" s="38">
        <v>1.1439999999999999</v>
      </c>
    </row>
    <row r="20" spans="2:6" ht="15.75" thickBot="1">
      <c r="B20" s="17"/>
      <c r="C20" s="17"/>
      <c r="D20" s="17"/>
      <c r="E20" s="17"/>
      <c r="F20" s="17"/>
    </row>
    <row r="21" spans="2:6" ht="18.399999999999999">
      <c r="B21" s="24" t="s">
        <v>23</v>
      </c>
      <c r="C21" s="25" t="s">
        <v>34</v>
      </c>
      <c r="D21" s="89" t="s">
        <v>35</v>
      </c>
      <c r="E21" s="90"/>
      <c r="F21" s="91"/>
    </row>
    <row r="22" spans="2:6">
      <c r="B22" s="39"/>
      <c r="C22" s="27" t="s">
        <v>36</v>
      </c>
      <c r="D22" s="69">
        <v>2</v>
      </c>
      <c r="E22" s="69"/>
      <c r="F22" s="70"/>
    </row>
    <row r="23" spans="2:6">
      <c r="B23" s="39"/>
      <c r="C23" s="27" t="s">
        <v>37</v>
      </c>
      <c r="D23" s="69">
        <v>0</v>
      </c>
      <c r="E23" s="69"/>
      <c r="F23" s="70"/>
    </row>
    <row r="24" spans="2:6" ht="15.75" thickBot="1">
      <c r="B24" s="40"/>
      <c r="C24" s="37" t="s">
        <v>38</v>
      </c>
      <c r="D24" s="71">
        <v>10</v>
      </c>
      <c r="E24" s="71"/>
      <c r="F24" s="72"/>
    </row>
    <row r="25" spans="2:6" ht="15.75" thickBot="1">
      <c r="B25" s="17"/>
      <c r="C25" s="17"/>
      <c r="D25" s="41"/>
      <c r="E25" s="41"/>
      <c r="F25" s="41"/>
    </row>
    <row r="26" spans="2:6" ht="18.399999999999999">
      <c r="B26" s="24" t="s">
        <v>23</v>
      </c>
      <c r="C26" s="25" t="s">
        <v>39</v>
      </c>
      <c r="D26" s="25" t="s">
        <v>25</v>
      </c>
      <c r="E26" s="25" t="s">
        <v>26</v>
      </c>
      <c r="F26" s="26" t="s">
        <v>27</v>
      </c>
    </row>
    <row r="27" spans="2:6">
      <c r="B27" s="20"/>
      <c r="C27" s="27" t="s">
        <v>40</v>
      </c>
      <c r="D27" s="35">
        <v>2532025</v>
      </c>
      <c r="E27" s="35">
        <v>2807809</v>
      </c>
      <c r="F27" s="36">
        <v>2954132</v>
      </c>
    </row>
    <row r="28" spans="2:6">
      <c r="B28" s="30">
        <v>2</v>
      </c>
      <c r="C28" s="31" t="s">
        <v>20</v>
      </c>
      <c r="D28" s="32">
        <f>D22*D18*From_Btu_to_MBtu*From_MWh_to_kWh</f>
        <v>20.119999999999997</v>
      </c>
      <c r="E28" s="32">
        <f>D22*E18*From_Btu_to_MBtu*From_MWh_to_kWh</f>
        <v>20.119999999999997</v>
      </c>
      <c r="F28" s="33">
        <f>D22*F18*From_Btu_to_MBtu*From_MWh_to_kWh</f>
        <v>20.7</v>
      </c>
    </row>
    <row r="29" spans="2:6">
      <c r="B29" s="20"/>
      <c r="C29" s="27" t="s">
        <v>41</v>
      </c>
      <c r="D29" s="42">
        <f>D19*D27</f>
        <v>2815611.8000000003</v>
      </c>
      <c r="E29" s="42">
        <f>E19*E27</f>
        <v>3122283.6080000005</v>
      </c>
      <c r="F29" s="43">
        <f>F27*F19</f>
        <v>3379527.0079999999</v>
      </c>
    </row>
    <row r="30" spans="2:6">
      <c r="B30" s="20"/>
      <c r="C30" s="27" t="s">
        <v>42</v>
      </c>
      <c r="D30" s="27">
        <v>31.21</v>
      </c>
      <c r="E30" s="27">
        <v>31.21</v>
      </c>
      <c r="F30" s="34">
        <v>31.29</v>
      </c>
    </row>
    <row r="31" spans="2:6">
      <c r="B31" s="20"/>
      <c r="C31" s="27" t="s">
        <v>43</v>
      </c>
      <c r="D31" s="28">
        <f>D17*D27*From_Dollar_to_MillionDollar</f>
        <v>3.1574351750000003</v>
      </c>
      <c r="E31" s="28">
        <f>E17*E27*From_Dollar_to_MillionDollar</f>
        <v>3.5013378230000001</v>
      </c>
      <c r="F31" s="29">
        <f>F17*F27*From_Dollar_to_MillionDollar</f>
        <v>3.7594283831999999</v>
      </c>
    </row>
    <row r="32" spans="2:6">
      <c r="B32" s="20"/>
      <c r="C32" s="27" t="s">
        <v>44</v>
      </c>
      <c r="D32" s="28">
        <f>D28*D27*From_Dollar_to_MillionDollar</f>
        <v>50.944342999999989</v>
      </c>
      <c r="E32" s="28">
        <f>E28*E27*From_Dollar_to_MillionDollar</f>
        <v>56.49311707999999</v>
      </c>
      <c r="F32" s="29">
        <f>F28*F27*From_Dollar_to_MillionDollar</f>
        <v>61.150532399999996</v>
      </c>
    </row>
    <row r="33" spans="2:6">
      <c r="B33" s="20"/>
      <c r="C33" s="27" t="s">
        <v>45</v>
      </c>
      <c r="D33" s="44">
        <v>0</v>
      </c>
      <c r="E33" s="44">
        <v>0</v>
      </c>
      <c r="F33" s="45">
        <v>0</v>
      </c>
    </row>
    <row r="34" spans="2:6">
      <c r="B34" s="20"/>
      <c r="C34" s="27" t="s">
        <v>46</v>
      </c>
      <c r="D34" s="28">
        <f>D24*D29*From_Dollar_to_MillionDollar</f>
        <v>28.156118000000003</v>
      </c>
      <c r="E34" s="28">
        <f>D24*E29*From_Dollar_to_MillionDollar</f>
        <v>31.222836080000004</v>
      </c>
      <c r="F34" s="29">
        <f>D24*F29*From_Dollar_to_MillionDollar</f>
        <v>33.795270079999995</v>
      </c>
    </row>
    <row r="35" spans="2:6">
      <c r="B35" s="20"/>
      <c r="C35" s="27" t="s">
        <v>47</v>
      </c>
      <c r="D35" s="28">
        <f>D30+D31+D32+D33</f>
        <v>85.311778175000001</v>
      </c>
      <c r="E35" s="28">
        <f t="shared" ref="E35:F35" si="0">E30+E31+E32+E33</f>
        <v>91.204454902999998</v>
      </c>
      <c r="F35" s="29">
        <f t="shared" si="0"/>
        <v>96.199960783199998</v>
      </c>
    </row>
    <row r="36" spans="2:6">
      <c r="B36" s="20"/>
      <c r="C36" s="27" t="s">
        <v>48</v>
      </c>
      <c r="D36" s="28">
        <f>D30+D31+D32+D34</f>
        <v>113.46789617500001</v>
      </c>
      <c r="E36" s="28">
        <f t="shared" ref="E36:F36" si="1">E30+E31+E32+E34</f>
        <v>122.42729098300001</v>
      </c>
      <c r="F36" s="29">
        <f t="shared" si="1"/>
        <v>129.99523086319999</v>
      </c>
    </row>
    <row r="37" spans="2:6">
      <c r="B37" s="39"/>
      <c r="C37" s="27" t="s">
        <v>49</v>
      </c>
      <c r="D37" s="28">
        <f>D29/D27</f>
        <v>1.1120000000000001</v>
      </c>
      <c r="E37" s="28">
        <f t="shared" ref="E37:F37" si="2">E29/E27</f>
        <v>1.1120000000000001</v>
      </c>
      <c r="F37" s="29">
        <f t="shared" si="2"/>
        <v>1.1439999999999999</v>
      </c>
    </row>
    <row r="38" spans="2:6" ht="15.75" thickBot="1">
      <c r="B38" s="40"/>
      <c r="C38" s="37" t="s">
        <v>50</v>
      </c>
      <c r="D38" s="85">
        <f>SUM(D29:F29)/SUM(D27:F27)</f>
        <v>1.1233977105765807</v>
      </c>
      <c r="E38" s="85"/>
      <c r="F38" s="86"/>
    </row>
    <row r="39" spans="2:6" ht="15.75" thickBot="1">
      <c r="B39" s="17"/>
      <c r="C39" s="17"/>
      <c r="D39" s="46"/>
      <c r="E39" s="46"/>
      <c r="F39" s="46"/>
    </row>
    <row r="40" spans="2:6" ht="18.399999999999999">
      <c r="B40" s="24" t="s">
        <v>23</v>
      </c>
      <c r="C40" s="25" t="s">
        <v>51</v>
      </c>
      <c r="D40" s="25" t="s">
        <v>25</v>
      </c>
      <c r="E40" s="25" t="s">
        <v>26</v>
      </c>
      <c r="F40" s="26" t="s">
        <v>27</v>
      </c>
    </row>
    <row r="41" spans="2:6">
      <c r="B41" s="30">
        <v>3</v>
      </c>
      <c r="C41" s="31" t="s">
        <v>21</v>
      </c>
      <c r="D41" s="32">
        <f>(D35*From_MillionDollar_to_Dollar)/D27</f>
        <v>33.693102625369022</v>
      </c>
      <c r="E41" s="32">
        <f>(E35*From_MillionDollar_to_Dollar)/E27</f>
        <v>32.482428435481189</v>
      </c>
      <c r="F41" s="33">
        <f>(F35*From_MillionDollar_to_Dollar)/F27</f>
        <v>32.564543758775841</v>
      </c>
    </row>
    <row r="42" spans="2:6">
      <c r="B42" s="47"/>
      <c r="C42" s="48" t="s">
        <v>52</v>
      </c>
      <c r="D42" s="82">
        <f>(D35+E35+F35)*From_MillionDollar_to_Dollar/(D27+E27+F27)</f>
        <v>32.881277046614365</v>
      </c>
      <c r="E42" s="83"/>
      <c r="F42" s="84"/>
    </row>
    <row r="43" spans="2:6" ht="15.75" thickBot="1">
      <c r="B43" s="49">
        <v>4</v>
      </c>
      <c r="C43" s="50" t="s">
        <v>22</v>
      </c>
      <c r="D43" s="51">
        <f>(D36/D27)*From_MillionDollar_to_Dollar</f>
        <v>44.813102625369027</v>
      </c>
      <c r="E43" s="51">
        <f>(E36/E27)*From_MillionDollar_to_Dollar</f>
        <v>43.602428435481194</v>
      </c>
      <c r="F43" s="52">
        <f>(F36/F27)*From_MillionDollar_to_Dollar</f>
        <v>44.004543758775839</v>
      </c>
    </row>
  </sheetData>
  <mergeCells count="8">
    <mergeCell ref="D22:F22"/>
    <mergeCell ref="D23:F23"/>
    <mergeCell ref="D24:F24"/>
    <mergeCell ref="B2:F4"/>
    <mergeCell ref="D42:F42"/>
    <mergeCell ref="D38:F38"/>
    <mergeCell ref="B6:C6"/>
    <mergeCell ref="D21:F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92B7-6501-4618-B920-B59E7C7443D9}">
  <sheetPr codeName="Sheet7"/>
  <dimension ref="B1:M49"/>
  <sheetViews>
    <sheetView topLeftCell="A12" zoomScale="85" zoomScaleNormal="85" workbookViewId="0">
      <selection activeCell="D32" sqref="D32"/>
    </sheetView>
  </sheetViews>
  <sheetFormatPr defaultRowHeight="15"/>
  <cols>
    <col min="2" max="2" width="17" customWidth="1"/>
    <col min="3" max="3" width="48.5703125" customWidth="1"/>
    <col min="4" max="4" width="13.7109375" bestFit="1" customWidth="1"/>
    <col min="5" max="5" width="12.5703125" bestFit="1" customWidth="1"/>
    <col min="6" max="6" width="14.28515625" bestFit="1" customWidth="1"/>
    <col min="7" max="7" width="28.28515625" bestFit="1" customWidth="1"/>
    <col min="8" max="9" width="16.42578125" bestFit="1" customWidth="1"/>
  </cols>
  <sheetData>
    <row r="1" spans="2:13" ht="14.45" customHeight="1" thickBot="1"/>
    <row r="2" spans="2:13" ht="14.45" customHeight="1">
      <c r="B2" s="73" t="s">
        <v>53</v>
      </c>
      <c r="C2" s="74"/>
      <c r="D2" s="74"/>
      <c r="E2" s="75"/>
      <c r="F2" s="6"/>
      <c r="G2" s="6"/>
      <c r="H2" s="6"/>
      <c r="I2" s="6"/>
      <c r="J2" s="6"/>
      <c r="K2" s="6"/>
      <c r="L2" s="6"/>
      <c r="M2" s="6"/>
    </row>
    <row r="3" spans="2:13" ht="14.45" customHeight="1">
      <c r="B3" s="76"/>
      <c r="C3" s="77"/>
      <c r="D3" s="77"/>
      <c r="E3" s="78"/>
      <c r="F3" s="6"/>
      <c r="G3" s="6"/>
      <c r="H3" s="6"/>
      <c r="I3" s="6"/>
      <c r="J3" s="6"/>
      <c r="K3" s="6"/>
      <c r="L3" s="6"/>
      <c r="M3" s="6"/>
    </row>
    <row r="4" spans="2:13" ht="14.45" customHeight="1" thickBot="1">
      <c r="B4" s="79"/>
      <c r="C4" s="80"/>
      <c r="D4" s="80"/>
      <c r="E4" s="81"/>
      <c r="F4" s="6"/>
      <c r="G4" s="6"/>
      <c r="H4" s="6"/>
      <c r="I4" s="6"/>
      <c r="J4" s="6"/>
      <c r="K4" s="6"/>
      <c r="L4" s="6"/>
      <c r="M4" s="6"/>
    </row>
    <row r="5" spans="2:13" ht="15.75" thickBot="1">
      <c r="B5" s="17"/>
      <c r="C5" s="17"/>
      <c r="D5" s="17"/>
      <c r="E5" s="17"/>
    </row>
    <row r="6" spans="2:13" ht="15.75" thickBot="1">
      <c r="B6" s="99" t="s">
        <v>54</v>
      </c>
      <c r="C6" s="100"/>
      <c r="D6" s="17"/>
      <c r="E6" s="17"/>
    </row>
    <row r="7" spans="2:13">
      <c r="B7" s="53">
        <v>1</v>
      </c>
      <c r="C7" s="62" t="s">
        <v>55</v>
      </c>
      <c r="D7" s="17"/>
      <c r="E7" s="17"/>
    </row>
    <row r="8" spans="2:13">
      <c r="B8" s="20">
        <v>2</v>
      </c>
      <c r="C8" s="21" t="s">
        <v>20</v>
      </c>
      <c r="D8" s="17"/>
      <c r="E8" s="17"/>
    </row>
    <row r="9" spans="2:13">
      <c r="B9" s="20">
        <v>3</v>
      </c>
      <c r="C9" s="21" t="s">
        <v>47</v>
      </c>
      <c r="D9" s="17"/>
      <c r="E9" s="17"/>
    </row>
    <row r="10" spans="2:13">
      <c r="B10" s="20">
        <v>4</v>
      </c>
      <c r="C10" s="21" t="s">
        <v>56</v>
      </c>
      <c r="D10" s="17"/>
      <c r="E10" s="17"/>
    </row>
    <row r="11" spans="2:13">
      <c r="B11" s="20">
        <v>5</v>
      </c>
      <c r="C11" s="21" t="s">
        <v>21</v>
      </c>
      <c r="D11" s="17"/>
      <c r="E11" s="17"/>
    </row>
    <row r="12" spans="2:13">
      <c r="B12" s="20">
        <v>6</v>
      </c>
      <c r="C12" s="21" t="s">
        <v>57</v>
      </c>
      <c r="D12" s="17"/>
      <c r="E12" s="17"/>
    </row>
    <row r="13" spans="2:13" ht="15.75" thickBot="1">
      <c r="B13" s="22">
        <v>7</v>
      </c>
      <c r="C13" s="23" t="s">
        <v>58</v>
      </c>
      <c r="D13" s="17"/>
      <c r="E13" s="17"/>
    </row>
    <row r="14" spans="2:13" ht="15.75" thickBot="1">
      <c r="B14" s="17"/>
      <c r="C14" s="17"/>
      <c r="D14" s="17"/>
      <c r="E14" s="17"/>
    </row>
    <row r="15" spans="2:13" ht="35.25" customHeight="1">
      <c r="B15" s="24" t="s">
        <v>23</v>
      </c>
      <c r="C15" s="25" t="s">
        <v>24</v>
      </c>
      <c r="D15" s="25" t="s">
        <v>59</v>
      </c>
      <c r="E15" s="26" t="s">
        <v>27</v>
      </c>
      <c r="G15" s="109" t="s">
        <v>60</v>
      </c>
      <c r="H15" s="109"/>
      <c r="I15" s="109"/>
    </row>
    <row r="16" spans="2:13">
      <c r="B16" s="39"/>
      <c r="C16" s="27" t="s">
        <v>29</v>
      </c>
      <c r="D16" s="28">
        <v>1180</v>
      </c>
      <c r="E16" s="29">
        <v>493.4</v>
      </c>
      <c r="G16" s="2" t="s">
        <v>61</v>
      </c>
      <c r="H16" s="67">
        <f>D21*D19*From_Btu_to_MBtu*From_MWh_to_kWh</f>
        <v>796.97519999999986</v>
      </c>
      <c r="I16" s="67">
        <f>E21*E19*From_Btu_to_MBtu*From_MWh_to_kWh</f>
        <v>2288.3849999999998</v>
      </c>
    </row>
    <row r="17" spans="2:9">
      <c r="B17" s="39"/>
      <c r="C17" s="27" t="s">
        <v>19</v>
      </c>
      <c r="D17" s="28">
        <v>0.51659999999999995</v>
      </c>
      <c r="E17" s="33">
        <f>E32/(E16*Hours_in_a_year)</f>
        <v>0.68348131407640211</v>
      </c>
      <c r="G17" s="2" t="s">
        <v>62</v>
      </c>
      <c r="H17" s="66">
        <f>H16*D32</f>
        <v>4255715270.1167994</v>
      </c>
      <c r="I17" s="66">
        <f>I16*E32</f>
        <v>6760191356.8199997</v>
      </c>
    </row>
    <row r="18" spans="2:9">
      <c r="B18" s="39"/>
      <c r="C18" s="27" t="s">
        <v>31</v>
      </c>
      <c r="D18" s="27">
        <v>0</v>
      </c>
      <c r="E18" s="34">
        <v>1.2726</v>
      </c>
      <c r="G18" s="2" t="s">
        <v>63</v>
      </c>
      <c r="H18" s="93">
        <f>(H17+I17)/(D32+E32)</f>
        <v>1328.1832391086241</v>
      </c>
      <c r="I18" s="94"/>
    </row>
    <row r="19" spans="2:9">
      <c r="B19" s="39"/>
      <c r="C19" s="27" t="s">
        <v>32</v>
      </c>
      <c r="D19" s="35">
        <v>6777</v>
      </c>
      <c r="E19" s="36">
        <v>10350</v>
      </c>
    </row>
    <row r="20" spans="2:9">
      <c r="B20" s="39"/>
      <c r="C20" s="27" t="s">
        <v>33</v>
      </c>
      <c r="D20" s="27">
        <v>0.3987</v>
      </c>
      <c r="E20" s="34">
        <v>1.1439999999999999</v>
      </c>
    </row>
    <row r="21" spans="2:9">
      <c r="B21" s="39"/>
      <c r="C21" s="27" t="s">
        <v>64</v>
      </c>
      <c r="D21" s="27">
        <v>117.6</v>
      </c>
      <c r="E21" s="34">
        <v>221.1</v>
      </c>
    </row>
    <row r="22" spans="2:9">
      <c r="B22" s="39"/>
      <c r="C22" s="27" t="s">
        <v>65</v>
      </c>
      <c r="D22" s="27">
        <v>846.6</v>
      </c>
      <c r="E22" s="29">
        <v>0</v>
      </c>
    </row>
    <row r="23" spans="2:9" ht="15.75" thickBot="1">
      <c r="B23" s="40"/>
      <c r="C23" s="37" t="s">
        <v>66</v>
      </c>
      <c r="D23" s="37">
        <v>0.1128</v>
      </c>
      <c r="E23" s="58" t="s">
        <v>67</v>
      </c>
    </row>
    <row r="24" spans="2:9" ht="15.75" thickBot="1">
      <c r="B24" s="17"/>
      <c r="C24" s="17"/>
      <c r="D24" s="17"/>
      <c r="E24" s="17"/>
    </row>
    <row r="25" spans="2:9" ht="18.399999999999999">
      <c r="B25" s="24" t="s">
        <v>23</v>
      </c>
      <c r="C25" s="25" t="s">
        <v>34</v>
      </c>
      <c r="D25" s="89" t="s">
        <v>35</v>
      </c>
      <c r="E25" s="91"/>
    </row>
    <row r="26" spans="2:9">
      <c r="B26" s="39"/>
      <c r="C26" s="27" t="s">
        <v>36</v>
      </c>
      <c r="D26" s="69">
        <v>2</v>
      </c>
      <c r="E26" s="70"/>
    </row>
    <row r="27" spans="2:9">
      <c r="B27" s="39"/>
      <c r="C27" s="27" t="s">
        <v>68</v>
      </c>
      <c r="D27" s="69">
        <v>3</v>
      </c>
      <c r="E27" s="70"/>
    </row>
    <row r="28" spans="2:9">
      <c r="B28" s="39"/>
      <c r="C28" s="27" t="s">
        <v>37</v>
      </c>
      <c r="D28" s="69">
        <v>0</v>
      </c>
      <c r="E28" s="70"/>
    </row>
    <row r="29" spans="2:9" ht="15.75" thickBot="1">
      <c r="B29" s="40"/>
      <c r="C29" s="37" t="s">
        <v>38</v>
      </c>
      <c r="D29" s="71">
        <v>10</v>
      </c>
      <c r="E29" s="72"/>
    </row>
    <row r="30" spans="2:9" ht="15.75" thickBot="1">
      <c r="B30" s="17"/>
      <c r="C30" s="17"/>
      <c r="D30" s="41"/>
      <c r="E30" s="41"/>
    </row>
    <row r="31" spans="2:9" ht="18.399999999999999">
      <c r="B31" s="24" t="s">
        <v>23</v>
      </c>
      <c r="C31" s="25" t="s">
        <v>39</v>
      </c>
      <c r="D31" s="25" t="s">
        <v>59</v>
      </c>
      <c r="E31" s="26" t="s">
        <v>27</v>
      </c>
    </row>
    <row r="32" spans="2:9">
      <c r="B32" s="30">
        <v>4</v>
      </c>
      <c r="C32" s="31" t="s">
        <v>56</v>
      </c>
      <c r="D32" s="59">
        <f>TABLE_A!D27+TABLE_A!E27</f>
        <v>5339834</v>
      </c>
      <c r="E32" s="60">
        <v>2954132</v>
      </c>
    </row>
    <row r="33" spans="2:5">
      <c r="B33" s="30">
        <v>2</v>
      </c>
      <c r="C33" s="31" t="s">
        <v>20</v>
      </c>
      <c r="D33" s="32">
        <f>$D$27*D19*From_Btu_to_MBtu*From_MWh_to_kWh</f>
        <v>20.331</v>
      </c>
      <c r="E33" s="33">
        <f>D26*E19*From_Btu_to_MBtu*From_MWh_to_kWh</f>
        <v>20.7</v>
      </c>
    </row>
    <row r="34" spans="2:5">
      <c r="B34" s="61"/>
      <c r="C34" s="27" t="s">
        <v>41</v>
      </c>
      <c r="D34" s="42">
        <f>D20*D32</f>
        <v>2128991.8158</v>
      </c>
      <c r="E34" s="43">
        <f>E20*E32</f>
        <v>3379527.0079999999</v>
      </c>
    </row>
    <row r="35" spans="2:5">
      <c r="B35" s="61"/>
      <c r="C35" s="27" t="s">
        <v>42</v>
      </c>
      <c r="D35" s="27">
        <v>15.37</v>
      </c>
      <c r="E35" s="34">
        <v>31.29</v>
      </c>
    </row>
    <row r="36" spans="2:5">
      <c r="B36" s="61"/>
      <c r="C36" s="27" t="s">
        <v>43</v>
      </c>
      <c r="D36" s="28">
        <f>D18*D32*From_Dollar_to_MillionDollar</f>
        <v>0</v>
      </c>
      <c r="E36" s="29">
        <f>E18*E32*From_Dollar_to_MillionDollar</f>
        <v>3.7594283831999999</v>
      </c>
    </row>
    <row r="37" spans="2:5">
      <c r="B37" s="61"/>
      <c r="C37" s="27" t="s">
        <v>44</v>
      </c>
      <c r="D37" s="28">
        <f>D33*D32*From_Dollar_to_MillionDollar</f>
        <v>108.56416505399999</v>
      </c>
      <c r="E37" s="29">
        <f>E33*E32*From_Dollar_to_MillionDollar</f>
        <v>61.150532399999996</v>
      </c>
    </row>
    <row r="38" spans="2:5">
      <c r="B38" s="30">
        <v>1</v>
      </c>
      <c r="C38" s="31" t="s">
        <v>55</v>
      </c>
      <c r="D38" s="32">
        <f>D22*D23</f>
        <v>95.496480000000005</v>
      </c>
      <c r="E38" s="29">
        <v>0</v>
      </c>
    </row>
    <row r="39" spans="2:5">
      <c r="B39" s="61"/>
      <c r="C39" s="27" t="s">
        <v>45</v>
      </c>
      <c r="D39" s="27">
        <v>0</v>
      </c>
      <c r="E39" s="34">
        <v>0</v>
      </c>
    </row>
    <row r="40" spans="2:5">
      <c r="B40" s="61"/>
      <c r="C40" s="27" t="s">
        <v>46</v>
      </c>
      <c r="D40" s="28">
        <f>D29*D34*From_Dollar_to_MillionDollar</f>
        <v>21.289918157999999</v>
      </c>
      <c r="E40" s="29">
        <f>D29*E34*From_Dollar_to_MillionDollar</f>
        <v>33.795270079999995</v>
      </c>
    </row>
    <row r="41" spans="2:5">
      <c r="B41" s="30">
        <v>3</v>
      </c>
      <c r="C41" s="31" t="s">
        <v>47</v>
      </c>
      <c r="D41" s="32">
        <f>D35+D36+D37+D38+D39</f>
        <v>219.430645054</v>
      </c>
      <c r="E41" s="33">
        <f>E35+E36+E37+E38+E39</f>
        <v>96.199960783199998</v>
      </c>
    </row>
    <row r="42" spans="2:5">
      <c r="B42" s="61"/>
      <c r="C42" s="27" t="s">
        <v>69</v>
      </c>
      <c r="D42" s="28">
        <f>D35+D36+D37+D38+D40</f>
        <v>240.720563212</v>
      </c>
      <c r="E42" s="29">
        <f>E35+E36+E37+E38+E40</f>
        <v>129.99523086319999</v>
      </c>
    </row>
    <row r="43" spans="2:5" ht="15.75" thickBot="1">
      <c r="B43" s="49">
        <v>6</v>
      </c>
      <c r="C43" s="50" t="s">
        <v>57</v>
      </c>
      <c r="D43" s="95">
        <f>(D34+E34)/(D32+E32)</f>
        <v>0.66415980289767274</v>
      </c>
      <c r="E43" s="96"/>
    </row>
    <row r="44" spans="2:5" ht="15.75" thickBot="1">
      <c r="B44" s="17"/>
      <c r="C44" s="17"/>
      <c r="D44" s="46"/>
      <c r="E44" s="46"/>
    </row>
    <row r="45" spans="2:5" ht="18.399999999999999">
      <c r="B45" s="24" t="s">
        <v>23</v>
      </c>
      <c r="C45" s="25" t="s">
        <v>51</v>
      </c>
      <c r="D45" s="25" t="s">
        <v>59</v>
      </c>
      <c r="E45" s="26" t="s">
        <v>27</v>
      </c>
    </row>
    <row r="46" spans="2:5">
      <c r="B46" s="30">
        <v>5</v>
      </c>
      <c r="C46" s="31" t="s">
        <v>21</v>
      </c>
      <c r="D46" s="32">
        <f>(D41*From_MillionDollar_to_Dollar)/D32</f>
        <v>41.093158524029022</v>
      </c>
      <c r="E46" s="33">
        <f>(E41*From_MillionDollar_to_Dollar)/E32</f>
        <v>32.564543758775841</v>
      </c>
    </row>
    <row r="47" spans="2:5">
      <c r="B47" s="30">
        <v>7</v>
      </c>
      <c r="C47" s="31" t="s">
        <v>58</v>
      </c>
      <c r="D47" s="97">
        <f>SUM(D41:E41)*From_MillionDollar_to_Dollar/SUM(D32:E32)</f>
        <v>38.055449689231907</v>
      </c>
      <c r="E47" s="98"/>
    </row>
    <row r="48" spans="2:5">
      <c r="B48" s="20" t="s">
        <v>70</v>
      </c>
      <c r="C48" s="27" t="s">
        <v>22</v>
      </c>
      <c r="D48" s="28">
        <f>(D42*From_MillionDollar_to_Dollar)/D32</f>
        <v>45.080158524029024</v>
      </c>
      <c r="E48" s="29">
        <f>(E42*From_MillionDollar_to_Dollar)/E32</f>
        <v>44.004543758775839</v>
      </c>
    </row>
    <row r="49" spans="2:5" ht="15.75" thickBot="1">
      <c r="B49" s="22" t="s">
        <v>70</v>
      </c>
      <c r="C49" s="37" t="s">
        <v>71</v>
      </c>
      <c r="D49" s="85">
        <f>((D42+E42)*From_MillionDollar_to_Dollar)/(D32+E32)</f>
        <v>44.697047718208637</v>
      </c>
      <c r="E49" s="72"/>
    </row>
  </sheetData>
  <mergeCells count="12">
    <mergeCell ref="G15:I15"/>
    <mergeCell ref="H18:I18"/>
    <mergeCell ref="D43:E43"/>
    <mergeCell ref="D49:E49"/>
    <mergeCell ref="B2:E4"/>
    <mergeCell ref="D26:E26"/>
    <mergeCell ref="D27:E27"/>
    <mergeCell ref="D28:E28"/>
    <mergeCell ref="D29:E29"/>
    <mergeCell ref="D47:E47"/>
    <mergeCell ref="B6:C6"/>
    <mergeCell ref="D25:E25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22C27-BB59-40A3-A857-494D07F2B2C9}">
  <sheetPr codeName="Sheet1"/>
  <dimension ref="B1:N51"/>
  <sheetViews>
    <sheetView zoomScale="85" zoomScaleNormal="85" workbookViewId="0">
      <selection activeCell="H18" sqref="H18"/>
    </sheetView>
  </sheetViews>
  <sheetFormatPr defaultRowHeight="15"/>
  <cols>
    <col min="2" max="2" width="17" customWidth="1"/>
    <col min="3" max="3" width="47.85546875" customWidth="1"/>
    <col min="4" max="4" width="12.5703125" bestFit="1" customWidth="1"/>
    <col min="5" max="6" width="13.28515625" bestFit="1" customWidth="1"/>
    <col min="8" max="8" width="28.28515625" bestFit="1" customWidth="1"/>
    <col min="9" max="9" width="13.42578125" bestFit="1" customWidth="1"/>
    <col min="10" max="11" width="14.85546875" bestFit="1" customWidth="1"/>
  </cols>
  <sheetData>
    <row r="1" spans="2:14" ht="14.45" customHeight="1" thickBot="1"/>
    <row r="2" spans="2:14" ht="14.45" customHeight="1">
      <c r="B2" s="73" t="s">
        <v>72</v>
      </c>
      <c r="C2" s="74"/>
      <c r="D2" s="74"/>
      <c r="E2" s="74"/>
      <c r="F2" s="75"/>
      <c r="G2" s="6"/>
      <c r="H2" s="6"/>
      <c r="I2" s="6"/>
      <c r="J2" s="6"/>
      <c r="K2" s="6"/>
      <c r="L2" s="6"/>
      <c r="M2" s="6"/>
      <c r="N2" s="6"/>
    </row>
    <row r="3" spans="2:14" ht="14.45" customHeight="1">
      <c r="B3" s="76"/>
      <c r="C3" s="77"/>
      <c r="D3" s="77"/>
      <c r="E3" s="77"/>
      <c r="F3" s="78"/>
      <c r="G3" s="6"/>
      <c r="H3" s="6"/>
      <c r="I3" s="6"/>
      <c r="J3" s="6"/>
      <c r="K3" s="6"/>
      <c r="L3" s="6"/>
      <c r="M3" s="6"/>
      <c r="N3" s="6"/>
    </row>
    <row r="4" spans="2:14" ht="14.45" customHeight="1" thickBot="1">
      <c r="B4" s="79"/>
      <c r="C4" s="80"/>
      <c r="D4" s="80"/>
      <c r="E4" s="80"/>
      <c r="F4" s="81"/>
      <c r="G4" s="6"/>
      <c r="H4" s="6"/>
      <c r="I4" s="6"/>
      <c r="J4" s="6"/>
      <c r="K4" s="6"/>
      <c r="L4" s="6"/>
      <c r="M4" s="6"/>
      <c r="N4" s="6"/>
    </row>
    <row r="5" spans="2:14" ht="15.75" thickBot="1">
      <c r="B5" s="17"/>
      <c r="C5" s="17"/>
      <c r="D5" s="17"/>
      <c r="E5" s="17"/>
      <c r="F5" s="17"/>
    </row>
    <row r="6" spans="2:14" ht="15.75" thickBot="1">
      <c r="B6" s="99" t="s">
        <v>73</v>
      </c>
      <c r="C6" s="100"/>
      <c r="D6" s="17"/>
      <c r="E6" s="17"/>
      <c r="F6" s="17"/>
    </row>
    <row r="7" spans="2:14">
      <c r="B7" s="53">
        <v>1</v>
      </c>
      <c r="C7" s="21" t="s">
        <v>20</v>
      </c>
      <c r="D7" s="17"/>
      <c r="E7" s="17"/>
      <c r="F7" s="17"/>
    </row>
    <row r="8" spans="2:14">
      <c r="B8" s="20">
        <v>2</v>
      </c>
      <c r="C8" s="21" t="s">
        <v>56</v>
      </c>
      <c r="D8" s="17"/>
      <c r="E8" s="17"/>
      <c r="F8" s="17"/>
    </row>
    <row r="9" spans="2:14">
      <c r="B9" s="20">
        <v>3</v>
      </c>
      <c r="C9" s="21" t="s">
        <v>21</v>
      </c>
      <c r="D9" s="17"/>
      <c r="E9" s="17"/>
      <c r="F9" s="17"/>
    </row>
    <row r="10" spans="2:14">
      <c r="B10" s="20">
        <v>4</v>
      </c>
      <c r="C10" s="21" t="s">
        <v>74</v>
      </c>
      <c r="D10" s="17"/>
      <c r="E10" s="17"/>
      <c r="F10" s="17"/>
    </row>
    <row r="11" spans="2:14" ht="15.75" thickBot="1">
      <c r="B11" s="22">
        <v>5</v>
      </c>
      <c r="C11" s="23" t="s">
        <v>75</v>
      </c>
      <c r="D11" s="17"/>
      <c r="E11" s="17"/>
      <c r="F11" s="17"/>
    </row>
    <row r="12" spans="2:14" ht="15.75" thickBot="1">
      <c r="B12" s="17"/>
      <c r="C12" s="17"/>
      <c r="D12" s="17"/>
      <c r="E12" s="17"/>
      <c r="F12" s="17"/>
    </row>
    <row r="13" spans="2:14" ht="18.399999999999999">
      <c r="B13" s="24" t="s">
        <v>23</v>
      </c>
      <c r="C13" s="25" t="s">
        <v>24</v>
      </c>
      <c r="D13" s="25" t="s">
        <v>76</v>
      </c>
      <c r="E13" s="25" t="s">
        <v>26</v>
      </c>
      <c r="F13" s="26" t="s">
        <v>27</v>
      </c>
      <c r="H13" s="92" t="s">
        <v>60</v>
      </c>
      <c r="I13" s="92"/>
      <c r="J13" s="92"/>
      <c r="K13" s="92"/>
    </row>
    <row r="14" spans="2:14">
      <c r="B14" s="39"/>
      <c r="C14" s="27" t="s">
        <v>28</v>
      </c>
      <c r="D14" s="28">
        <v>525</v>
      </c>
      <c r="E14" s="28">
        <v>525</v>
      </c>
      <c r="F14" s="29">
        <v>527.20000000000005</v>
      </c>
      <c r="H14" s="2" t="s">
        <v>61</v>
      </c>
      <c r="I14" s="3">
        <f>D20*D18*From_Btu_to_MBtu*From_MWh_to_kWh</f>
        <v>222.62779999999998</v>
      </c>
      <c r="J14" s="3">
        <f>E20*E18*From_Btu_to_MBtu*From_MWh_to_kWh</f>
        <v>2224.2660000000001</v>
      </c>
      <c r="K14" s="3">
        <f>F20*F18*From_Btu_to_MBtu*From_MWh_to_kWh</f>
        <v>2288.3849999999998</v>
      </c>
    </row>
    <row r="15" spans="2:14">
      <c r="B15" s="39"/>
      <c r="C15" s="27" t="s">
        <v>29</v>
      </c>
      <c r="D15" s="28">
        <v>432.6</v>
      </c>
      <c r="E15" s="28">
        <v>491.7</v>
      </c>
      <c r="F15" s="29">
        <v>493.4</v>
      </c>
      <c r="H15" s="2" t="s">
        <v>62</v>
      </c>
      <c r="I15" s="66">
        <f>I14*D32</f>
        <v>495906268.08036375</v>
      </c>
      <c r="J15" s="66">
        <f>J14*E32</f>
        <v>6245314093.1940002</v>
      </c>
      <c r="K15" s="66">
        <f>K14*F32</f>
        <v>6760191356.8199997</v>
      </c>
    </row>
    <row r="16" spans="2:14">
      <c r="B16" s="39"/>
      <c r="C16" s="54" t="s">
        <v>19</v>
      </c>
      <c r="D16" s="28">
        <v>0.58779999999999999</v>
      </c>
      <c r="E16" s="28">
        <v>0.65180000000000005</v>
      </c>
      <c r="F16" s="29">
        <v>0.68340000000000001</v>
      </c>
      <c r="H16" s="2" t="s">
        <v>77</v>
      </c>
      <c r="I16" s="101">
        <f>SUM(I15:K15)/SUM(D32:F32)</f>
        <v>1689.9042290049613</v>
      </c>
      <c r="J16" s="101"/>
      <c r="K16" s="101"/>
    </row>
    <row r="17" spans="2:6">
      <c r="B17" s="39"/>
      <c r="C17" s="27" t="s">
        <v>31</v>
      </c>
      <c r="D17" s="28">
        <v>8.6570999999999998</v>
      </c>
      <c r="E17" s="28">
        <v>1.2470000000000001</v>
      </c>
      <c r="F17" s="29">
        <v>1.2726</v>
      </c>
    </row>
    <row r="18" spans="2:6">
      <c r="B18" s="39"/>
      <c r="C18" s="27" t="s">
        <v>32</v>
      </c>
      <c r="D18" s="35">
        <v>10060</v>
      </c>
      <c r="E18" s="35">
        <v>10060</v>
      </c>
      <c r="F18" s="36">
        <v>10350</v>
      </c>
    </row>
    <row r="19" spans="2:6">
      <c r="B19" s="39"/>
      <c r="C19" s="27" t="s">
        <v>33</v>
      </c>
      <c r="D19" s="28">
        <v>0.12659999999999999</v>
      </c>
      <c r="E19" s="28">
        <v>1.1120000000000001</v>
      </c>
      <c r="F19" s="29">
        <v>1.1439999999999999</v>
      </c>
    </row>
    <row r="20" spans="2:6">
      <c r="B20" s="39"/>
      <c r="C20" s="27" t="s">
        <v>64</v>
      </c>
      <c r="D20" s="28">
        <v>22.13</v>
      </c>
      <c r="E20" s="28">
        <v>221.1</v>
      </c>
      <c r="F20" s="29">
        <v>221.1</v>
      </c>
    </row>
    <row r="21" spans="2:6">
      <c r="B21" s="39"/>
      <c r="C21" s="27" t="s">
        <v>65</v>
      </c>
      <c r="D21" s="27">
        <v>846.6</v>
      </c>
      <c r="E21" s="27">
        <v>0</v>
      </c>
      <c r="F21" s="34">
        <v>0</v>
      </c>
    </row>
    <row r="22" spans="2:6">
      <c r="B22" s="39"/>
      <c r="C22" s="27" t="s">
        <v>66</v>
      </c>
      <c r="D22" s="28">
        <v>0.1128</v>
      </c>
      <c r="E22" s="55" t="s">
        <v>67</v>
      </c>
      <c r="F22" s="56" t="s">
        <v>67</v>
      </c>
    </row>
    <row r="23" spans="2:6" ht="15.75" thickBot="1">
      <c r="B23" s="40"/>
      <c r="C23" s="37" t="s">
        <v>78</v>
      </c>
      <c r="D23" s="37">
        <v>1.2</v>
      </c>
      <c r="E23" s="57" t="s">
        <v>67</v>
      </c>
      <c r="F23" s="58" t="s">
        <v>67</v>
      </c>
    </row>
    <row r="24" spans="2:6" ht="15.75" thickBot="1">
      <c r="B24" s="17"/>
      <c r="C24" s="17"/>
      <c r="D24" s="17"/>
      <c r="E24" s="17"/>
      <c r="F24" s="17"/>
    </row>
    <row r="25" spans="2:6" ht="18.399999999999999">
      <c r="B25" s="24" t="s">
        <v>23</v>
      </c>
      <c r="C25" s="25" t="s">
        <v>34</v>
      </c>
      <c r="D25" s="89" t="s">
        <v>35</v>
      </c>
      <c r="E25" s="90"/>
      <c r="F25" s="91"/>
    </row>
    <row r="26" spans="2:6">
      <c r="B26" s="39"/>
      <c r="C26" s="27" t="s">
        <v>36</v>
      </c>
      <c r="D26" s="69">
        <v>2</v>
      </c>
      <c r="E26" s="69"/>
      <c r="F26" s="70"/>
    </row>
    <row r="27" spans="2:6">
      <c r="B27" s="39"/>
      <c r="C27" s="27" t="s">
        <v>68</v>
      </c>
      <c r="D27" s="69">
        <v>3</v>
      </c>
      <c r="E27" s="69"/>
      <c r="F27" s="70"/>
    </row>
    <row r="28" spans="2:6">
      <c r="B28" s="39"/>
      <c r="C28" s="27" t="s">
        <v>37</v>
      </c>
      <c r="D28" s="69">
        <v>0</v>
      </c>
      <c r="E28" s="69"/>
      <c r="F28" s="70"/>
    </row>
    <row r="29" spans="2:6" ht="15.75" thickBot="1">
      <c r="B29" s="40"/>
      <c r="C29" s="37" t="s">
        <v>79</v>
      </c>
      <c r="D29" s="71">
        <v>10</v>
      </c>
      <c r="E29" s="71"/>
      <c r="F29" s="72"/>
    </row>
    <row r="30" spans="2:6" ht="15.75" thickBot="1">
      <c r="B30" s="17"/>
      <c r="C30" s="17"/>
      <c r="D30" s="41"/>
      <c r="E30" s="41"/>
      <c r="F30" s="41"/>
    </row>
    <row r="31" spans="2:6" ht="18.399999999999999">
      <c r="B31" s="24" t="s">
        <v>23</v>
      </c>
      <c r="C31" s="25" t="s">
        <v>39</v>
      </c>
      <c r="D31" s="25" t="s">
        <v>76</v>
      </c>
      <c r="E31" s="25" t="s">
        <v>26</v>
      </c>
      <c r="F31" s="26" t="s">
        <v>27</v>
      </c>
    </row>
    <row r="32" spans="2:6">
      <c r="B32" s="30">
        <v>2</v>
      </c>
      <c r="C32" s="31" t="s">
        <v>56</v>
      </c>
      <c r="D32" s="59">
        <f>D16*D15*8760</f>
        <v>2227512.7727999999</v>
      </c>
      <c r="E32" s="59">
        <v>2807809</v>
      </c>
      <c r="F32" s="60">
        <v>2954132</v>
      </c>
    </row>
    <row r="33" spans="2:6">
      <c r="B33" s="30">
        <v>1</v>
      </c>
      <c r="C33" s="31" t="s">
        <v>20</v>
      </c>
      <c r="D33" s="32">
        <f>D26*D18*From_Btu_to_MBtu*From_MWh_to_kWh</f>
        <v>20.119999999999997</v>
      </c>
      <c r="E33" s="32">
        <f>D26*E18*From_Btu_to_MBtu*From_MWh_to_kWh</f>
        <v>20.119999999999997</v>
      </c>
      <c r="F33" s="33">
        <f>D26*F18*From_Btu_to_MBtu*From_MWh_to_kWh</f>
        <v>20.7</v>
      </c>
    </row>
    <row r="34" spans="2:6">
      <c r="B34" s="61"/>
      <c r="C34" s="27" t="s">
        <v>41</v>
      </c>
      <c r="D34" s="42">
        <f>D19*D32</f>
        <v>282003.11703647999</v>
      </c>
      <c r="E34" s="42">
        <f>E19*E32</f>
        <v>3122283.6080000005</v>
      </c>
      <c r="F34" s="43">
        <f>F19*F32</f>
        <v>3379527.0079999999</v>
      </c>
    </row>
    <row r="35" spans="2:6">
      <c r="B35" s="61"/>
      <c r="C35" s="27" t="s">
        <v>42</v>
      </c>
      <c r="D35" s="27">
        <v>47.07</v>
      </c>
      <c r="E35" s="27">
        <v>31.21</v>
      </c>
      <c r="F35" s="34">
        <v>31.29</v>
      </c>
    </row>
    <row r="36" spans="2:6">
      <c r="B36" s="61"/>
      <c r="C36" s="27" t="s">
        <v>43</v>
      </c>
      <c r="D36" s="28">
        <f>D17*D32*From_Dollar_to_MillionDollar</f>
        <v>19.283800825406878</v>
      </c>
      <c r="E36" s="28">
        <f>E17*E32*From_Dollar_to_MillionDollar</f>
        <v>3.5013378230000001</v>
      </c>
      <c r="F36" s="29">
        <f>F17*F32*From_Dollar_to_MillionDollar</f>
        <v>3.7594283831999999</v>
      </c>
    </row>
    <row r="37" spans="2:6">
      <c r="B37" s="61"/>
      <c r="C37" s="27" t="s">
        <v>44</v>
      </c>
      <c r="D37" s="28">
        <f>D33*D32*From_Dollar_to_MillionDollar</f>
        <v>44.817556988735994</v>
      </c>
      <c r="E37" s="28">
        <f>E33*E32*From_Dollar_to_MillionDollar</f>
        <v>56.49311707999999</v>
      </c>
      <c r="F37" s="29">
        <f>F33*F32*From_Dollar_to_MillionDollar</f>
        <v>61.150532399999996</v>
      </c>
    </row>
    <row r="38" spans="2:6">
      <c r="B38" s="61"/>
      <c r="C38" s="27" t="s">
        <v>55</v>
      </c>
      <c r="D38" s="28">
        <f>80.9994</f>
        <v>80.999399999999994</v>
      </c>
      <c r="E38" s="28">
        <v>0</v>
      </c>
      <c r="F38" s="29">
        <v>0</v>
      </c>
    </row>
    <row r="39" spans="2:6">
      <c r="B39" s="61"/>
      <c r="C39" s="27" t="s">
        <v>45</v>
      </c>
      <c r="D39" s="27">
        <v>0</v>
      </c>
      <c r="E39" s="27">
        <v>0</v>
      </c>
      <c r="F39" s="34">
        <v>0</v>
      </c>
    </row>
    <row r="40" spans="2:6">
      <c r="B40" s="61"/>
      <c r="C40" s="27" t="s">
        <v>46</v>
      </c>
      <c r="D40" s="28">
        <f>D29*D34*From_Dollar_to_MillionDollar</f>
        <v>2.8200311703647998</v>
      </c>
      <c r="E40" s="28">
        <f>D29*E34*From_Dollar_to_MillionDollar</f>
        <v>31.222836080000004</v>
      </c>
      <c r="F40" s="29">
        <f>D29*F34*From_Dollar_to_MillionDollar</f>
        <v>33.795270079999995</v>
      </c>
    </row>
    <row r="41" spans="2:6">
      <c r="B41" s="61"/>
      <c r="C41" s="27" t="s">
        <v>47</v>
      </c>
      <c r="D41" s="28">
        <f>SUM(D35:D39)</f>
        <v>192.17075781414286</v>
      </c>
      <c r="E41" s="28">
        <f t="shared" ref="E41:F41" si="0">SUM(E35:E39)</f>
        <v>91.204454902999998</v>
      </c>
      <c r="F41" s="29">
        <f t="shared" si="0"/>
        <v>96.199960783199998</v>
      </c>
    </row>
    <row r="42" spans="2:6">
      <c r="B42" s="61"/>
      <c r="C42" s="27" t="s">
        <v>80</v>
      </c>
      <c r="D42" s="28">
        <f>D35+D36+D37+D38+D40</f>
        <v>194.99078898450767</v>
      </c>
      <c r="E42" s="28">
        <f t="shared" ref="E42:F42" si="1">E35+E36+E37+E38+E40</f>
        <v>122.42729098300001</v>
      </c>
      <c r="F42" s="29">
        <f t="shared" si="1"/>
        <v>129.99523086319999</v>
      </c>
    </row>
    <row r="43" spans="2:6" ht="15.75" thickBot="1">
      <c r="B43" s="49">
        <v>4</v>
      </c>
      <c r="C43" s="50" t="s">
        <v>74</v>
      </c>
      <c r="D43" s="95">
        <f>SUM(D34:F34)/SUM(D32:F32)</f>
        <v>0.84909606162712814</v>
      </c>
      <c r="E43" s="95"/>
      <c r="F43" s="96"/>
    </row>
    <row r="44" spans="2:6" ht="15.75" thickBot="1">
      <c r="B44" s="17"/>
      <c r="C44" s="17"/>
      <c r="D44" s="46"/>
      <c r="E44" s="46"/>
      <c r="F44" s="46"/>
    </row>
    <row r="45" spans="2:6" ht="18.399999999999999">
      <c r="B45" s="24" t="s">
        <v>23</v>
      </c>
      <c r="C45" s="25" t="s">
        <v>51</v>
      </c>
      <c r="D45" s="25" t="s">
        <v>76</v>
      </c>
      <c r="E45" s="25" t="s">
        <v>26</v>
      </c>
      <c r="F45" s="26" t="s">
        <v>27</v>
      </c>
    </row>
    <row r="46" spans="2:6">
      <c r="B46" s="30">
        <v>3</v>
      </c>
      <c r="C46" s="31" t="s">
        <v>21</v>
      </c>
      <c r="D46" s="32">
        <f>(D41*From_MillionDollar_to_Dollar)/D32</f>
        <v>86.271450453944112</v>
      </c>
      <c r="E46" s="32">
        <f>(E41*From_MillionDollar_to_Dollar)/E32</f>
        <v>32.482428435481189</v>
      </c>
      <c r="F46" s="33">
        <f>(F41*From_MillionDollar_to_Dollar)/F32</f>
        <v>32.564543758775841</v>
      </c>
    </row>
    <row r="47" spans="2:6">
      <c r="B47" s="30">
        <v>5</v>
      </c>
      <c r="C47" s="31" t="s">
        <v>75</v>
      </c>
      <c r="D47" s="97">
        <f>SUM(D41:F41)*From_MillionDollar_to_Dollar/SUM(D32:F32)</f>
        <v>47.50952747140262</v>
      </c>
      <c r="E47" s="102"/>
      <c r="F47" s="98"/>
    </row>
    <row r="48" spans="2:6">
      <c r="B48" s="20" t="s">
        <v>70</v>
      </c>
      <c r="C48" s="27" t="s">
        <v>22</v>
      </c>
      <c r="D48" s="28">
        <f>(D42*From_MillionDollar_to_Dollar)/D32</f>
        <v>87.537450453944118</v>
      </c>
      <c r="E48" s="28">
        <f>(E42*From_MillionDollar_to_Dollar)/E32</f>
        <v>43.602428435481194</v>
      </c>
      <c r="F48" s="29">
        <f>(F42*From_MillionDollar_to_Dollar)/F32</f>
        <v>44.004543758775839</v>
      </c>
    </row>
    <row r="49" spans="2:6" ht="15.75" thickBot="1">
      <c r="B49" s="22" t="s">
        <v>70</v>
      </c>
      <c r="C49" s="37" t="s">
        <v>81</v>
      </c>
      <c r="D49" s="85">
        <f>SUM(D42:F42)*From_MillionDollar_to_Dollar/SUM(D32:F32)</f>
        <v>56.000488087673894</v>
      </c>
      <c r="E49" s="85"/>
      <c r="F49" s="72"/>
    </row>
    <row r="51" spans="2:6">
      <c r="C51" s="9"/>
    </row>
  </sheetData>
  <mergeCells count="12">
    <mergeCell ref="H13:K13"/>
    <mergeCell ref="I16:K16"/>
    <mergeCell ref="D49:F49"/>
    <mergeCell ref="B2:F4"/>
    <mergeCell ref="D26:F26"/>
    <mergeCell ref="D27:F27"/>
    <mergeCell ref="D28:F28"/>
    <mergeCell ref="D29:F29"/>
    <mergeCell ref="D43:F43"/>
    <mergeCell ref="D47:F47"/>
    <mergeCell ref="D25:F25"/>
    <mergeCell ref="B6:C6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956-EF90-4D6D-A3B1-5A9430CED918}">
  <dimension ref="B1:Q53"/>
  <sheetViews>
    <sheetView zoomScale="85" zoomScaleNormal="85" workbookViewId="0">
      <selection activeCell="J50" sqref="J50"/>
    </sheetView>
  </sheetViews>
  <sheetFormatPr defaultRowHeight="15"/>
  <cols>
    <col min="2" max="2" width="45.85546875" customWidth="1"/>
    <col min="3" max="4" width="12.42578125" bestFit="1" customWidth="1"/>
    <col min="6" max="6" width="45.85546875" customWidth="1"/>
    <col min="7" max="7" width="12.5703125" bestFit="1" customWidth="1"/>
    <col min="8" max="9" width="13.28515625" bestFit="1" customWidth="1"/>
    <col min="11" max="11" width="5.7109375" customWidth="1"/>
    <col min="12" max="15" width="26.7109375" customWidth="1"/>
  </cols>
  <sheetData>
    <row r="1" spans="2:17" ht="14.45" customHeight="1"/>
    <row r="2" spans="2:17" ht="14.45" customHeight="1">
      <c r="B2" s="77" t="s">
        <v>82</v>
      </c>
      <c r="C2" s="77"/>
      <c r="D2" s="77"/>
      <c r="E2" s="77"/>
      <c r="F2" s="77"/>
      <c r="G2" s="77"/>
      <c r="H2" s="77"/>
      <c r="I2" s="78"/>
      <c r="J2" s="6"/>
      <c r="K2" s="6"/>
      <c r="L2" s="6"/>
      <c r="M2" s="6"/>
      <c r="N2" s="6"/>
      <c r="O2" s="6"/>
      <c r="P2" s="6"/>
      <c r="Q2" s="6"/>
    </row>
    <row r="3" spans="2:17" ht="14.45" customHeight="1">
      <c r="B3" s="77"/>
      <c r="C3" s="77"/>
      <c r="D3" s="77"/>
      <c r="E3" s="77"/>
      <c r="F3" s="77"/>
      <c r="G3" s="77"/>
      <c r="H3" s="77"/>
      <c r="I3" s="78"/>
      <c r="J3" s="6"/>
      <c r="K3" s="6"/>
      <c r="L3" s="6"/>
      <c r="M3" s="6"/>
      <c r="N3" s="6"/>
      <c r="O3" s="6"/>
      <c r="P3" s="6"/>
      <c r="Q3" s="6"/>
    </row>
    <row r="4" spans="2:17" ht="14.45" customHeight="1">
      <c r="B4" s="77"/>
      <c r="C4" s="77"/>
      <c r="D4" s="77"/>
      <c r="E4" s="77"/>
      <c r="F4" s="77"/>
      <c r="G4" s="77"/>
      <c r="H4" s="77"/>
      <c r="I4" s="78"/>
      <c r="J4" s="6"/>
      <c r="K4" s="6"/>
      <c r="L4" s="6"/>
      <c r="M4" s="6"/>
      <c r="N4" s="6"/>
      <c r="O4" s="6"/>
      <c r="P4" s="6"/>
      <c r="Q4" s="6"/>
    </row>
    <row r="6" spans="2:17" ht="18.399999999999999">
      <c r="B6" s="7" t="s">
        <v>34</v>
      </c>
      <c r="C6" s="7" t="s">
        <v>83</v>
      </c>
    </row>
    <row r="7" spans="2:17">
      <c r="B7" s="2" t="s">
        <v>84</v>
      </c>
      <c r="C7" s="3">
        <f>E7/100</f>
        <v>2</v>
      </c>
      <c r="E7">
        <v>200</v>
      </c>
    </row>
    <row r="8" spans="2:17">
      <c r="B8" s="2" t="s">
        <v>85</v>
      </c>
      <c r="C8" s="3">
        <f>E8/100</f>
        <v>5.5</v>
      </c>
      <c r="E8">
        <v>550</v>
      </c>
    </row>
    <row r="9" spans="2:17">
      <c r="B9" s="2" t="s">
        <v>86</v>
      </c>
      <c r="C9" s="3">
        <f>E9/100</f>
        <v>0</v>
      </c>
      <c r="E9">
        <v>0</v>
      </c>
    </row>
    <row r="11" spans="2:17" ht="18.399999999999999">
      <c r="B11" s="7" t="s">
        <v>24</v>
      </c>
      <c r="C11" s="7" t="s">
        <v>59</v>
      </c>
      <c r="D11" s="7" t="s">
        <v>27</v>
      </c>
      <c r="F11" s="7" t="s">
        <v>24</v>
      </c>
      <c r="G11" s="7" t="s">
        <v>76</v>
      </c>
      <c r="H11" s="7" t="s">
        <v>26</v>
      </c>
      <c r="I11" s="7" t="s">
        <v>27</v>
      </c>
      <c r="K11" s="64" t="s">
        <v>87</v>
      </c>
      <c r="L11" s="63" t="s">
        <v>88</v>
      </c>
      <c r="M11" s="63" t="s">
        <v>89</v>
      </c>
      <c r="N11" s="63" t="s">
        <v>90</v>
      </c>
    </row>
    <row r="12" spans="2:17">
      <c r="B12" s="2" t="s">
        <v>29</v>
      </c>
      <c r="C12" s="3">
        <v>1180</v>
      </c>
      <c r="D12" s="3">
        <v>493.4</v>
      </c>
      <c r="F12" s="2" t="s">
        <v>28</v>
      </c>
      <c r="G12" s="3">
        <v>525</v>
      </c>
      <c r="H12" s="3">
        <v>525</v>
      </c>
      <c r="I12" s="3">
        <v>527.20000000000005</v>
      </c>
      <c r="L12" s="3">
        <v>1.32</v>
      </c>
      <c r="M12" s="3">
        <v>35.549999999999997</v>
      </c>
      <c r="N12" s="3">
        <v>40.6</v>
      </c>
    </row>
    <row r="13" spans="2:17">
      <c r="B13" s="2" t="s">
        <v>19</v>
      </c>
      <c r="C13" s="3">
        <v>0.51659999999999995</v>
      </c>
      <c r="D13" s="3">
        <f>D22/(D12*Hours_in_a_year)</f>
        <v>0.68348131407640211</v>
      </c>
      <c r="F13" s="2" t="s">
        <v>29</v>
      </c>
      <c r="G13" s="3">
        <v>432.6</v>
      </c>
      <c r="H13" s="3">
        <v>491.7</v>
      </c>
      <c r="I13" s="3">
        <v>493.4</v>
      </c>
      <c r="L13" s="3">
        <v>1.42</v>
      </c>
      <c r="M13" s="3">
        <v>35.92</v>
      </c>
      <c r="N13" s="3">
        <v>41.61</v>
      </c>
    </row>
    <row r="14" spans="2:17">
      <c r="B14" s="2" t="s">
        <v>31</v>
      </c>
      <c r="C14" s="2">
        <v>0</v>
      </c>
      <c r="D14" s="2">
        <v>1.2726</v>
      </c>
      <c r="F14" s="10" t="s">
        <v>19</v>
      </c>
      <c r="G14" s="3">
        <v>0.58779999999999999</v>
      </c>
      <c r="H14" s="3">
        <v>0.65180000000000005</v>
      </c>
      <c r="I14" s="3">
        <v>0.68340000000000001</v>
      </c>
      <c r="L14" s="3">
        <v>1.52</v>
      </c>
      <c r="M14" s="3">
        <v>36.29</v>
      </c>
      <c r="N14" s="3">
        <v>42.63</v>
      </c>
    </row>
    <row r="15" spans="2:17">
      <c r="B15" s="2" t="s">
        <v>32</v>
      </c>
      <c r="C15" s="5">
        <v>6777</v>
      </c>
      <c r="D15" s="5">
        <v>10350</v>
      </c>
      <c r="F15" s="2" t="s">
        <v>31</v>
      </c>
      <c r="G15" s="2">
        <v>8.6570999999999998</v>
      </c>
      <c r="H15" s="2">
        <v>1.2470000000000001</v>
      </c>
      <c r="I15" s="2">
        <v>1.2726</v>
      </c>
      <c r="L15" s="3">
        <v>1.62</v>
      </c>
      <c r="M15" s="3">
        <v>36.65</v>
      </c>
      <c r="N15" s="3">
        <v>43.65</v>
      </c>
    </row>
    <row r="16" spans="2:17">
      <c r="B16" s="2" t="s">
        <v>33</v>
      </c>
      <c r="C16" s="2">
        <v>0.3987</v>
      </c>
      <c r="D16" s="2">
        <v>1.1439999999999999</v>
      </c>
      <c r="F16" s="2" t="s">
        <v>32</v>
      </c>
      <c r="G16" s="5">
        <v>10060</v>
      </c>
      <c r="H16" s="5">
        <v>10060</v>
      </c>
      <c r="I16" s="5">
        <v>10350</v>
      </c>
      <c r="L16" s="3">
        <v>1.72</v>
      </c>
      <c r="M16" s="3">
        <v>37.020000000000003</v>
      </c>
      <c r="N16" s="3">
        <v>44.66</v>
      </c>
    </row>
    <row r="17" spans="2:14">
      <c r="B17" s="2" t="s">
        <v>64</v>
      </c>
      <c r="C17" s="2">
        <v>117.6</v>
      </c>
      <c r="D17" s="2">
        <v>221.1</v>
      </c>
      <c r="F17" s="2" t="s">
        <v>33</v>
      </c>
      <c r="G17" s="2">
        <v>0.12659999999999999</v>
      </c>
      <c r="H17" s="2">
        <v>1.1120000000000001</v>
      </c>
      <c r="I17" s="2">
        <v>1.1439999999999999</v>
      </c>
      <c r="L17" s="3">
        <v>1.82</v>
      </c>
      <c r="M17" s="3">
        <v>37.39</v>
      </c>
      <c r="N17" s="2">
        <v>45.68</v>
      </c>
    </row>
    <row r="18" spans="2:14">
      <c r="B18" s="2" t="s">
        <v>65</v>
      </c>
      <c r="C18" s="2">
        <v>846.6</v>
      </c>
      <c r="D18" s="2">
        <v>0</v>
      </c>
      <c r="F18" s="2" t="s">
        <v>64</v>
      </c>
      <c r="G18" s="2">
        <v>22.13</v>
      </c>
      <c r="H18" s="2">
        <v>221.1</v>
      </c>
      <c r="I18" s="2">
        <v>221.1</v>
      </c>
      <c r="L18" s="3">
        <v>1.92</v>
      </c>
      <c r="M18" s="3">
        <v>37.76</v>
      </c>
      <c r="N18" s="3">
        <v>46.7</v>
      </c>
    </row>
    <row r="19" spans="2:14">
      <c r="B19" s="2" t="s">
        <v>66</v>
      </c>
      <c r="C19" s="2">
        <v>0.1128</v>
      </c>
      <c r="D19" s="8" t="s">
        <v>67</v>
      </c>
      <c r="F19" s="2" t="s">
        <v>66</v>
      </c>
      <c r="G19" s="2">
        <v>0.1128</v>
      </c>
      <c r="H19" s="8" t="s">
        <v>67</v>
      </c>
      <c r="I19" s="8" t="s">
        <v>67</v>
      </c>
      <c r="L19" s="3">
        <v>2.02</v>
      </c>
      <c r="M19" s="3">
        <v>38.130000000000003</v>
      </c>
      <c r="N19" s="3">
        <v>47.71</v>
      </c>
    </row>
    <row r="20" spans="2:14">
      <c r="F20" s="2" t="s">
        <v>78</v>
      </c>
      <c r="G20" s="2">
        <v>1.2</v>
      </c>
      <c r="H20" s="8" t="s">
        <v>67</v>
      </c>
      <c r="I20" s="8" t="s">
        <v>67</v>
      </c>
      <c r="L20" s="3">
        <v>2.12</v>
      </c>
      <c r="M20" s="3">
        <v>38.5</v>
      </c>
      <c r="N20" s="3">
        <v>48.73</v>
      </c>
    </row>
    <row r="21" spans="2:14" ht="18.399999999999999">
      <c r="B21" s="7" t="s">
        <v>39</v>
      </c>
      <c r="C21" s="7" t="s">
        <v>59</v>
      </c>
      <c r="D21" s="7" t="s">
        <v>27</v>
      </c>
      <c r="L21" s="3">
        <v>2.2200000000000002</v>
      </c>
      <c r="M21" s="3">
        <v>38.869999999999997</v>
      </c>
      <c r="N21" s="3">
        <v>49.75</v>
      </c>
    </row>
    <row r="22" spans="2:14" ht="18.399999999999999">
      <c r="B22" s="2" t="s">
        <v>56</v>
      </c>
      <c r="C22" s="5">
        <f>C13*C12*Hours_in_a_year</f>
        <v>5339990.88</v>
      </c>
      <c r="D22" s="5">
        <v>2954132</v>
      </c>
      <c r="F22" s="7" t="s">
        <v>39</v>
      </c>
      <c r="G22" s="7" t="s">
        <v>76</v>
      </c>
      <c r="H22" s="7" t="s">
        <v>26</v>
      </c>
      <c r="I22" s="7" t="s">
        <v>27</v>
      </c>
      <c r="L22" s="3">
        <v>2.3199999999999998</v>
      </c>
      <c r="M22" s="3">
        <v>39.229999999999997</v>
      </c>
      <c r="N22" s="3">
        <v>50.76</v>
      </c>
    </row>
    <row r="23" spans="2:14">
      <c r="B23" s="2" t="s">
        <v>20</v>
      </c>
      <c r="C23" s="3">
        <f>$C$8*C15*From_Btu_to_MBtu*From_MWh_to_kWh</f>
        <v>37.273499999999999</v>
      </c>
      <c r="D23" s="3">
        <f>C7*D15*From_Btu_to_MBtu*From_MWh_to_kWh</f>
        <v>20.7</v>
      </c>
      <c r="F23" s="2" t="s">
        <v>56</v>
      </c>
      <c r="G23" s="5">
        <f>G14*G13*8760</f>
        <v>2227512.7727999999</v>
      </c>
      <c r="H23" s="5">
        <v>2807809</v>
      </c>
      <c r="I23" s="5">
        <v>2954132</v>
      </c>
      <c r="L23" s="3">
        <v>2.42</v>
      </c>
      <c r="M23" s="3">
        <v>39.6</v>
      </c>
      <c r="N23" s="3">
        <v>51.78</v>
      </c>
    </row>
    <row r="24" spans="2:14">
      <c r="B24" s="2" t="s">
        <v>41</v>
      </c>
      <c r="C24" s="16">
        <f>C16*C22</f>
        <v>2129054.3638559999</v>
      </c>
      <c r="D24" s="16">
        <f>D16*D22</f>
        <v>3379527.0079999999</v>
      </c>
      <c r="F24" s="2" t="s">
        <v>20</v>
      </c>
      <c r="G24" s="3">
        <f>C7*G16*From_Btu_to_MBtu*From_MWh_to_kWh</f>
        <v>20.119999999999997</v>
      </c>
      <c r="H24" s="3">
        <f>C7*H16*From_Btu_to_MBtu*From_MWh_to_kWh</f>
        <v>20.119999999999997</v>
      </c>
      <c r="I24" s="3">
        <f>C7*I16*From_Btu_to_MBtu*From_MWh_to_kWh</f>
        <v>20.7</v>
      </c>
      <c r="L24" s="3">
        <v>2.5</v>
      </c>
      <c r="M24" s="3">
        <v>39.9</v>
      </c>
      <c r="N24" s="3">
        <v>52.59</v>
      </c>
    </row>
    <row r="25" spans="2:14">
      <c r="B25" s="2" t="s">
        <v>42</v>
      </c>
      <c r="C25" s="2">
        <v>15.37</v>
      </c>
      <c r="D25" s="2">
        <v>31.29</v>
      </c>
      <c r="F25" s="2" t="s">
        <v>41</v>
      </c>
      <c r="G25" s="16">
        <f>G17*G23</f>
        <v>282003.11703647999</v>
      </c>
      <c r="H25" s="16">
        <f>H17*H23</f>
        <v>3122283.6080000005</v>
      </c>
      <c r="I25" s="16">
        <f>I17*I23</f>
        <v>3379527.0079999999</v>
      </c>
      <c r="L25" t="s">
        <v>91</v>
      </c>
    </row>
    <row r="26" spans="2:14">
      <c r="B26" s="2" t="s">
        <v>43</v>
      </c>
      <c r="C26" s="3">
        <f>C14*C22*From_Dollar_to_MillionDollar</f>
        <v>0</v>
      </c>
      <c r="D26" s="3">
        <f>D14*D22*From_Dollar_to_MillionDollar</f>
        <v>3.7594283831999999</v>
      </c>
      <c r="F26" s="2" t="s">
        <v>42</v>
      </c>
      <c r="G26" s="2">
        <v>47.07</v>
      </c>
      <c r="H26" s="2">
        <v>31.21</v>
      </c>
      <c r="I26" s="2">
        <v>31.29</v>
      </c>
    </row>
    <row r="27" spans="2:14">
      <c r="B27" s="2" t="s">
        <v>44</v>
      </c>
      <c r="C27" s="3">
        <f>C23*C22*From_Dollar_to_MillionDollar</f>
        <v>199.04015006568</v>
      </c>
      <c r="D27" s="3">
        <f>D23*D22*From_Dollar_to_MillionDollar</f>
        <v>61.150532399999996</v>
      </c>
      <c r="F27" s="2" t="s">
        <v>43</v>
      </c>
      <c r="G27" s="3">
        <f>G15*G23*From_Dollar_to_MillionDollar</f>
        <v>19.283800825406878</v>
      </c>
      <c r="H27" s="3">
        <f>H15*H23*From_Dollar_to_MillionDollar</f>
        <v>3.5013378230000001</v>
      </c>
      <c r="I27" s="3">
        <f>I15*I23*From_Dollar_to_MillionDollar</f>
        <v>3.7594283831999999</v>
      </c>
      <c r="K27" s="64" t="s">
        <v>87</v>
      </c>
      <c r="L27" s="63" t="s">
        <v>92</v>
      </c>
      <c r="M27" s="63" t="s">
        <v>89</v>
      </c>
      <c r="N27" s="63" t="s">
        <v>90</v>
      </c>
    </row>
    <row r="28" spans="2:14">
      <c r="B28" s="2" t="s">
        <v>55</v>
      </c>
      <c r="C28" s="3">
        <f>C18*C19</f>
        <v>95.496480000000005</v>
      </c>
      <c r="D28" s="3">
        <v>0</v>
      </c>
      <c r="F28" s="2" t="s">
        <v>44</v>
      </c>
      <c r="G28" s="3">
        <f>G24*G23*From_Dollar_to_MillionDollar</f>
        <v>44.817556988735994</v>
      </c>
      <c r="H28" s="3">
        <f>H24*H23*From_Dollar_to_MillionDollar</f>
        <v>56.49311707999999</v>
      </c>
      <c r="I28" s="3">
        <f>I24*I23*From_Dollar_to_MillionDollar</f>
        <v>61.150532399999996</v>
      </c>
      <c r="L28" s="3">
        <v>4.5</v>
      </c>
      <c r="M28" s="3">
        <v>44.6</v>
      </c>
      <c r="N28" s="3">
        <v>47.51</v>
      </c>
    </row>
    <row r="29" spans="2:14">
      <c r="B29" s="2" t="s">
        <v>46</v>
      </c>
      <c r="C29" s="3">
        <f>C9*C24*From_Dollar_to_MillionDollar</f>
        <v>0</v>
      </c>
      <c r="D29" s="3">
        <f>C9*D24*From_Dollar_to_MillionDollar</f>
        <v>0</v>
      </c>
      <c r="F29" s="2" t="s">
        <v>55</v>
      </c>
      <c r="G29" s="3">
        <f>80.9994</f>
        <v>80.999399999999994</v>
      </c>
      <c r="H29" s="3">
        <v>0</v>
      </c>
      <c r="I29" s="3">
        <v>0</v>
      </c>
      <c r="L29" s="3">
        <v>4.5999999999999996</v>
      </c>
      <c r="M29" s="3">
        <v>45.04</v>
      </c>
      <c r="N29" s="3">
        <v>47.51</v>
      </c>
    </row>
    <row r="30" spans="2:14">
      <c r="B30" s="2" t="s">
        <v>47</v>
      </c>
      <c r="C30" s="3">
        <f>C25+C26+C27+C28+C29</f>
        <v>309.90663006568002</v>
      </c>
      <c r="D30" s="3">
        <f>D25+D26+D27+D28+D29</f>
        <v>96.199960783199998</v>
      </c>
      <c r="F30" s="2" t="s">
        <v>46</v>
      </c>
      <c r="G30" s="3">
        <f>C9*G25*From_Dollar_to_MillionDollar</f>
        <v>0</v>
      </c>
      <c r="H30" s="3">
        <f>C9*H25*From_Dollar_to_MillionDollar</f>
        <v>0</v>
      </c>
      <c r="I30" s="3">
        <f>C9*I25*From_Dollar_to_MillionDollar</f>
        <v>0</v>
      </c>
      <c r="L30" s="3">
        <v>4.7</v>
      </c>
      <c r="M30" s="3">
        <v>45.47</v>
      </c>
      <c r="N30" s="3">
        <v>47.51</v>
      </c>
    </row>
    <row r="31" spans="2:14">
      <c r="B31" s="2" t="s">
        <v>57</v>
      </c>
      <c r="C31" s="106">
        <f>(C24+D24)/(C22+D22)</f>
        <v>0.6641547818322171</v>
      </c>
      <c r="D31" s="108"/>
      <c r="F31" s="2" t="s">
        <v>47</v>
      </c>
      <c r="G31" s="3">
        <f>G26+G27+G28+G29+G30</f>
        <v>192.17075781414286</v>
      </c>
      <c r="H31" s="3">
        <f>H26+H27+H28+H29+H30</f>
        <v>91.204454902999998</v>
      </c>
      <c r="I31" s="3">
        <f>I26+I27+I28+I29+I30</f>
        <v>96.199960783199998</v>
      </c>
      <c r="L31" s="3">
        <v>4.8</v>
      </c>
      <c r="M31" s="3">
        <v>45.91</v>
      </c>
      <c r="N31" s="3">
        <v>47.51</v>
      </c>
    </row>
    <row r="32" spans="2:14">
      <c r="C32" s="1"/>
      <c r="D32" s="1"/>
      <c r="F32" s="2" t="s">
        <v>74</v>
      </c>
      <c r="G32" s="106">
        <f>SUM(G25:I25)/SUM(G23:I23)</f>
        <v>0.84909606162712814</v>
      </c>
      <c r="H32" s="107"/>
      <c r="I32" s="108"/>
      <c r="L32" s="3">
        <v>4.9000000000000004</v>
      </c>
      <c r="M32" s="3">
        <v>46.35</v>
      </c>
      <c r="N32" s="3">
        <v>47.51</v>
      </c>
    </row>
    <row r="33" spans="2:14" ht="18.399999999999999">
      <c r="B33" s="7" t="s">
        <v>51</v>
      </c>
      <c r="C33" s="7" t="s">
        <v>59</v>
      </c>
      <c r="D33" s="7" t="s">
        <v>27</v>
      </c>
      <c r="G33" s="1"/>
      <c r="H33" s="1"/>
      <c r="I33" s="1"/>
      <c r="L33" s="3">
        <v>5</v>
      </c>
      <c r="M33" s="3">
        <v>46.78</v>
      </c>
      <c r="N33" s="3">
        <v>47.51</v>
      </c>
    </row>
    <row r="34" spans="2:14" ht="18.399999999999999">
      <c r="B34" s="2" t="s">
        <v>21</v>
      </c>
      <c r="C34" s="3">
        <f>(C30*From_MillionDollar_to_Dollar)/C22</f>
        <v>58.035048566539878</v>
      </c>
      <c r="D34" s="3">
        <f>(D30*From_MillionDollar_to_Dollar)/D22</f>
        <v>32.564543758775841</v>
      </c>
      <c r="F34" s="7" t="s">
        <v>51</v>
      </c>
      <c r="G34" s="7" t="s">
        <v>76</v>
      </c>
      <c r="H34" s="7" t="s">
        <v>26</v>
      </c>
      <c r="I34" s="7" t="s">
        <v>27</v>
      </c>
      <c r="L34" s="3">
        <v>5.0999999999999996</v>
      </c>
      <c r="M34" s="3">
        <v>47.22</v>
      </c>
      <c r="N34" s="3">
        <v>47.51</v>
      </c>
    </row>
    <row r="35" spans="2:14">
      <c r="B35" s="12" t="s">
        <v>93</v>
      </c>
      <c r="C35" s="103">
        <f>((C30+D30)*From_MillionDollar_to_Dollar)/(C22+D22)</f>
        <v>48.963175096928403</v>
      </c>
      <c r="D35" s="103"/>
      <c r="F35" s="2" t="s">
        <v>21</v>
      </c>
      <c r="G35" s="3">
        <f>(G31*From_MillionDollar_to_Dollar)/G23</f>
        <v>86.271450453944112</v>
      </c>
      <c r="H35" s="3">
        <f>(H31*From_MillionDollar_to_Dollar)/H23</f>
        <v>32.482428435481189</v>
      </c>
      <c r="I35" s="3">
        <f>(I31*From_MillionDollar_to_Dollar)/I23</f>
        <v>32.564543758775841</v>
      </c>
      <c r="L35" s="3">
        <v>5.2</v>
      </c>
      <c r="M35" s="3">
        <v>47.65</v>
      </c>
      <c r="N35" s="3">
        <v>47.51</v>
      </c>
    </row>
    <row r="36" spans="2:14">
      <c r="B36" s="12" t="s">
        <v>94</v>
      </c>
      <c r="C36" s="103">
        <f>(C35-TABLE_A!D42)*From_Ton_to_Tonne/(TABLE_A!D38-LCOE_Comparison!C31)</f>
        <v>31.768059494488622</v>
      </c>
      <c r="D36" s="103"/>
      <c r="F36" s="12" t="s">
        <v>95</v>
      </c>
      <c r="G36" s="103">
        <f>SUM(G31:I31)*From_MillionDollar_to_Dollar/SUM(G23:I23)</f>
        <v>47.50952747140262</v>
      </c>
      <c r="H36" s="103"/>
      <c r="I36" s="103"/>
      <c r="L36" s="3">
        <v>5.3</v>
      </c>
      <c r="M36" s="3">
        <v>48.09</v>
      </c>
      <c r="N36" s="3">
        <v>47.51</v>
      </c>
    </row>
    <row r="37" spans="2:14">
      <c r="B37" s="4" t="s">
        <v>96</v>
      </c>
      <c r="C37" s="93">
        <f>TABLE_B!H18</f>
        <v>1328.1832391086241</v>
      </c>
      <c r="D37" s="105"/>
      <c r="F37" s="12" t="s">
        <v>97</v>
      </c>
      <c r="G37" s="103">
        <f>(G36-TABLE_A!D42)*From_Ton_to_Tonne/(TABLE_A!D38-LCOE_Comparison!G32)</f>
        <v>48.379327694296819</v>
      </c>
      <c r="H37" s="103"/>
      <c r="I37" s="103"/>
      <c r="L37" s="3">
        <v>5.4</v>
      </c>
      <c r="M37" s="3">
        <v>48.53</v>
      </c>
      <c r="N37" s="3">
        <v>47.51</v>
      </c>
    </row>
    <row r="38" spans="2:14">
      <c r="F38" s="4" t="s">
        <v>98</v>
      </c>
      <c r="G38" s="93">
        <f>TABLE_C!I16</f>
        <v>1689.9042290049613</v>
      </c>
      <c r="H38" s="104"/>
      <c r="I38" s="105"/>
      <c r="L38" s="3">
        <v>5.5</v>
      </c>
      <c r="M38" s="3">
        <v>48.96</v>
      </c>
      <c r="N38" s="3">
        <v>47.51</v>
      </c>
    </row>
    <row r="39" spans="2:14">
      <c r="L39" t="s">
        <v>99</v>
      </c>
    </row>
    <row r="41" spans="2:14">
      <c r="K41" s="64" t="s">
        <v>100</v>
      </c>
      <c r="L41" s="63" t="s">
        <v>101</v>
      </c>
      <c r="M41" s="63" t="s">
        <v>89</v>
      </c>
      <c r="N41" s="63" t="s">
        <v>90</v>
      </c>
    </row>
    <row r="42" spans="2:14">
      <c r="L42" s="3">
        <v>0</v>
      </c>
      <c r="M42" s="3">
        <v>48.96</v>
      </c>
      <c r="N42" s="2">
        <v>47.51</v>
      </c>
    </row>
    <row r="43" spans="2:14">
      <c r="L43" s="3">
        <v>10</v>
      </c>
      <c r="M43" s="3">
        <v>55.6</v>
      </c>
      <c r="N43" s="2">
        <v>56</v>
      </c>
    </row>
    <row r="44" spans="2:14">
      <c r="L44" s="3">
        <v>20</v>
      </c>
      <c r="M44" s="3">
        <v>62.25</v>
      </c>
      <c r="N44" s="2">
        <v>64.489999999999995</v>
      </c>
    </row>
    <row r="45" spans="2:14">
      <c r="L45" s="3">
        <v>30</v>
      </c>
      <c r="M45" s="3">
        <v>68.89</v>
      </c>
      <c r="N45" s="2">
        <v>72.98</v>
      </c>
    </row>
    <row r="46" spans="2:14">
      <c r="L46" s="3">
        <v>40</v>
      </c>
      <c r="M46" s="3">
        <v>75.53</v>
      </c>
      <c r="N46" s="2">
        <v>81.47</v>
      </c>
    </row>
    <row r="47" spans="2:14">
      <c r="L47" s="3">
        <v>50</v>
      </c>
      <c r="M47" s="3">
        <v>82.17</v>
      </c>
      <c r="N47" s="2">
        <v>89.96</v>
      </c>
    </row>
    <row r="48" spans="2:14">
      <c r="L48" s="3">
        <v>60</v>
      </c>
      <c r="M48" s="3">
        <v>88.81</v>
      </c>
      <c r="N48" s="2">
        <v>98.46</v>
      </c>
    </row>
    <row r="49" spans="12:14">
      <c r="L49" s="3">
        <v>70</v>
      </c>
      <c r="M49" s="3">
        <v>95.45</v>
      </c>
      <c r="N49" s="2">
        <v>106.95</v>
      </c>
    </row>
    <row r="50" spans="12:14">
      <c r="L50" s="3">
        <v>80</v>
      </c>
      <c r="M50" s="3">
        <v>102.1</v>
      </c>
      <c r="N50" s="2">
        <v>115.44</v>
      </c>
    </row>
    <row r="51" spans="12:14">
      <c r="L51" s="3">
        <v>90</v>
      </c>
      <c r="M51" s="3">
        <v>108.74</v>
      </c>
      <c r="N51" s="2">
        <v>123.93</v>
      </c>
    </row>
    <row r="52" spans="12:14">
      <c r="L52" s="3">
        <v>100</v>
      </c>
      <c r="M52" s="3">
        <v>115.38</v>
      </c>
      <c r="N52" s="2">
        <v>132.41999999999999</v>
      </c>
    </row>
    <row r="53" spans="12:14">
      <c r="L53" t="s">
        <v>102</v>
      </c>
    </row>
  </sheetData>
  <mergeCells count="9">
    <mergeCell ref="B2:I4"/>
    <mergeCell ref="C36:D36"/>
    <mergeCell ref="G37:I37"/>
    <mergeCell ref="G38:I38"/>
    <mergeCell ref="C37:D37"/>
    <mergeCell ref="G32:I32"/>
    <mergeCell ref="C31:D31"/>
    <mergeCell ref="G36:I36"/>
    <mergeCell ref="C35:D3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Spinner 1">
              <controlPr defaultSize="0" autoPict="0">
                <anchor moveWithCells="1" sizeWithCells="1">
                  <from>
                    <xdr:col>3</xdr:col>
                    <xdr:colOff>8313</xdr:colOff>
                    <xdr:row>6</xdr:row>
                    <xdr:rowOff>8313</xdr:rowOff>
                  </from>
                  <to>
                    <xdr:col>3</xdr:col>
                    <xdr:colOff>931025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Spinner 2">
              <controlPr defaultSize="0" autoPict="0">
                <anchor moveWithCells="1" sizeWithCells="1">
                  <from>
                    <xdr:col>3</xdr:col>
                    <xdr:colOff>8313</xdr:colOff>
                    <xdr:row>7</xdr:row>
                    <xdr:rowOff>8313</xdr:rowOff>
                  </from>
                  <to>
                    <xdr:col>3</xdr:col>
                    <xdr:colOff>931025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Spinner 3">
              <controlPr defaultSize="0" autoPict="0">
                <anchor moveWithCells="1" sizeWithCells="1">
                  <from>
                    <xdr:col>3</xdr:col>
                    <xdr:colOff>8313</xdr:colOff>
                    <xdr:row>8</xdr:row>
                    <xdr:rowOff>0</xdr:rowOff>
                  </from>
                  <to>
                    <xdr:col>3</xdr:col>
                    <xdr:colOff>931025</xdr:colOff>
                    <xdr:row>8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AC1A-8A4E-4186-857F-A164205E7B2A}">
  <dimension ref="B1:P68"/>
  <sheetViews>
    <sheetView tabSelected="1" topLeftCell="B1" zoomScale="85" zoomScaleNormal="85" workbookViewId="0">
      <selection activeCell="D9" sqref="D9"/>
    </sheetView>
  </sheetViews>
  <sheetFormatPr defaultRowHeight="15"/>
  <cols>
    <col min="2" max="2" width="19" bestFit="1" customWidth="1"/>
    <col min="3" max="3" width="28.5703125" bestFit="1" customWidth="1"/>
    <col min="4" max="4" width="27.85546875" bestFit="1" customWidth="1"/>
    <col min="5" max="5" width="26.5703125" bestFit="1" customWidth="1"/>
    <col min="7" max="7" width="17" customWidth="1"/>
    <col min="8" max="8" width="47.85546875" customWidth="1"/>
    <col min="9" max="9" width="12.5703125" bestFit="1" customWidth="1"/>
    <col min="10" max="11" width="13.28515625" bestFit="1" customWidth="1"/>
    <col min="13" max="13" width="15.85546875" customWidth="1"/>
    <col min="14" max="14" width="29.85546875" customWidth="1"/>
    <col min="15" max="15" width="15.42578125" customWidth="1"/>
    <col min="16" max="16" width="12.140625" bestFit="1" customWidth="1"/>
  </cols>
  <sheetData>
    <row r="1" spans="2:11" ht="14.45" customHeight="1"/>
    <row r="2" spans="2:11" ht="14.45" customHeight="1">
      <c r="B2" s="77" t="s">
        <v>103</v>
      </c>
      <c r="C2" s="77"/>
      <c r="D2" s="77"/>
      <c r="E2" s="77"/>
      <c r="F2" s="6"/>
      <c r="G2" s="6"/>
      <c r="H2" s="6"/>
      <c r="I2" s="6"/>
      <c r="J2" s="6"/>
      <c r="K2" s="6"/>
    </row>
    <row r="3" spans="2:11" ht="14.45" customHeight="1">
      <c r="B3" s="77"/>
      <c r="C3" s="77"/>
      <c r="D3" s="77"/>
      <c r="E3" s="77"/>
      <c r="F3" s="6"/>
      <c r="G3" s="6"/>
      <c r="H3" s="6"/>
      <c r="I3" s="6"/>
      <c r="J3" s="6"/>
      <c r="K3" s="6"/>
    </row>
    <row r="4" spans="2:11" ht="14.45" customHeight="1">
      <c r="B4" s="77"/>
      <c r="C4" s="77"/>
      <c r="D4" s="77"/>
      <c r="E4" s="77"/>
      <c r="F4" s="6"/>
      <c r="G4" s="6"/>
      <c r="H4" s="6"/>
      <c r="I4" s="6"/>
      <c r="J4" s="6"/>
      <c r="K4" s="6"/>
    </row>
    <row r="6" spans="2:11" ht="18.399999999999999">
      <c r="B6" s="7" t="s">
        <v>104</v>
      </c>
      <c r="C6" s="7" t="s">
        <v>21</v>
      </c>
      <c r="D6" s="7" t="s">
        <v>105</v>
      </c>
      <c r="E6" s="7" t="s">
        <v>106</v>
      </c>
    </row>
    <row r="7" spans="2:11">
      <c r="B7" s="2" t="s">
        <v>107</v>
      </c>
      <c r="C7" s="3">
        <f>LCOE_Comparison!C35</f>
        <v>48.963175096928403</v>
      </c>
      <c r="D7" s="3">
        <f>LCOE_Comparison!C36</f>
        <v>31.768059494488622</v>
      </c>
      <c r="E7" s="3">
        <f>TABLE_B!H18</f>
        <v>1328.1832391086241</v>
      </c>
    </row>
    <row r="8" spans="2:11">
      <c r="B8" s="2" t="s">
        <v>108</v>
      </c>
      <c r="C8" s="3">
        <f>LCOE_Comparison!G36</f>
        <v>47.50952747140262</v>
      </c>
      <c r="D8" s="3">
        <f>LCOE_Comparison!G37</f>
        <v>48.379327694296819</v>
      </c>
      <c r="E8" s="3">
        <f>TABLE_C!I16</f>
        <v>1689.9042290049613</v>
      </c>
    </row>
    <row r="9" spans="2:11">
      <c r="B9" s="2" t="s">
        <v>109</v>
      </c>
      <c r="C9" s="15">
        <v>80</v>
      </c>
      <c r="D9" s="65">
        <f>(C9-TABLE_A!D42)*From_Ton_to_Tonne/(TABLE_A!D38-0)</f>
        <v>38.050103075720344</v>
      </c>
      <c r="E9" s="15">
        <v>0</v>
      </c>
    </row>
    <row r="10" spans="2:11">
      <c r="B10" t="s">
        <v>110</v>
      </c>
    </row>
    <row r="13" spans="2:11">
      <c r="D13" s="1"/>
      <c r="E13" s="1"/>
    </row>
    <row r="14" spans="2:11">
      <c r="D14" s="1"/>
      <c r="E14" s="1"/>
    </row>
    <row r="15" spans="2:11">
      <c r="D15" s="1"/>
      <c r="E15" s="1"/>
    </row>
    <row r="16" spans="2:11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16">
      <c r="D33" s="1"/>
      <c r="E33" s="1"/>
    </row>
    <row r="34" spans="4:16">
      <c r="D34" s="1"/>
      <c r="E34" s="1"/>
    </row>
    <row r="38" spans="4:16">
      <c r="D38" s="1"/>
      <c r="E38" s="1"/>
    </row>
    <row r="39" spans="4:16">
      <c r="N39" s="1"/>
      <c r="O39" s="1"/>
    </row>
    <row r="43" spans="4:16">
      <c r="N43" s="1"/>
      <c r="O43" s="1"/>
    </row>
    <row r="44" spans="4:16">
      <c r="N44" s="1"/>
      <c r="O44" s="1"/>
      <c r="P44" s="1"/>
    </row>
    <row r="45" spans="4:16">
      <c r="N45" s="1"/>
      <c r="O45" s="1"/>
      <c r="P45" s="1"/>
    </row>
    <row r="46" spans="4:16">
      <c r="N46" s="1"/>
      <c r="O46" s="1"/>
      <c r="P46" s="1"/>
    </row>
    <row r="47" spans="4:16">
      <c r="N47" s="1"/>
      <c r="O47" s="1"/>
      <c r="P47" s="1"/>
    </row>
    <row r="48" spans="4:16">
      <c r="N48" s="1"/>
      <c r="O48" s="1"/>
      <c r="P48" s="1"/>
    </row>
    <row r="49" spans="14:16">
      <c r="N49" s="1"/>
      <c r="O49" s="1"/>
    </row>
    <row r="50" spans="14:16">
      <c r="N50" s="1"/>
      <c r="O50" s="1"/>
      <c r="P50" s="1"/>
    </row>
    <row r="51" spans="14:16">
      <c r="N51" s="1"/>
      <c r="O51" s="1"/>
      <c r="P51" s="1"/>
    </row>
    <row r="52" spans="14:16">
      <c r="N52" s="1"/>
      <c r="O52" s="1"/>
      <c r="P52" s="1"/>
    </row>
    <row r="53" spans="14:16">
      <c r="N53" s="1"/>
      <c r="O53" s="1"/>
      <c r="P53" s="1"/>
    </row>
    <row r="54" spans="14:16">
      <c r="N54" s="1"/>
      <c r="O54" s="1"/>
      <c r="P54" s="1"/>
    </row>
    <row r="55" spans="14:16">
      <c r="N55" s="1"/>
      <c r="O55" s="1"/>
      <c r="P55" s="1"/>
    </row>
    <row r="56" spans="14:16">
      <c r="P56" s="1"/>
    </row>
    <row r="58" spans="14:16">
      <c r="N58" s="1"/>
      <c r="O58" s="1"/>
    </row>
    <row r="59" spans="14:16">
      <c r="N59" s="1"/>
      <c r="O59" s="1"/>
    </row>
    <row r="60" spans="14:16">
      <c r="N60" s="1"/>
      <c r="O60" s="1"/>
    </row>
    <row r="61" spans="14:16">
      <c r="N61" s="1"/>
      <c r="O61" s="1"/>
    </row>
    <row r="62" spans="14:16">
      <c r="N62" s="1"/>
      <c r="O62" s="1"/>
    </row>
    <row r="63" spans="14:16">
      <c r="N63" s="1"/>
      <c r="O63" s="1"/>
    </row>
    <row r="64" spans="14:16">
      <c r="N64" s="1"/>
      <c r="O64" s="1"/>
    </row>
    <row r="65" spans="14:15">
      <c r="N65" s="1"/>
      <c r="O65" s="1"/>
    </row>
    <row r="66" spans="14:15">
      <c r="N66" s="1"/>
      <c r="O66" s="1"/>
    </row>
    <row r="67" spans="14:15">
      <c r="N67" s="1"/>
      <c r="O67" s="1"/>
    </row>
    <row r="68" spans="14:15">
      <c r="N68" s="1"/>
      <c r="O68" s="1"/>
    </row>
  </sheetData>
  <mergeCells count="1">
    <mergeCell ref="B2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 Ghiffary</cp:lastModifiedBy>
  <cp:revision/>
  <dcterms:created xsi:type="dcterms:W3CDTF">2022-09-07T18:21:56Z</dcterms:created>
  <dcterms:modified xsi:type="dcterms:W3CDTF">2023-02-02T22:59:05Z</dcterms:modified>
  <cp:category/>
  <cp:contentStatus/>
</cp:coreProperties>
</file>