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Matching Trajectory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(s)</t>
        </is>
      </c>
      <c r="B1" t="inlineStr">
        <is>
          <t>x(t) Without Air (m)</t>
        </is>
      </c>
      <c r="C1" t="inlineStr">
        <is>
          <t>y(t) Without Air (m)</t>
        </is>
      </c>
      <c r="D1" t="inlineStr">
        <is>
          <t>x(t) With Air (m)</t>
        </is>
      </c>
      <c r="E1" t="inlineStr">
        <is>
          <t>y(t) With Air (m)</t>
        </is>
      </c>
    </row>
    <row r="2">
      <c r="A2" t="n">
        <v>0</v>
      </c>
      <c r="B2">
        <f>70*COS(RADIANS(45))*0.0</f>
        <v/>
      </c>
      <c r="C2">
        <f>70*SIN(RADIANS(45))*0.0 - 0.5*9.81*0.0^2</f>
        <v/>
      </c>
      <c r="D2">
        <f>70*COS(RADIANS(45))*EXP(-7.235087881217293e-05*0.0)/7.235087881217293e-05 - (9.81*SIN(RADIANS(45))/(7.235087881217293e-05^2))*(1 - EXP(-7.235087881217293e-05*0.0))</f>
        <v/>
      </c>
      <c r="E2">
        <f>(70*SIN(RADIANS(45))+9.81/7.235087881217293e-05)*(1-EXP(-7.235087881217293e-05*0.0))/7.235087881217293e-05 - (9.81/7.235087881217293e-05)*0.0</f>
        <v/>
      </c>
    </row>
    <row r="3">
      <c r="A3" t="n">
        <v>0.1</v>
      </c>
      <c r="B3">
        <f>70*COS(RADIANS(45))*0.1</f>
        <v/>
      </c>
      <c r="C3">
        <f>70*SIN(RADIANS(45))*0.1 - 0.5*9.81*0.1^2</f>
        <v/>
      </c>
      <c r="D3">
        <f>70*COS(RADIANS(45))*EXP(-7.235087881217293e-05*0.1)/7.235087881217293e-05 - (9.81*SIN(RADIANS(45))/(7.235087881217293e-05^2))*(1 - EXP(-7.235087881217293e-05*0.1))</f>
        <v/>
      </c>
      <c r="E3">
        <f>(70*SIN(RADIANS(45))+9.81/7.235087881217293e-05)*(1-EXP(-7.235087881217293e-05*0.1))/7.235087881217293e-05 - (9.81/7.235087881217293e-05)*0.1</f>
        <v/>
      </c>
    </row>
    <row r="4">
      <c r="A4" t="n">
        <v>0.2</v>
      </c>
      <c r="B4">
        <f>70*COS(RADIANS(45))*0.2</f>
        <v/>
      </c>
      <c r="C4">
        <f>70*SIN(RADIANS(45))*0.2 - 0.5*9.81*0.2^2</f>
        <v/>
      </c>
      <c r="D4">
        <f>70*COS(RADIANS(45))*EXP(-7.235087881217293e-05*0.2)/7.235087881217293e-05 - (9.81*SIN(RADIANS(45))/(7.235087881217293e-05^2))*(1 - EXP(-7.235087881217293e-05*0.2))</f>
        <v/>
      </c>
      <c r="E4">
        <f>(70*SIN(RADIANS(45))+9.81/7.235087881217293e-05)*(1-EXP(-7.235087881217293e-05*0.2))/7.235087881217293e-05 - (9.81/7.235087881217293e-05)*0.2</f>
        <v/>
      </c>
    </row>
    <row r="5">
      <c r="A5" t="n">
        <v>0.3</v>
      </c>
      <c r="B5">
        <f>70*COS(RADIANS(45))*0.30000000000000004</f>
        <v/>
      </c>
      <c r="C5">
        <f>70*SIN(RADIANS(45))*0.30000000000000004 - 0.5*9.81*0.30000000000000004^2</f>
        <v/>
      </c>
      <c r="D5">
        <f>70*COS(RADIANS(45))*EXP(-7.235087881217293e-05*0.30000000000000004)/7.235087881217293e-05 - (9.81*SIN(RADIANS(45))/(7.235087881217293e-05^2))*(1 - EXP(-7.235087881217293e-05*0.30000000000000004))</f>
        <v/>
      </c>
      <c r="E5">
        <f>(70*SIN(RADIANS(45))+9.81/7.235087881217293e-05)*(1-EXP(-7.235087881217293e-05*0.30000000000000004))/7.235087881217293e-05 - (9.81/7.235087881217293e-05)*0.30000000000000004</f>
        <v/>
      </c>
    </row>
    <row r="6">
      <c r="A6" t="n">
        <v>0.4</v>
      </c>
      <c r="B6">
        <f>70*COS(RADIANS(45))*0.4</f>
        <v/>
      </c>
      <c r="C6">
        <f>70*SIN(RADIANS(45))*0.4 - 0.5*9.81*0.4^2</f>
        <v/>
      </c>
      <c r="D6">
        <f>70*COS(RADIANS(45))*EXP(-7.235087881217293e-05*0.4)/7.235087881217293e-05 - (9.81*SIN(RADIANS(45))/(7.235087881217293e-05^2))*(1 - EXP(-7.235087881217293e-05*0.4))</f>
        <v/>
      </c>
      <c r="E6">
        <f>(70*SIN(RADIANS(45))+9.81/7.235087881217293e-05)*(1-EXP(-7.235087881217293e-05*0.4))/7.235087881217293e-05 - (9.81/7.235087881217293e-05)*0.4</f>
        <v/>
      </c>
    </row>
    <row r="7">
      <c r="A7" t="n">
        <v>0.5</v>
      </c>
      <c r="B7">
        <f>70*COS(RADIANS(45))*0.5</f>
        <v/>
      </c>
      <c r="C7">
        <f>70*SIN(RADIANS(45))*0.5 - 0.5*9.81*0.5^2</f>
        <v/>
      </c>
      <c r="D7">
        <f>70*COS(RADIANS(45))*EXP(-7.235087881217293e-05*0.5)/7.235087881217293e-05 - (9.81*SIN(RADIANS(45))/(7.235087881217293e-05^2))*(1 - EXP(-7.235087881217293e-05*0.5))</f>
        <v/>
      </c>
      <c r="E7">
        <f>(70*SIN(RADIANS(45))+9.81/7.235087881217293e-05)*(1-EXP(-7.235087881217293e-05*0.5))/7.235087881217293e-05 - (9.81/7.235087881217293e-05)*0.5</f>
        <v/>
      </c>
    </row>
    <row r="8">
      <c r="A8" t="n">
        <v>0.6000000000000001</v>
      </c>
      <c r="B8">
        <f>70*COS(RADIANS(45))*0.6000000000000001</f>
        <v/>
      </c>
      <c r="C8">
        <f>70*SIN(RADIANS(45))*0.6000000000000001 - 0.5*9.81*0.6000000000000001^2</f>
        <v/>
      </c>
      <c r="D8">
        <f>70*COS(RADIANS(45))*EXP(-7.235087881217293e-05*0.6000000000000001)/7.235087881217293e-05 - (9.81*SIN(RADIANS(45))/(7.235087881217293e-05^2))*(1 - EXP(-7.235087881217293e-05*0.6000000000000001))</f>
        <v/>
      </c>
      <c r="E8">
        <f>(70*SIN(RADIANS(45))+9.81/7.235087881217293e-05)*(1-EXP(-7.235087881217293e-05*0.6000000000000001))/7.235087881217293e-05 - (9.81/7.235087881217293e-05)*0.6000000000000001</f>
        <v/>
      </c>
    </row>
    <row r="9">
      <c r="A9" t="n">
        <v>0.7000000000000001</v>
      </c>
      <c r="B9">
        <f>70*COS(RADIANS(45))*0.7000000000000001</f>
        <v/>
      </c>
      <c r="C9">
        <f>70*SIN(RADIANS(45))*0.7000000000000001 - 0.5*9.81*0.7000000000000001^2</f>
        <v/>
      </c>
      <c r="D9">
        <f>70*COS(RADIANS(45))*EXP(-7.235087881217293e-05*0.7000000000000001)/7.235087881217293e-05 - (9.81*SIN(RADIANS(45))/(7.235087881217293e-05^2))*(1 - EXP(-7.235087881217293e-05*0.7000000000000001))</f>
        <v/>
      </c>
      <c r="E9">
        <f>(70*SIN(RADIANS(45))+9.81/7.235087881217293e-05)*(1-EXP(-7.235087881217293e-05*0.7000000000000001))/7.235087881217293e-05 - (9.81/7.235087881217293e-05)*0.7000000000000001</f>
        <v/>
      </c>
    </row>
    <row r="10">
      <c r="A10" t="n">
        <v>0.8</v>
      </c>
      <c r="B10">
        <f>70*COS(RADIANS(45))*0.8</f>
        <v/>
      </c>
      <c r="C10">
        <f>70*SIN(RADIANS(45))*0.8 - 0.5*9.81*0.8^2</f>
        <v/>
      </c>
      <c r="D10">
        <f>70*COS(RADIANS(45))*EXP(-7.235087881217293e-05*0.8)/7.235087881217293e-05 - (9.81*SIN(RADIANS(45))/(7.235087881217293e-05^2))*(1 - EXP(-7.235087881217293e-05*0.8))</f>
        <v/>
      </c>
      <c r="E10">
        <f>(70*SIN(RADIANS(45))+9.81/7.235087881217293e-05)*(1-EXP(-7.235087881217293e-05*0.8))/7.235087881217293e-05 - (9.81/7.235087881217293e-05)*0.8</f>
        <v/>
      </c>
    </row>
    <row r="11">
      <c r="A11" t="n">
        <v>0.9</v>
      </c>
      <c r="B11">
        <f>70*COS(RADIANS(45))*0.9</f>
        <v/>
      </c>
      <c r="C11">
        <f>70*SIN(RADIANS(45))*0.9 - 0.5*9.81*0.9^2</f>
        <v/>
      </c>
      <c r="D11">
        <f>70*COS(RADIANS(45))*EXP(-7.235087881217293e-05*0.9)/7.235087881217293e-05 - (9.81*SIN(RADIANS(45))/(7.235087881217293e-05^2))*(1 - EXP(-7.235087881217293e-05*0.9))</f>
        <v/>
      </c>
      <c r="E11">
        <f>(70*SIN(RADIANS(45))+9.81/7.235087881217293e-05)*(1-EXP(-7.235087881217293e-05*0.9))/7.235087881217293e-05 - (9.81/7.235087881217293e-05)*0.9</f>
        <v/>
      </c>
    </row>
    <row r="12">
      <c r="A12" t="n">
        <v>1</v>
      </c>
      <c r="B12">
        <f>70*COS(RADIANS(45))*1.0</f>
        <v/>
      </c>
      <c r="C12">
        <f>70*SIN(RADIANS(45))*1.0 - 0.5*9.81*1.0^2</f>
        <v/>
      </c>
      <c r="D12">
        <f>70*COS(RADIANS(45))*EXP(-7.235087881217293e-05*1.0)/7.235087881217293e-05 - (9.81*SIN(RADIANS(45))/(7.235087881217293e-05^2))*(1 - EXP(-7.235087881217293e-05*1.0))</f>
        <v/>
      </c>
      <c r="E12">
        <f>(70*SIN(RADIANS(45))+9.81/7.235087881217293e-05)*(1-EXP(-7.235087881217293e-05*1.0))/7.235087881217293e-05 - (9.81/7.235087881217293e-05)*1.0</f>
        <v/>
      </c>
    </row>
    <row r="13">
      <c r="A13" t="n">
        <v>1.1</v>
      </c>
      <c r="B13">
        <f>70*COS(RADIANS(45))*1.1</f>
        <v/>
      </c>
      <c r="C13">
        <f>70*SIN(RADIANS(45))*1.1 - 0.5*9.81*1.1^2</f>
        <v/>
      </c>
      <c r="D13">
        <f>70*COS(RADIANS(45))*EXP(-7.235087881217293e-05*1.1)/7.235087881217293e-05 - (9.81*SIN(RADIANS(45))/(7.235087881217293e-05^2))*(1 - EXP(-7.235087881217293e-05*1.1))</f>
        <v/>
      </c>
      <c r="E13">
        <f>(70*SIN(RADIANS(45))+9.81/7.235087881217293e-05)*(1-EXP(-7.235087881217293e-05*1.1))/7.235087881217293e-05 - (9.81/7.235087881217293e-05)*1.1</f>
        <v/>
      </c>
    </row>
    <row r="14">
      <c r="A14" t="n">
        <v>1.2</v>
      </c>
      <c r="B14">
        <f>70*COS(RADIANS(45))*1.2000000000000002</f>
        <v/>
      </c>
      <c r="C14">
        <f>70*SIN(RADIANS(45))*1.2000000000000002 - 0.5*9.81*1.2000000000000002^2</f>
        <v/>
      </c>
      <c r="D14">
        <f>70*COS(RADIANS(45))*EXP(-7.235087881217293e-05*1.2000000000000002)/7.235087881217293e-05 - (9.81*SIN(RADIANS(45))/(7.235087881217293e-05^2))*(1 - EXP(-7.235087881217293e-05*1.2000000000000002))</f>
        <v/>
      </c>
      <c r="E14">
        <f>(70*SIN(RADIANS(45))+9.81/7.235087881217293e-05)*(1-EXP(-7.235087881217293e-05*1.2000000000000002))/7.235087881217293e-05 - (9.81/7.235087881217293e-05)*1.2000000000000002</f>
        <v/>
      </c>
    </row>
    <row r="15">
      <c r="A15" t="n">
        <v>1.3</v>
      </c>
      <c r="B15">
        <f>70*COS(RADIANS(45))*1.3</f>
        <v/>
      </c>
      <c r="C15">
        <f>70*SIN(RADIANS(45))*1.3 - 0.5*9.81*1.3^2</f>
        <v/>
      </c>
      <c r="D15">
        <f>70*COS(RADIANS(45))*EXP(-7.235087881217293e-05*1.3)/7.235087881217293e-05 - (9.81*SIN(RADIANS(45))/(7.235087881217293e-05^2))*(1 - EXP(-7.235087881217293e-05*1.3))</f>
        <v/>
      </c>
      <c r="E15">
        <f>(70*SIN(RADIANS(45))+9.81/7.235087881217293e-05)*(1-EXP(-7.235087881217293e-05*1.3))/7.235087881217293e-05 - (9.81/7.235087881217293e-05)*1.3</f>
        <v/>
      </c>
    </row>
    <row r="16">
      <c r="A16" t="n">
        <v>1.4</v>
      </c>
      <c r="B16">
        <f>70*COS(RADIANS(45))*1.4000000000000001</f>
        <v/>
      </c>
      <c r="C16">
        <f>70*SIN(RADIANS(45))*1.4000000000000001 - 0.5*9.81*1.4000000000000001^2</f>
        <v/>
      </c>
      <c r="D16">
        <f>70*COS(RADIANS(45))*EXP(-7.235087881217293e-05*1.4000000000000001)/7.235087881217293e-05 - (9.81*SIN(RADIANS(45))/(7.235087881217293e-05^2))*(1 - EXP(-7.235087881217293e-05*1.4000000000000001))</f>
        <v/>
      </c>
      <c r="E16">
        <f>(70*SIN(RADIANS(45))+9.81/7.235087881217293e-05)*(1-EXP(-7.235087881217293e-05*1.4000000000000001))/7.235087881217293e-05 - (9.81/7.235087881217293e-05)*1.4000000000000001</f>
        <v/>
      </c>
    </row>
    <row r="17">
      <c r="A17" t="n">
        <v>1.5</v>
      </c>
      <c r="B17">
        <f>70*COS(RADIANS(45))*1.5</f>
        <v/>
      </c>
      <c r="C17">
        <f>70*SIN(RADIANS(45))*1.5 - 0.5*9.81*1.5^2</f>
        <v/>
      </c>
      <c r="D17">
        <f>70*COS(RADIANS(45))*EXP(-7.235087881217293e-05*1.5)/7.235087881217293e-05 - (9.81*SIN(RADIANS(45))/(7.235087881217293e-05^2))*(1 - EXP(-7.235087881217293e-05*1.5))</f>
        <v/>
      </c>
      <c r="E17">
        <f>(70*SIN(RADIANS(45))+9.81/7.235087881217293e-05)*(1-EXP(-7.235087881217293e-05*1.5))/7.235087881217293e-05 - (9.81/7.235087881217293e-05)*1.5</f>
        <v/>
      </c>
    </row>
    <row r="18">
      <c r="A18" t="n">
        <v>1.6</v>
      </c>
      <c r="B18">
        <f>70*COS(RADIANS(45))*1.6</f>
        <v/>
      </c>
      <c r="C18">
        <f>70*SIN(RADIANS(45))*1.6 - 0.5*9.81*1.6^2</f>
        <v/>
      </c>
      <c r="D18">
        <f>70*COS(RADIANS(45))*EXP(-7.235087881217293e-05*1.6)/7.235087881217293e-05 - (9.81*SIN(RADIANS(45))/(7.235087881217293e-05^2))*(1 - EXP(-7.235087881217293e-05*1.6))</f>
        <v/>
      </c>
      <c r="E18">
        <f>(70*SIN(RADIANS(45))+9.81/7.235087881217293e-05)*(1-EXP(-7.235087881217293e-05*1.6))/7.235087881217293e-05 - (9.81/7.235087881217293e-05)*1.6</f>
        <v/>
      </c>
    </row>
    <row r="19">
      <c r="A19" t="n">
        <v>1.7</v>
      </c>
      <c r="B19">
        <f>70*COS(RADIANS(45))*1.7000000000000002</f>
        <v/>
      </c>
      <c r="C19">
        <f>70*SIN(RADIANS(45))*1.7000000000000002 - 0.5*9.81*1.7000000000000002^2</f>
        <v/>
      </c>
      <c r="D19">
        <f>70*COS(RADIANS(45))*EXP(-7.235087881217293e-05*1.7000000000000002)/7.235087881217293e-05 - (9.81*SIN(RADIANS(45))/(7.235087881217293e-05^2))*(1 - EXP(-7.235087881217293e-05*1.7000000000000002))</f>
        <v/>
      </c>
      <c r="E19">
        <f>(70*SIN(RADIANS(45))+9.81/7.235087881217293e-05)*(1-EXP(-7.235087881217293e-05*1.7000000000000002))/7.235087881217293e-05 - (9.81/7.235087881217293e-05)*1.7000000000000002</f>
        <v/>
      </c>
    </row>
    <row r="20">
      <c r="A20" t="n">
        <v>1.8</v>
      </c>
      <c r="B20">
        <f>70*COS(RADIANS(45))*1.8</f>
        <v/>
      </c>
      <c r="C20">
        <f>70*SIN(RADIANS(45))*1.8 - 0.5*9.81*1.8^2</f>
        <v/>
      </c>
      <c r="D20">
        <f>70*COS(RADIANS(45))*EXP(-7.235087881217293e-05*1.8)/7.235087881217293e-05 - (9.81*SIN(RADIANS(45))/(7.235087881217293e-05^2))*(1 - EXP(-7.235087881217293e-05*1.8))</f>
        <v/>
      </c>
      <c r="E20">
        <f>(70*SIN(RADIANS(45))+9.81/7.235087881217293e-05)*(1-EXP(-7.235087881217293e-05*1.8))/7.235087881217293e-05 - (9.81/7.235087881217293e-05)*1.8</f>
        <v/>
      </c>
    </row>
    <row r="21">
      <c r="A21" t="n">
        <v>1.9</v>
      </c>
      <c r="B21">
        <f>70*COS(RADIANS(45))*1.9000000000000001</f>
        <v/>
      </c>
      <c r="C21">
        <f>70*SIN(RADIANS(45))*1.9000000000000001 - 0.5*9.81*1.9000000000000001^2</f>
        <v/>
      </c>
      <c r="D21">
        <f>70*COS(RADIANS(45))*EXP(-7.235087881217293e-05*1.9000000000000001)/7.235087881217293e-05 - (9.81*SIN(RADIANS(45))/(7.235087881217293e-05^2))*(1 - EXP(-7.235087881217293e-05*1.9000000000000001))</f>
        <v/>
      </c>
      <c r="E21">
        <f>(70*SIN(RADIANS(45))+9.81/7.235087881217293e-05)*(1-EXP(-7.235087881217293e-05*1.9000000000000001))/7.235087881217293e-05 - (9.81/7.235087881217293e-05)*1.9000000000000001</f>
        <v/>
      </c>
    </row>
    <row r="22">
      <c r="A22" t="n">
        <v>2</v>
      </c>
      <c r="B22">
        <f>70*COS(RADIANS(45))*2.0</f>
        <v/>
      </c>
      <c r="C22">
        <f>70*SIN(RADIANS(45))*2.0 - 0.5*9.81*2.0^2</f>
        <v/>
      </c>
      <c r="D22">
        <f>70*COS(RADIANS(45))*EXP(-7.235087881217293e-05*2.0)/7.235087881217293e-05 - (9.81*SIN(RADIANS(45))/(7.235087881217293e-05^2))*(1 - EXP(-7.235087881217293e-05*2.0))</f>
        <v/>
      </c>
      <c r="E22">
        <f>(70*SIN(RADIANS(45))+9.81/7.235087881217293e-05)*(1-EXP(-7.235087881217293e-05*2.0))/7.235087881217293e-05 - (9.81/7.235087881217293e-05)*2.0</f>
        <v/>
      </c>
    </row>
    <row r="23">
      <c r="A23" t="n">
        <v>2.1</v>
      </c>
      <c r="B23">
        <f>70*COS(RADIANS(45))*2.1</f>
        <v/>
      </c>
      <c r="C23">
        <f>70*SIN(RADIANS(45))*2.1 - 0.5*9.81*2.1^2</f>
        <v/>
      </c>
      <c r="D23">
        <f>70*COS(RADIANS(45))*EXP(-7.235087881217293e-05*2.1)/7.235087881217293e-05 - (9.81*SIN(RADIANS(45))/(7.235087881217293e-05^2))*(1 - EXP(-7.235087881217293e-05*2.1))</f>
        <v/>
      </c>
      <c r="E23">
        <f>(70*SIN(RADIANS(45))+9.81/7.235087881217293e-05)*(1-EXP(-7.235087881217293e-05*2.1))/7.235087881217293e-05 - (9.81/7.235087881217293e-05)*2.1</f>
        <v/>
      </c>
    </row>
    <row r="24">
      <c r="A24" t="n">
        <v>2.2</v>
      </c>
      <c r="B24">
        <f>70*COS(RADIANS(45))*2.2</f>
        <v/>
      </c>
      <c r="C24">
        <f>70*SIN(RADIANS(45))*2.2 - 0.5*9.81*2.2^2</f>
        <v/>
      </c>
      <c r="D24">
        <f>70*COS(RADIANS(45))*EXP(-7.235087881217293e-05*2.2)/7.235087881217293e-05 - (9.81*SIN(RADIANS(45))/(7.235087881217293e-05^2))*(1 - EXP(-7.235087881217293e-05*2.2))</f>
        <v/>
      </c>
      <c r="E24">
        <f>(70*SIN(RADIANS(45))+9.81/7.235087881217293e-05)*(1-EXP(-7.235087881217293e-05*2.2))/7.235087881217293e-05 - (9.81/7.235087881217293e-05)*2.2</f>
        <v/>
      </c>
    </row>
    <row r="25">
      <c r="A25" t="n">
        <v>2.3</v>
      </c>
      <c r="B25">
        <f>70*COS(RADIANS(45))*2.3000000000000003</f>
        <v/>
      </c>
      <c r="C25">
        <f>70*SIN(RADIANS(45))*2.3000000000000003 - 0.5*9.81*2.3000000000000003^2</f>
        <v/>
      </c>
      <c r="D25">
        <f>70*COS(RADIANS(45))*EXP(-7.235087881217293e-05*2.3000000000000003)/7.235087881217293e-05 - (9.81*SIN(RADIANS(45))/(7.235087881217293e-05^2))*(1 - EXP(-7.235087881217293e-05*2.3000000000000003))</f>
        <v/>
      </c>
      <c r="E25">
        <f>(70*SIN(RADIANS(45))+9.81/7.235087881217293e-05)*(1-EXP(-7.235087881217293e-05*2.3000000000000003))/7.235087881217293e-05 - (9.81/7.235087881217293e-05)*2.3000000000000003</f>
        <v/>
      </c>
    </row>
    <row r="26">
      <c r="A26" t="n">
        <v>2.4</v>
      </c>
      <c r="B26">
        <f>70*COS(RADIANS(45))*2.4000000000000004</f>
        <v/>
      </c>
      <c r="C26">
        <f>70*SIN(RADIANS(45))*2.4000000000000004 - 0.5*9.81*2.4000000000000004^2</f>
        <v/>
      </c>
      <c r="D26">
        <f>70*COS(RADIANS(45))*EXP(-7.235087881217293e-05*2.4000000000000004)/7.235087881217293e-05 - (9.81*SIN(RADIANS(45))/(7.235087881217293e-05^2))*(1 - EXP(-7.235087881217293e-05*2.4000000000000004))</f>
        <v/>
      </c>
      <c r="E26">
        <f>(70*SIN(RADIANS(45))+9.81/7.235087881217293e-05)*(1-EXP(-7.235087881217293e-05*2.4000000000000004))/7.235087881217293e-05 - (9.81/7.235087881217293e-05)*2.4000000000000004</f>
        <v/>
      </c>
    </row>
    <row r="27">
      <c r="A27" t="n">
        <v>2.5</v>
      </c>
      <c r="B27">
        <f>70*COS(RADIANS(45))*2.5</f>
        <v/>
      </c>
      <c r="C27">
        <f>70*SIN(RADIANS(45))*2.5 - 0.5*9.81*2.5^2</f>
        <v/>
      </c>
      <c r="D27">
        <f>70*COS(RADIANS(45))*EXP(-7.235087881217293e-05*2.5)/7.235087881217293e-05 - (9.81*SIN(RADIANS(45))/(7.235087881217293e-05^2))*(1 - EXP(-7.235087881217293e-05*2.5))</f>
        <v/>
      </c>
      <c r="E27">
        <f>(70*SIN(RADIANS(45))+9.81/7.235087881217293e-05)*(1-EXP(-7.235087881217293e-05*2.5))/7.235087881217293e-05 - (9.81/7.235087881217293e-05)*2.5</f>
        <v/>
      </c>
    </row>
    <row r="28">
      <c r="A28" t="n">
        <v>2.6</v>
      </c>
      <c r="B28">
        <f>70*COS(RADIANS(45))*2.6</f>
        <v/>
      </c>
      <c r="C28">
        <f>70*SIN(RADIANS(45))*2.6 - 0.5*9.81*2.6^2</f>
        <v/>
      </c>
      <c r="D28">
        <f>70*COS(RADIANS(45))*EXP(-7.235087881217293e-05*2.6)/7.235087881217293e-05 - (9.81*SIN(RADIANS(45))/(7.235087881217293e-05^2))*(1 - EXP(-7.235087881217293e-05*2.6))</f>
        <v/>
      </c>
      <c r="E28">
        <f>(70*SIN(RADIANS(45))+9.81/7.235087881217293e-05)*(1-EXP(-7.235087881217293e-05*2.6))/7.235087881217293e-05 - (9.81/7.235087881217293e-05)*2.6</f>
        <v/>
      </c>
    </row>
    <row r="29">
      <c r="A29" t="n">
        <v>2.7</v>
      </c>
      <c r="B29">
        <f>70*COS(RADIANS(45))*2.7</f>
        <v/>
      </c>
      <c r="C29">
        <f>70*SIN(RADIANS(45))*2.7 - 0.5*9.81*2.7^2</f>
        <v/>
      </c>
      <c r="D29">
        <f>70*COS(RADIANS(45))*EXP(-7.235087881217293e-05*2.7)/7.235087881217293e-05 - (9.81*SIN(RADIANS(45))/(7.235087881217293e-05^2))*(1 - EXP(-7.235087881217293e-05*2.7))</f>
        <v/>
      </c>
      <c r="E29">
        <f>(70*SIN(RADIANS(45))+9.81/7.235087881217293e-05)*(1-EXP(-7.235087881217293e-05*2.7))/7.235087881217293e-05 - (9.81/7.235087881217293e-05)*2.7</f>
        <v/>
      </c>
    </row>
    <row r="30">
      <c r="A30" t="n">
        <v>2.8</v>
      </c>
      <c r="B30">
        <f>70*COS(RADIANS(45))*2.8000000000000003</f>
        <v/>
      </c>
      <c r="C30">
        <f>70*SIN(RADIANS(45))*2.8000000000000003 - 0.5*9.81*2.8000000000000003^2</f>
        <v/>
      </c>
      <c r="D30">
        <f>70*COS(RADIANS(45))*EXP(-7.235087881217293e-05*2.8000000000000003)/7.235087881217293e-05 - (9.81*SIN(RADIANS(45))/(7.235087881217293e-05^2))*(1 - EXP(-7.235087881217293e-05*2.8000000000000003))</f>
        <v/>
      </c>
      <c r="E30">
        <f>(70*SIN(RADIANS(45))+9.81/7.235087881217293e-05)*(1-EXP(-7.235087881217293e-05*2.8000000000000003))/7.235087881217293e-05 - (9.81/7.235087881217293e-05)*2.8000000000000003</f>
        <v/>
      </c>
    </row>
    <row r="31">
      <c r="A31" t="n">
        <v>2.9</v>
      </c>
      <c r="B31">
        <f>70*COS(RADIANS(45))*2.9000000000000004</f>
        <v/>
      </c>
      <c r="C31">
        <f>70*SIN(RADIANS(45))*2.9000000000000004 - 0.5*9.81*2.9000000000000004^2</f>
        <v/>
      </c>
      <c r="D31">
        <f>70*COS(RADIANS(45))*EXP(-7.235087881217293e-05*2.9000000000000004)/7.235087881217293e-05 - (9.81*SIN(RADIANS(45))/(7.235087881217293e-05^2))*(1 - EXP(-7.235087881217293e-05*2.9000000000000004))</f>
        <v/>
      </c>
      <c r="E31">
        <f>(70*SIN(RADIANS(45))+9.81/7.235087881217293e-05)*(1-EXP(-7.235087881217293e-05*2.9000000000000004))/7.235087881217293e-05 - (9.81/7.235087881217293e-05)*2.9000000000000004</f>
        <v/>
      </c>
    </row>
    <row r="32">
      <c r="A32" t="n">
        <v>3</v>
      </c>
      <c r="B32">
        <f>70*COS(RADIANS(45))*3.0</f>
        <v/>
      </c>
      <c r="C32">
        <f>70*SIN(RADIANS(45))*3.0 - 0.5*9.81*3.0^2</f>
        <v/>
      </c>
      <c r="D32">
        <f>70*COS(RADIANS(45))*EXP(-7.235087881217293e-05*3.0)/7.235087881217293e-05 - (9.81*SIN(RADIANS(45))/(7.235087881217293e-05^2))*(1 - EXP(-7.235087881217293e-05*3.0))</f>
        <v/>
      </c>
      <c r="E32">
        <f>(70*SIN(RADIANS(45))+9.81/7.235087881217293e-05)*(1-EXP(-7.235087881217293e-05*3.0))/7.235087881217293e-05 - (9.81/7.235087881217293e-05)*3.0</f>
        <v/>
      </c>
    </row>
    <row r="33">
      <c r="A33" t="n">
        <v>3.1</v>
      </c>
      <c r="B33">
        <f>70*COS(RADIANS(45))*3.1</f>
        <v/>
      </c>
      <c r="C33">
        <f>70*SIN(RADIANS(45))*3.1 - 0.5*9.81*3.1^2</f>
        <v/>
      </c>
      <c r="D33">
        <f>70*COS(RADIANS(45))*EXP(-7.235087881217293e-05*3.1)/7.235087881217293e-05 - (9.81*SIN(RADIANS(45))/(7.235087881217293e-05^2))*(1 - EXP(-7.235087881217293e-05*3.1))</f>
        <v/>
      </c>
      <c r="E33">
        <f>(70*SIN(RADIANS(45))+9.81/7.235087881217293e-05)*(1-EXP(-7.235087881217293e-05*3.1))/7.235087881217293e-05 - (9.81/7.235087881217293e-05)*3.1</f>
        <v/>
      </c>
    </row>
    <row r="34">
      <c r="A34" t="n">
        <v>3.2</v>
      </c>
      <c r="B34">
        <f>70*COS(RADIANS(45))*3.2</f>
        <v/>
      </c>
      <c r="C34">
        <f>70*SIN(RADIANS(45))*3.2 - 0.5*9.81*3.2^2</f>
        <v/>
      </c>
      <c r="D34">
        <f>70*COS(RADIANS(45))*EXP(-7.235087881217293e-05*3.2)/7.235087881217293e-05 - (9.81*SIN(RADIANS(45))/(7.235087881217293e-05^2))*(1 - EXP(-7.235087881217293e-05*3.2))</f>
        <v/>
      </c>
      <c r="E34">
        <f>(70*SIN(RADIANS(45))+9.81/7.235087881217293e-05)*(1-EXP(-7.235087881217293e-05*3.2))/7.235087881217293e-05 - (9.81/7.235087881217293e-05)*3.2</f>
        <v/>
      </c>
    </row>
    <row r="35">
      <c r="A35" t="n">
        <v>3.3</v>
      </c>
      <c r="B35">
        <f>70*COS(RADIANS(45))*3.3000000000000003</f>
        <v/>
      </c>
      <c r="C35">
        <f>70*SIN(RADIANS(45))*3.3000000000000003 - 0.5*9.81*3.3000000000000003^2</f>
        <v/>
      </c>
      <c r="D35">
        <f>70*COS(RADIANS(45))*EXP(-7.235087881217293e-05*3.3000000000000003)/7.235087881217293e-05 - (9.81*SIN(RADIANS(45))/(7.235087881217293e-05^2))*(1 - EXP(-7.235087881217293e-05*3.3000000000000003))</f>
        <v/>
      </c>
      <c r="E35">
        <f>(70*SIN(RADIANS(45))+9.81/7.235087881217293e-05)*(1-EXP(-7.235087881217293e-05*3.3000000000000003))/7.235087881217293e-05 - (9.81/7.235087881217293e-05)*3.3000000000000003</f>
        <v/>
      </c>
    </row>
    <row r="36">
      <c r="A36" t="n">
        <v>3.4</v>
      </c>
      <c r="B36">
        <f>70*COS(RADIANS(45))*3.4000000000000004</f>
        <v/>
      </c>
      <c r="C36">
        <f>70*SIN(RADIANS(45))*3.4000000000000004 - 0.5*9.81*3.4000000000000004^2</f>
        <v/>
      </c>
      <c r="D36">
        <f>70*COS(RADIANS(45))*EXP(-7.235087881217293e-05*3.4000000000000004)/7.235087881217293e-05 - (9.81*SIN(RADIANS(45))/(7.235087881217293e-05^2))*(1 - EXP(-7.235087881217293e-05*3.4000000000000004))</f>
        <v/>
      </c>
      <c r="E36">
        <f>(70*SIN(RADIANS(45))+9.81/7.235087881217293e-05)*(1-EXP(-7.235087881217293e-05*3.4000000000000004))/7.235087881217293e-05 - (9.81/7.235087881217293e-05)*3.4000000000000004</f>
        <v/>
      </c>
    </row>
    <row r="37">
      <c r="A37" t="n">
        <v>3.5</v>
      </c>
      <c r="B37">
        <f>70*COS(RADIANS(45))*3.5</f>
        <v/>
      </c>
      <c r="C37">
        <f>70*SIN(RADIANS(45))*3.5 - 0.5*9.81*3.5^2</f>
        <v/>
      </c>
      <c r="D37">
        <f>70*COS(RADIANS(45))*EXP(-7.235087881217293e-05*3.5)/7.235087881217293e-05 - (9.81*SIN(RADIANS(45))/(7.235087881217293e-05^2))*(1 - EXP(-7.235087881217293e-05*3.5))</f>
        <v/>
      </c>
      <c r="E37">
        <f>(70*SIN(RADIANS(45))+9.81/7.235087881217293e-05)*(1-EXP(-7.235087881217293e-05*3.5))/7.235087881217293e-05 - (9.81/7.235087881217293e-05)*3.5</f>
        <v/>
      </c>
    </row>
    <row r="38">
      <c r="A38" t="n">
        <v>3.6</v>
      </c>
      <c r="B38">
        <f>70*COS(RADIANS(45))*3.6</f>
        <v/>
      </c>
      <c r="C38">
        <f>70*SIN(RADIANS(45))*3.6 - 0.5*9.81*3.6^2</f>
        <v/>
      </c>
      <c r="D38">
        <f>70*COS(RADIANS(45))*EXP(-7.235087881217293e-05*3.6)/7.235087881217293e-05 - (9.81*SIN(RADIANS(45))/(7.235087881217293e-05^2))*(1 - EXP(-7.235087881217293e-05*3.6))</f>
        <v/>
      </c>
      <c r="E38">
        <f>(70*SIN(RADIANS(45))+9.81/7.235087881217293e-05)*(1-EXP(-7.235087881217293e-05*3.6))/7.235087881217293e-05 - (9.81/7.235087881217293e-05)*3.6</f>
        <v/>
      </c>
    </row>
    <row r="39">
      <c r="A39" t="n">
        <v>3.7</v>
      </c>
      <c r="B39">
        <f>70*COS(RADIANS(45))*3.7</f>
        <v/>
      </c>
      <c r="C39">
        <f>70*SIN(RADIANS(45))*3.7 - 0.5*9.81*3.7^2</f>
        <v/>
      </c>
      <c r="D39">
        <f>70*COS(RADIANS(45))*EXP(-7.235087881217293e-05*3.7)/7.235087881217293e-05 - (9.81*SIN(RADIANS(45))/(7.235087881217293e-05^2))*(1 - EXP(-7.235087881217293e-05*3.7))</f>
        <v/>
      </c>
      <c r="E39">
        <f>(70*SIN(RADIANS(45))+9.81/7.235087881217293e-05)*(1-EXP(-7.235087881217293e-05*3.7))/7.235087881217293e-05 - (9.81/7.235087881217293e-05)*3.7</f>
        <v/>
      </c>
    </row>
    <row r="40">
      <c r="A40" t="n">
        <v>3.8</v>
      </c>
      <c r="B40">
        <f>70*COS(RADIANS(45))*3.8000000000000003</f>
        <v/>
      </c>
      <c r="C40">
        <f>70*SIN(RADIANS(45))*3.8000000000000003 - 0.5*9.81*3.8000000000000003^2</f>
        <v/>
      </c>
      <c r="D40">
        <f>70*COS(RADIANS(45))*EXP(-7.235087881217293e-05*3.8000000000000003)/7.235087881217293e-05 - (9.81*SIN(RADIANS(45))/(7.235087881217293e-05^2))*(1 - EXP(-7.235087881217293e-05*3.8000000000000003))</f>
        <v/>
      </c>
      <c r="E40">
        <f>(70*SIN(RADIANS(45))+9.81/7.235087881217293e-05)*(1-EXP(-7.235087881217293e-05*3.8000000000000003))/7.235087881217293e-05 - (9.81/7.235087881217293e-05)*3.8000000000000003</f>
        <v/>
      </c>
    </row>
    <row r="41">
      <c r="A41" t="n">
        <v>3.9</v>
      </c>
      <c r="B41">
        <f>70*COS(RADIANS(45))*3.9000000000000004</f>
        <v/>
      </c>
      <c r="C41">
        <f>70*SIN(RADIANS(45))*3.9000000000000004 - 0.5*9.81*3.9000000000000004^2</f>
        <v/>
      </c>
      <c r="D41">
        <f>70*COS(RADIANS(45))*EXP(-7.235087881217293e-05*3.9000000000000004)/7.235087881217293e-05 - (9.81*SIN(RADIANS(45))/(7.235087881217293e-05^2))*(1 - EXP(-7.235087881217293e-05*3.9000000000000004))</f>
        <v/>
      </c>
      <c r="E41">
        <f>(70*SIN(RADIANS(45))+9.81/7.235087881217293e-05)*(1-EXP(-7.235087881217293e-05*3.9000000000000004))/7.235087881217293e-05 - (9.81/7.235087881217293e-05)*3.9000000000000004</f>
        <v/>
      </c>
    </row>
    <row r="42">
      <c r="A42" t="n">
        <v>4</v>
      </c>
      <c r="B42">
        <f>70*COS(RADIANS(45))*4.0</f>
        <v/>
      </c>
      <c r="C42">
        <f>70*SIN(RADIANS(45))*4.0 - 0.5*9.81*4.0^2</f>
        <v/>
      </c>
      <c r="D42">
        <f>70*COS(RADIANS(45))*EXP(-7.235087881217293e-05*4.0)/7.235087881217293e-05 - (9.81*SIN(RADIANS(45))/(7.235087881217293e-05^2))*(1 - EXP(-7.235087881217293e-05*4.0))</f>
        <v/>
      </c>
      <c r="E42">
        <f>(70*SIN(RADIANS(45))+9.81/7.235087881217293e-05)*(1-EXP(-7.235087881217293e-05*4.0))/7.235087881217293e-05 - (9.81/7.235087881217293e-05)*4.0</f>
        <v/>
      </c>
    </row>
    <row r="43">
      <c r="A43" t="n">
        <v>4.100000000000001</v>
      </c>
      <c r="B43">
        <f>70*COS(RADIANS(45))*4.1000000000000005</f>
        <v/>
      </c>
      <c r="C43">
        <f>70*SIN(RADIANS(45))*4.1000000000000005 - 0.5*9.81*4.1000000000000005^2</f>
        <v/>
      </c>
      <c r="D43">
        <f>70*COS(RADIANS(45))*EXP(-7.235087881217293e-05*4.1000000000000005)/7.235087881217293e-05 - (9.81*SIN(RADIANS(45))/(7.235087881217293e-05^2))*(1 - EXP(-7.235087881217293e-05*4.1000000000000005))</f>
        <v/>
      </c>
      <c r="E43">
        <f>(70*SIN(RADIANS(45))+9.81/7.235087881217293e-05)*(1-EXP(-7.235087881217293e-05*4.1000000000000005))/7.235087881217293e-05 - (9.81/7.235087881217293e-05)*4.1000000000000005</f>
        <v/>
      </c>
    </row>
    <row r="44">
      <c r="A44" t="n">
        <v>4.2</v>
      </c>
      <c r="B44">
        <f>70*COS(RADIANS(45))*4.2</f>
        <v/>
      </c>
      <c r="C44">
        <f>70*SIN(RADIANS(45))*4.2 - 0.5*9.81*4.2^2</f>
        <v/>
      </c>
      <c r="D44">
        <f>70*COS(RADIANS(45))*EXP(-7.235087881217293e-05*4.2)/7.235087881217293e-05 - (9.81*SIN(RADIANS(45))/(7.235087881217293e-05^2))*(1 - EXP(-7.235087881217293e-05*4.2))</f>
        <v/>
      </c>
      <c r="E44">
        <f>(70*SIN(RADIANS(45))+9.81/7.235087881217293e-05)*(1-EXP(-7.235087881217293e-05*4.2))/7.235087881217293e-05 - (9.81/7.235087881217293e-05)*4.2</f>
        <v/>
      </c>
    </row>
    <row r="45">
      <c r="A45" t="n">
        <v>4.3</v>
      </c>
      <c r="B45">
        <f>70*COS(RADIANS(45))*4.3</f>
        <v/>
      </c>
      <c r="C45">
        <f>70*SIN(RADIANS(45))*4.3 - 0.5*9.81*4.3^2</f>
        <v/>
      </c>
      <c r="D45">
        <f>70*COS(RADIANS(45))*EXP(-7.235087881217293e-05*4.3)/7.235087881217293e-05 - (9.81*SIN(RADIANS(45))/(7.235087881217293e-05^2))*(1 - EXP(-7.235087881217293e-05*4.3))</f>
        <v/>
      </c>
      <c r="E45">
        <f>(70*SIN(RADIANS(45))+9.81/7.235087881217293e-05)*(1-EXP(-7.235087881217293e-05*4.3))/7.235087881217293e-05 - (9.81/7.235087881217293e-05)*4.3</f>
        <v/>
      </c>
    </row>
    <row r="46">
      <c r="A46" t="n">
        <v>4.4</v>
      </c>
      <c r="B46">
        <f>70*COS(RADIANS(45))*4.4</f>
        <v/>
      </c>
      <c r="C46">
        <f>70*SIN(RADIANS(45))*4.4 - 0.5*9.81*4.4^2</f>
        <v/>
      </c>
      <c r="D46">
        <f>70*COS(RADIANS(45))*EXP(-7.235087881217293e-05*4.4)/7.235087881217293e-05 - (9.81*SIN(RADIANS(45))/(7.235087881217293e-05^2))*(1 - EXP(-7.235087881217293e-05*4.4))</f>
        <v/>
      </c>
      <c r="E46">
        <f>(70*SIN(RADIANS(45))+9.81/7.235087881217293e-05)*(1-EXP(-7.235087881217293e-05*4.4))/7.235087881217293e-05 - (9.81/7.235087881217293e-05)*4.4</f>
        <v/>
      </c>
    </row>
    <row r="47">
      <c r="A47" t="n">
        <v>4.5</v>
      </c>
      <c r="B47">
        <f>70*COS(RADIANS(45))*4.5</f>
        <v/>
      </c>
      <c r="C47">
        <f>70*SIN(RADIANS(45))*4.5 - 0.5*9.81*4.5^2</f>
        <v/>
      </c>
      <c r="D47">
        <f>70*COS(RADIANS(45))*EXP(-7.235087881217293e-05*4.5)/7.235087881217293e-05 - (9.81*SIN(RADIANS(45))/(7.235087881217293e-05^2))*(1 - EXP(-7.235087881217293e-05*4.5))</f>
        <v/>
      </c>
      <c r="E47">
        <f>(70*SIN(RADIANS(45))+9.81/7.235087881217293e-05)*(1-EXP(-7.235087881217293e-05*4.5))/7.235087881217293e-05 - (9.81/7.235087881217293e-05)*4.5</f>
        <v/>
      </c>
    </row>
    <row r="48">
      <c r="A48" t="n">
        <v>4.600000000000001</v>
      </c>
      <c r="B48">
        <f>70*COS(RADIANS(45))*4.6000000000000005</f>
        <v/>
      </c>
      <c r="C48">
        <f>70*SIN(RADIANS(45))*4.6000000000000005 - 0.5*9.81*4.6000000000000005^2</f>
        <v/>
      </c>
      <c r="D48">
        <f>70*COS(RADIANS(45))*EXP(-7.235087881217293e-05*4.6000000000000005)/7.235087881217293e-05 - (9.81*SIN(RADIANS(45))/(7.235087881217293e-05^2))*(1 - EXP(-7.235087881217293e-05*4.6000000000000005))</f>
        <v/>
      </c>
      <c r="E48">
        <f>(70*SIN(RADIANS(45))+9.81/7.235087881217293e-05)*(1-EXP(-7.235087881217293e-05*4.6000000000000005))/7.235087881217293e-05 - (9.81/7.235087881217293e-05)*4.6000000000000005</f>
        <v/>
      </c>
    </row>
    <row r="49">
      <c r="A49" t="n">
        <v>4.7</v>
      </c>
      <c r="B49">
        <f>70*COS(RADIANS(45))*4.7</f>
        <v/>
      </c>
      <c r="C49">
        <f>70*SIN(RADIANS(45))*4.7 - 0.5*9.81*4.7^2</f>
        <v/>
      </c>
      <c r="D49">
        <f>70*COS(RADIANS(45))*EXP(-7.235087881217293e-05*4.7)/7.235087881217293e-05 - (9.81*SIN(RADIANS(45))/(7.235087881217293e-05^2))*(1 - EXP(-7.235087881217293e-05*4.7))</f>
        <v/>
      </c>
      <c r="E49">
        <f>(70*SIN(RADIANS(45))+9.81/7.235087881217293e-05)*(1-EXP(-7.235087881217293e-05*4.7))/7.235087881217293e-05 - (9.81/7.235087881217293e-05)*4.7</f>
        <v/>
      </c>
    </row>
    <row r="50">
      <c r="A50" t="n">
        <v>4.800000000000001</v>
      </c>
      <c r="B50">
        <f>70*COS(RADIANS(45))*4.800000000000001</f>
        <v/>
      </c>
      <c r="C50">
        <f>70*SIN(RADIANS(45))*4.800000000000001 - 0.5*9.81*4.800000000000001^2</f>
        <v/>
      </c>
      <c r="D50">
        <f>70*COS(RADIANS(45))*EXP(-7.235087881217293e-05*4.800000000000001)/7.235087881217293e-05 - (9.81*SIN(RADIANS(45))/(7.235087881217293e-05^2))*(1 - EXP(-7.235087881217293e-05*4.800000000000001))</f>
        <v/>
      </c>
      <c r="E50">
        <f>(70*SIN(RADIANS(45))+9.81/7.235087881217293e-05)*(1-EXP(-7.235087881217293e-05*4.800000000000001))/7.235087881217293e-05 - (9.81/7.235087881217293e-05)*4.800000000000001</f>
        <v/>
      </c>
    </row>
    <row r="51">
      <c r="A51" t="n">
        <v>4.9</v>
      </c>
      <c r="B51">
        <f>70*COS(RADIANS(45))*4.9</f>
        <v/>
      </c>
      <c r="C51">
        <f>70*SIN(RADIANS(45))*4.9 - 0.5*9.81*4.9^2</f>
        <v/>
      </c>
      <c r="D51">
        <f>70*COS(RADIANS(45))*EXP(-7.235087881217293e-05*4.9)/7.235087881217293e-05 - (9.81*SIN(RADIANS(45))/(7.235087881217293e-05^2))*(1 - EXP(-7.235087881217293e-05*4.9))</f>
        <v/>
      </c>
      <c r="E51">
        <f>(70*SIN(RADIANS(45))+9.81/7.235087881217293e-05)*(1-EXP(-7.235087881217293e-05*4.9))/7.235087881217293e-05 - (9.81/7.235087881217293e-05)*4.9</f>
        <v/>
      </c>
    </row>
    <row r="52">
      <c r="A52" t="n">
        <v>5</v>
      </c>
      <c r="B52">
        <f>70*COS(RADIANS(45))*5.0</f>
        <v/>
      </c>
      <c r="C52">
        <f>70*SIN(RADIANS(45))*5.0 - 0.5*9.81*5.0^2</f>
        <v/>
      </c>
      <c r="D52">
        <f>70*COS(RADIANS(45))*EXP(-7.235087881217293e-05*5.0)/7.235087881217293e-05 - (9.81*SIN(RADIANS(45))/(7.235087881217293e-05^2))*(1 - EXP(-7.235087881217293e-05*5.0))</f>
        <v/>
      </c>
      <c r="E52">
        <f>(70*SIN(RADIANS(45))+9.81/7.235087881217293e-05)*(1-EXP(-7.235087881217293e-05*5.0))/7.235087881217293e-05 - (9.81/7.235087881217293e-05)*5.0</f>
        <v/>
      </c>
    </row>
    <row r="53">
      <c r="A53" t="n">
        <v>5.100000000000001</v>
      </c>
      <c r="B53">
        <f>70*COS(RADIANS(45))*5.1000000000000005</f>
        <v/>
      </c>
      <c r="C53">
        <f>70*SIN(RADIANS(45))*5.1000000000000005 - 0.5*9.81*5.1000000000000005^2</f>
        <v/>
      </c>
      <c r="D53">
        <f>70*COS(RADIANS(45))*EXP(-7.235087881217293e-05*5.1000000000000005)/7.235087881217293e-05 - (9.81*SIN(RADIANS(45))/(7.235087881217293e-05^2))*(1 - EXP(-7.235087881217293e-05*5.1000000000000005))</f>
        <v/>
      </c>
      <c r="E53">
        <f>(70*SIN(RADIANS(45))+9.81/7.235087881217293e-05)*(1-EXP(-7.235087881217293e-05*5.1000000000000005))/7.235087881217293e-05 - (9.81/7.235087881217293e-05)*5.1000000000000005</f>
        <v/>
      </c>
    </row>
    <row r="54">
      <c r="A54" t="n">
        <v>5.2</v>
      </c>
      <c r="B54">
        <f>70*COS(RADIANS(45))*5.2</f>
        <v/>
      </c>
      <c r="C54">
        <f>70*SIN(RADIANS(45))*5.2 - 0.5*9.81*5.2^2</f>
        <v/>
      </c>
      <c r="D54">
        <f>70*COS(RADIANS(45))*EXP(-7.235087881217293e-05*5.2)/7.235087881217293e-05 - (9.81*SIN(RADIANS(45))/(7.235087881217293e-05^2))*(1 - EXP(-7.235087881217293e-05*5.2))</f>
        <v/>
      </c>
      <c r="E54">
        <f>(70*SIN(RADIANS(45))+9.81/7.235087881217293e-05)*(1-EXP(-7.235087881217293e-05*5.2))/7.235087881217293e-05 - (9.81/7.235087881217293e-05)*5.2</f>
        <v/>
      </c>
    </row>
    <row r="55">
      <c r="A55" t="n">
        <v>5.300000000000001</v>
      </c>
      <c r="B55">
        <f>70*COS(RADIANS(45))*5.300000000000001</f>
        <v/>
      </c>
      <c r="C55">
        <f>70*SIN(RADIANS(45))*5.300000000000001 - 0.5*9.81*5.300000000000001^2</f>
        <v/>
      </c>
      <c r="D55">
        <f>70*COS(RADIANS(45))*EXP(-7.235087881217293e-05*5.300000000000001)/7.235087881217293e-05 - (9.81*SIN(RADIANS(45))/(7.235087881217293e-05^2))*(1 - EXP(-7.235087881217293e-05*5.300000000000001))</f>
        <v/>
      </c>
      <c r="E55">
        <f>(70*SIN(RADIANS(45))+9.81/7.235087881217293e-05)*(1-EXP(-7.235087881217293e-05*5.300000000000001))/7.235087881217293e-05 - (9.81/7.235087881217293e-05)*5.300000000000001</f>
        <v/>
      </c>
    </row>
    <row r="56">
      <c r="A56" t="n">
        <v>5.4</v>
      </c>
      <c r="B56">
        <f>70*COS(RADIANS(45))*5.4</f>
        <v/>
      </c>
      <c r="C56">
        <f>70*SIN(RADIANS(45))*5.4 - 0.5*9.81*5.4^2</f>
        <v/>
      </c>
      <c r="D56">
        <f>70*COS(RADIANS(45))*EXP(-7.235087881217293e-05*5.4)/7.235087881217293e-05 - (9.81*SIN(RADIANS(45))/(7.235087881217293e-05^2))*(1 - EXP(-7.235087881217293e-05*5.4))</f>
        <v/>
      </c>
      <c r="E56">
        <f>(70*SIN(RADIANS(45))+9.81/7.235087881217293e-05)*(1-EXP(-7.235087881217293e-05*5.4))/7.235087881217293e-05 - (9.81/7.235087881217293e-05)*5.4</f>
        <v/>
      </c>
    </row>
    <row r="57">
      <c r="A57" t="n">
        <v>5.5</v>
      </c>
      <c r="B57">
        <f>70*COS(RADIANS(45))*5.5</f>
        <v/>
      </c>
      <c r="C57">
        <f>70*SIN(RADIANS(45))*5.5 - 0.5*9.81*5.5^2</f>
        <v/>
      </c>
      <c r="D57">
        <f>70*COS(RADIANS(45))*EXP(-7.235087881217293e-05*5.5)/7.235087881217293e-05 - (9.81*SIN(RADIANS(45))/(7.235087881217293e-05^2))*(1 - EXP(-7.235087881217293e-05*5.5))</f>
        <v/>
      </c>
      <c r="E57">
        <f>(70*SIN(RADIANS(45))+9.81/7.235087881217293e-05)*(1-EXP(-7.235087881217293e-05*5.5))/7.235087881217293e-05 - (9.81/7.235087881217293e-05)*5.5</f>
        <v/>
      </c>
    </row>
    <row r="58">
      <c r="A58" t="n">
        <v>5.600000000000001</v>
      </c>
      <c r="B58">
        <f>70*COS(RADIANS(45))*5.6000000000000005</f>
        <v/>
      </c>
      <c r="C58">
        <f>70*SIN(RADIANS(45))*5.6000000000000005 - 0.5*9.81*5.6000000000000005^2</f>
        <v/>
      </c>
      <c r="D58">
        <f>70*COS(RADIANS(45))*EXP(-7.235087881217293e-05*5.6000000000000005)/7.235087881217293e-05 - (9.81*SIN(RADIANS(45))/(7.235087881217293e-05^2))*(1 - EXP(-7.235087881217293e-05*5.6000000000000005))</f>
        <v/>
      </c>
      <c r="E58">
        <f>(70*SIN(RADIANS(45))+9.81/7.235087881217293e-05)*(1-EXP(-7.235087881217293e-05*5.6000000000000005))/7.235087881217293e-05 - (9.81/7.235087881217293e-05)*5.6000000000000005</f>
        <v/>
      </c>
    </row>
    <row r="59">
      <c r="A59" t="n">
        <v>5.7</v>
      </c>
      <c r="B59">
        <f>70*COS(RADIANS(45))*5.7</f>
        <v/>
      </c>
      <c r="C59">
        <f>70*SIN(RADIANS(45))*5.7 - 0.5*9.81*5.7^2</f>
        <v/>
      </c>
      <c r="D59">
        <f>70*COS(RADIANS(45))*EXP(-7.235087881217293e-05*5.7)/7.235087881217293e-05 - (9.81*SIN(RADIANS(45))/(7.235087881217293e-05^2))*(1 - EXP(-7.235087881217293e-05*5.7))</f>
        <v/>
      </c>
      <c r="E59">
        <f>(70*SIN(RADIANS(45))+9.81/7.235087881217293e-05)*(1-EXP(-7.235087881217293e-05*5.7))/7.235087881217293e-05 - (9.81/7.235087881217293e-05)*5.7</f>
        <v/>
      </c>
    </row>
    <row r="60">
      <c r="A60" t="n">
        <v>5.800000000000001</v>
      </c>
      <c r="B60">
        <f>70*COS(RADIANS(45))*5.800000000000001</f>
        <v/>
      </c>
      <c r="C60">
        <f>70*SIN(RADIANS(45))*5.800000000000001 - 0.5*9.81*5.800000000000001^2</f>
        <v/>
      </c>
      <c r="D60">
        <f>70*COS(RADIANS(45))*EXP(-7.235087881217293e-05*5.800000000000001)/7.235087881217293e-05 - (9.81*SIN(RADIANS(45))/(7.235087881217293e-05^2))*(1 - EXP(-7.235087881217293e-05*5.800000000000001))</f>
        <v/>
      </c>
      <c r="E60">
        <f>(70*SIN(RADIANS(45))+9.81/7.235087881217293e-05)*(1-EXP(-7.235087881217293e-05*5.800000000000001))/7.235087881217293e-05 - (9.81/7.235087881217293e-05)*5.800000000000001</f>
        <v/>
      </c>
    </row>
    <row r="61">
      <c r="A61" t="n">
        <v>5.9</v>
      </c>
      <c r="B61">
        <f>70*COS(RADIANS(45))*5.9</f>
        <v/>
      </c>
      <c r="C61">
        <f>70*SIN(RADIANS(45))*5.9 - 0.5*9.81*5.9^2</f>
        <v/>
      </c>
      <c r="D61">
        <f>70*COS(RADIANS(45))*EXP(-7.235087881217293e-05*5.9)/7.235087881217293e-05 - (9.81*SIN(RADIANS(45))/(7.235087881217293e-05^2))*(1 - EXP(-7.235087881217293e-05*5.9))</f>
        <v/>
      </c>
      <c r="E61">
        <f>(70*SIN(RADIANS(45))+9.81/7.235087881217293e-05)*(1-EXP(-7.235087881217293e-05*5.9))/7.235087881217293e-05 - (9.81/7.235087881217293e-05)*5.9</f>
        <v/>
      </c>
    </row>
    <row r="62">
      <c r="A62" t="n">
        <v>6</v>
      </c>
      <c r="B62">
        <f>70*COS(RADIANS(45))*6.0</f>
        <v/>
      </c>
      <c r="C62">
        <f>70*SIN(RADIANS(45))*6.0 - 0.5*9.81*6.0^2</f>
        <v/>
      </c>
      <c r="D62">
        <f>70*COS(RADIANS(45))*EXP(-7.235087881217293e-05*6.0)/7.235087881217293e-05 - (9.81*SIN(RADIANS(45))/(7.235087881217293e-05^2))*(1 - EXP(-7.235087881217293e-05*6.0))</f>
        <v/>
      </c>
      <c r="E62">
        <f>(70*SIN(RADIANS(45))+9.81/7.235087881217293e-05)*(1-EXP(-7.235087881217293e-05*6.0))/7.235087881217293e-05 - (9.81/7.235087881217293e-05)*6.0</f>
        <v/>
      </c>
    </row>
    <row r="63">
      <c r="A63" t="n">
        <v>6.100000000000001</v>
      </c>
      <c r="B63">
        <f>70*COS(RADIANS(45))*6.1000000000000005</f>
        <v/>
      </c>
      <c r="C63">
        <f>70*SIN(RADIANS(45))*6.1000000000000005 - 0.5*9.81*6.1000000000000005^2</f>
        <v/>
      </c>
      <c r="D63">
        <f>70*COS(RADIANS(45))*EXP(-7.235087881217293e-05*6.1000000000000005)/7.235087881217293e-05 - (9.81*SIN(RADIANS(45))/(7.235087881217293e-05^2))*(1 - EXP(-7.235087881217293e-05*6.1000000000000005))</f>
        <v/>
      </c>
      <c r="E63">
        <f>(70*SIN(RADIANS(45))+9.81/7.235087881217293e-05)*(1-EXP(-7.235087881217293e-05*6.1000000000000005))/7.235087881217293e-05 - (9.81/7.235087881217293e-05)*6.1000000000000005</f>
        <v/>
      </c>
    </row>
    <row r="64">
      <c r="A64" t="n">
        <v>6.2</v>
      </c>
      <c r="B64">
        <f>70*COS(RADIANS(45))*6.2</f>
        <v/>
      </c>
      <c r="C64">
        <f>70*SIN(RADIANS(45))*6.2 - 0.5*9.81*6.2^2</f>
        <v/>
      </c>
      <c r="D64">
        <f>70*COS(RADIANS(45))*EXP(-7.235087881217293e-05*6.2)/7.235087881217293e-05 - (9.81*SIN(RADIANS(45))/(7.235087881217293e-05^2))*(1 - EXP(-7.235087881217293e-05*6.2))</f>
        <v/>
      </c>
      <c r="E64">
        <f>(70*SIN(RADIANS(45))+9.81/7.235087881217293e-05)*(1-EXP(-7.235087881217293e-05*6.2))/7.235087881217293e-05 - (9.81/7.235087881217293e-05)*6.2</f>
        <v/>
      </c>
    </row>
    <row r="65">
      <c r="A65" t="n">
        <v>6.300000000000001</v>
      </c>
      <c r="B65">
        <f>70*COS(RADIANS(45))*6.300000000000001</f>
        <v/>
      </c>
      <c r="C65">
        <f>70*SIN(RADIANS(45))*6.300000000000001 - 0.5*9.81*6.300000000000001^2</f>
        <v/>
      </c>
      <c r="D65">
        <f>70*COS(RADIANS(45))*EXP(-7.235087881217293e-05*6.300000000000001)/7.235087881217293e-05 - (9.81*SIN(RADIANS(45))/(7.235087881217293e-05^2))*(1 - EXP(-7.235087881217293e-05*6.300000000000001))</f>
        <v/>
      </c>
      <c r="E65">
        <f>(70*SIN(RADIANS(45))+9.81/7.235087881217293e-05)*(1-EXP(-7.235087881217293e-05*6.300000000000001))/7.235087881217293e-05 - (9.81/7.235087881217293e-05)*6.300000000000001</f>
        <v/>
      </c>
    </row>
    <row r="66">
      <c r="A66" t="n">
        <v>6.4</v>
      </c>
      <c r="B66">
        <f>70*COS(RADIANS(45))*6.4</f>
        <v/>
      </c>
      <c r="C66">
        <f>70*SIN(RADIANS(45))*6.4 - 0.5*9.81*6.4^2</f>
        <v/>
      </c>
      <c r="D66">
        <f>70*COS(RADIANS(45))*EXP(-7.235087881217293e-05*6.4)/7.235087881217293e-05 - (9.81*SIN(RADIANS(45))/(7.235087881217293e-05^2))*(1 - EXP(-7.235087881217293e-05*6.4))</f>
        <v/>
      </c>
      <c r="E66">
        <f>(70*SIN(RADIANS(45))+9.81/7.235087881217293e-05)*(1-EXP(-7.235087881217293e-05*6.4))/7.235087881217293e-05 - (9.81/7.235087881217293e-05)*6.4</f>
        <v/>
      </c>
    </row>
    <row r="67">
      <c r="A67" t="n">
        <v>6.5</v>
      </c>
      <c r="B67">
        <f>70*COS(RADIANS(45))*6.5</f>
        <v/>
      </c>
      <c r="C67">
        <f>70*SIN(RADIANS(45))*6.5 - 0.5*9.81*6.5^2</f>
        <v/>
      </c>
      <c r="D67">
        <f>70*COS(RADIANS(45))*EXP(-7.235087881217293e-05*6.5)/7.235087881217293e-05 - (9.81*SIN(RADIANS(45))/(7.235087881217293e-05^2))*(1 - EXP(-7.235087881217293e-05*6.5))</f>
        <v/>
      </c>
      <c r="E67">
        <f>(70*SIN(RADIANS(45))+9.81/7.235087881217293e-05)*(1-EXP(-7.235087881217293e-05*6.5))/7.235087881217293e-05 - (9.81/7.235087881217293e-05)*6.5</f>
        <v/>
      </c>
    </row>
    <row r="68">
      <c r="A68" t="n">
        <v>6.600000000000001</v>
      </c>
      <c r="B68">
        <f>70*COS(RADIANS(45))*6.6000000000000005</f>
        <v/>
      </c>
      <c r="C68">
        <f>70*SIN(RADIANS(45))*6.6000000000000005 - 0.5*9.81*6.6000000000000005^2</f>
        <v/>
      </c>
      <c r="D68">
        <f>70*COS(RADIANS(45))*EXP(-7.235087881217293e-05*6.6000000000000005)/7.235087881217293e-05 - (9.81*SIN(RADIANS(45))/(7.235087881217293e-05^2))*(1 - EXP(-7.235087881217293e-05*6.6000000000000005))</f>
        <v/>
      </c>
      <c r="E68">
        <f>(70*SIN(RADIANS(45))+9.81/7.235087881217293e-05)*(1-EXP(-7.235087881217293e-05*6.6000000000000005))/7.235087881217293e-05 - (9.81/7.235087881217293e-05)*6.6000000000000005</f>
        <v/>
      </c>
    </row>
    <row r="69">
      <c r="A69" t="n">
        <v>6.7</v>
      </c>
      <c r="B69">
        <f>70*COS(RADIANS(45))*6.7</f>
        <v/>
      </c>
      <c r="C69">
        <f>70*SIN(RADIANS(45))*6.7 - 0.5*9.81*6.7^2</f>
        <v/>
      </c>
      <c r="D69">
        <f>70*COS(RADIANS(45))*EXP(-7.235087881217293e-05*6.7)/7.235087881217293e-05 - (9.81*SIN(RADIANS(45))/(7.235087881217293e-05^2))*(1 - EXP(-7.235087881217293e-05*6.7))</f>
        <v/>
      </c>
      <c r="E69">
        <f>(70*SIN(RADIANS(45))+9.81/7.235087881217293e-05)*(1-EXP(-7.235087881217293e-05*6.7))/7.235087881217293e-05 - (9.81/7.235087881217293e-05)*6.7</f>
        <v/>
      </c>
    </row>
    <row r="70">
      <c r="A70" t="n">
        <v>6.800000000000001</v>
      </c>
      <c r="B70">
        <f>70*COS(RADIANS(45))*6.800000000000001</f>
        <v/>
      </c>
      <c r="C70">
        <f>70*SIN(RADIANS(45))*6.800000000000001 - 0.5*9.81*6.800000000000001^2</f>
        <v/>
      </c>
      <c r="D70">
        <f>70*COS(RADIANS(45))*EXP(-7.235087881217293e-05*6.800000000000001)/7.235087881217293e-05 - (9.81*SIN(RADIANS(45))/(7.235087881217293e-05^2))*(1 - EXP(-7.235087881217293e-05*6.800000000000001))</f>
        <v/>
      </c>
      <c r="E70">
        <f>(70*SIN(RADIANS(45))+9.81/7.235087881217293e-05)*(1-EXP(-7.235087881217293e-05*6.800000000000001))/7.235087881217293e-05 - (9.81/7.235087881217293e-05)*6.800000000000001</f>
        <v/>
      </c>
    </row>
    <row r="71">
      <c r="A71" t="n">
        <v>6.9</v>
      </c>
      <c r="B71">
        <f>70*COS(RADIANS(45))*6.9</f>
        <v/>
      </c>
      <c r="C71">
        <f>70*SIN(RADIANS(45))*6.9 - 0.5*9.81*6.9^2</f>
        <v/>
      </c>
      <c r="D71">
        <f>70*COS(RADIANS(45))*EXP(-7.235087881217293e-05*6.9)/7.235087881217293e-05 - (9.81*SIN(RADIANS(45))/(7.235087881217293e-05^2))*(1 - EXP(-7.235087881217293e-05*6.9))</f>
        <v/>
      </c>
      <c r="E71">
        <f>(70*SIN(RADIANS(45))+9.81/7.235087881217293e-05)*(1-EXP(-7.235087881217293e-05*6.9))/7.235087881217293e-05 - (9.81/7.235087881217293e-05)*6.9</f>
        <v/>
      </c>
    </row>
    <row r="72">
      <c r="A72" t="n">
        <v>7</v>
      </c>
      <c r="B72">
        <f>70*COS(RADIANS(45))*7.0</f>
        <v/>
      </c>
      <c r="C72">
        <f>70*SIN(RADIANS(45))*7.0 - 0.5*9.81*7.0^2</f>
        <v/>
      </c>
      <c r="D72">
        <f>70*COS(RADIANS(45))*EXP(-7.235087881217293e-05*7.0)/7.235087881217293e-05 - (9.81*SIN(RADIANS(45))/(7.235087881217293e-05^2))*(1 - EXP(-7.235087881217293e-05*7.0))</f>
        <v/>
      </c>
      <c r="E72">
        <f>(70*SIN(RADIANS(45))+9.81/7.235087881217293e-05)*(1-EXP(-7.235087881217293e-05*7.0))/7.235087881217293e-05 - (9.81/7.235087881217293e-05)*7.0</f>
        <v/>
      </c>
    </row>
    <row r="73">
      <c r="A73" t="n">
        <v>7.100000000000001</v>
      </c>
      <c r="B73">
        <f>70*COS(RADIANS(45))*7.1000000000000005</f>
        <v/>
      </c>
      <c r="C73">
        <f>70*SIN(RADIANS(45))*7.1000000000000005 - 0.5*9.81*7.1000000000000005^2</f>
        <v/>
      </c>
      <c r="D73">
        <f>70*COS(RADIANS(45))*EXP(-7.235087881217293e-05*7.1000000000000005)/7.235087881217293e-05 - (9.81*SIN(RADIANS(45))/(7.235087881217293e-05^2))*(1 - EXP(-7.235087881217293e-05*7.1000000000000005))</f>
        <v/>
      </c>
      <c r="E73">
        <f>(70*SIN(RADIANS(45))+9.81/7.235087881217293e-05)*(1-EXP(-7.235087881217293e-05*7.1000000000000005))/7.235087881217293e-05 - (9.81/7.235087881217293e-05)*7.1000000000000005</f>
        <v/>
      </c>
    </row>
    <row r="74">
      <c r="A74" t="n">
        <v>7.2</v>
      </c>
      <c r="B74">
        <f>70*COS(RADIANS(45))*7.2</f>
        <v/>
      </c>
      <c r="C74">
        <f>70*SIN(RADIANS(45))*7.2 - 0.5*9.81*7.2^2</f>
        <v/>
      </c>
      <c r="D74">
        <f>70*COS(RADIANS(45))*EXP(-7.235087881217293e-05*7.2)/7.235087881217293e-05 - (9.81*SIN(RADIANS(45))/(7.235087881217293e-05^2))*(1 - EXP(-7.235087881217293e-05*7.2))</f>
        <v/>
      </c>
      <c r="E74">
        <f>(70*SIN(RADIANS(45))+9.81/7.235087881217293e-05)*(1-EXP(-7.235087881217293e-05*7.2))/7.235087881217293e-05 - (9.81/7.235087881217293e-05)*7.2</f>
        <v/>
      </c>
    </row>
    <row r="75">
      <c r="A75" t="n">
        <v>7.300000000000001</v>
      </c>
      <c r="B75">
        <f>70*COS(RADIANS(45))*7.300000000000001</f>
        <v/>
      </c>
      <c r="C75">
        <f>70*SIN(RADIANS(45))*7.300000000000001 - 0.5*9.81*7.300000000000001^2</f>
        <v/>
      </c>
      <c r="D75">
        <f>70*COS(RADIANS(45))*EXP(-7.235087881217293e-05*7.300000000000001)/7.235087881217293e-05 - (9.81*SIN(RADIANS(45))/(7.235087881217293e-05^2))*(1 - EXP(-7.235087881217293e-05*7.300000000000001))</f>
        <v/>
      </c>
      <c r="E75">
        <f>(70*SIN(RADIANS(45))+9.81/7.235087881217293e-05)*(1-EXP(-7.235087881217293e-05*7.300000000000001))/7.235087881217293e-05 - (9.81/7.235087881217293e-05)*7.300000000000001</f>
        <v/>
      </c>
    </row>
    <row r="76">
      <c r="A76" t="n">
        <v>7.4</v>
      </c>
      <c r="B76">
        <f>70*COS(RADIANS(45))*7.4</f>
        <v/>
      </c>
      <c r="C76">
        <f>70*SIN(RADIANS(45))*7.4 - 0.5*9.81*7.4^2</f>
        <v/>
      </c>
      <c r="D76">
        <f>70*COS(RADIANS(45))*EXP(-7.235087881217293e-05*7.4)/7.235087881217293e-05 - (9.81*SIN(RADIANS(45))/(7.235087881217293e-05^2))*(1 - EXP(-7.235087881217293e-05*7.4))</f>
        <v/>
      </c>
      <c r="E76">
        <f>(70*SIN(RADIANS(45))+9.81/7.235087881217293e-05)*(1-EXP(-7.235087881217293e-05*7.4))/7.235087881217293e-05 - (9.81/7.235087881217293e-05)*7.4</f>
        <v/>
      </c>
    </row>
    <row r="77">
      <c r="A77" t="n">
        <v>7.5</v>
      </c>
      <c r="B77">
        <f>70*COS(RADIANS(45))*7.5</f>
        <v/>
      </c>
      <c r="C77">
        <f>70*SIN(RADIANS(45))*7.5 - 0.5*9.81*7.5^2</f>
        <v/>
      </c>
      <c r="D77">
        <f>70*COS(RADIANS(45))*EXP(-7.235087881217293e-05*7.5)/7.235087881217293e-05 - (9.81*SIN(RADIANS(45))/(7.235087881217293e-05^2))*(1 - EXP(-7.235087881217293e-05*7.5))</f>
        <v/>
      </c>
      <c r="E77">
        <f>(70*SIN(RADIANS(45))+9.81/7.235087881217293e-05)*(1-EXP(-7.235087881217293e-05*7.5))/7.235087881217293e-05 - (9.81/7.235087881217293e-05)*7.5</f>
        <v/>
      </c>
    </row>
    <row r="78">
      <c r="A78" t="n">
        <v>7.600000000000001</v>
      </c>
      <c r="B78">
        <f>70*COS(RADIANS(45))*7.6000000000000005</f>
        <v/>
      </c>
      <c r="C78">
        <f>70*SIN(RADIANS(45))*7.6000000000000005 - 0.5*9.81*7.6000000000000005^2</f>
        <v/>
      </c>
      <c r="D78">
        <f>70*COS(RADIANS(45))*EXP(-7.235087881217293e-05*7.6000000000000005)/7.235087881217293e-05 - (9.81*SIN(RADIANS(45))/(7.235087881217293e-05^2))*(1 - EXP(-7.235087881217293e-05*7.6000000000000005))</f>
        <v/>
      </c>
      <c r="E78">
        <f>(70*SIN(RADIANS(45))+9.81/7.235087881217293e-05)*(1-EXP(-7.235087881217293e-05*7.6000000000000005))/7.235087881217293e-05 - (9.81/7.235087881217293e-05)*7.6000000000000005</f>
        <v/>
      </c>
    </row>
    <row r="79">
      <c r="A79" t="n">
        <v>7.7</v>
      </c>
      <c r="B79">
        <f>70*COS(RADIANS(45))*7.7</f>
        <v/>
      </c>
      <c r="C79">
        <f>70*SIN(RADIANS(45))*7.7 - 0.5*9.81*7.7^2</f>
        <v/>
      </c>
      <c r="D79">
        <f>70*COS(RADIANS(45))*EXP(-7.235087881217293e-05*7.7)/7.235087881217293e-05 - (9.81*SIN(RADIANS(45))/(7.235087881217293e-05^2))*(1 - EXP(-7.235087881217293e-05*7.7))</f>
        <v/>
      </c>
      <c r="E79">
        <f>(70*SIN(RADIANS(45))+9.81/7.235087881217293e-05)*(1-EXP(-7.235087881217293e-05*7.7))/7.235087881217293e-05 - (9.81/7.235087881217293e-05)*7.7</f>
        <v/>
      </c>
    </row>
    <row r="80">
      <c r="A80" t="n">
        <v>7.800000000000001</v>
      </c>
      <c r="B80">
        <f>70*COS(RADIANS(45))*7.800000000000001</f>
        <v/>
      </c>
      <c r="C80">
        <f>70*SIN(RADIANS(45))*7.800000000000001 - 0.5*9.81*7.800000000000001^2</f>
        <v/>
      </c>
      <c r="D80">
        <f>70*COS(RADIANS(45))*EXP(-7.235087881217293e-05*7.800000000000001)/7.235087881217293e-05 - (9.81*SIN(RADIANS(45))/(7.235087881217293e-05^2))*(1 - EXP(-7.235087881217293e-05*7.800000000000001))</f>
        <v/>
      </c>
      <c r="E80">
        <f>(70*SIN(RADIANS(45))+9.81/7.235087881217293e-05)*(1-EXP(-7.235087881217293e-05*7.800000000000001))/7.235087881217293e-05 - (9.81/7.235087881217293e-05)*7.800000000000001</f>
        <v/>
      </c>
    </row>
    <row r="81">
      <c r="A81" t="n">
        <v>7.9</v>
      </c>
      <c r="B81">
        <f>70*COS(RADIANS(45))*7.9</f>
        <v/>
      </c>
      <c r="C81">
        <f>70*SIN(RADIANS(45))*7.9 - 0.5*9.81*7.9^2</f>
        <v/>
      </c>
      <c r="D81">
        <f>70*COS(RADIANS(45))*EXP(-7.235087881217293e-05*7.9)/7.235087881217293e-05 - (9.81*SIN(RADIANS(45))/(7.235087881217293e-05^2))*(1 - EXP(-7.235087881217293e-05*7.9))</f>
        <v/>
      </c>
      <c r="E81">
        <f>(70*SIN(RADIANS(45))+9.81/7.235087881217293e-05)*(1-EXP(-7.235087881217293e-05*7.9))/7.235087881217293e-05 - (9.81/7.235087881217293e-05)*7.9</f>
        <v/>
      </c>
    </row>
    <row r="82">
      <c r="A82" t="n">
        <v>8</v>
      </c>
      <c r="B82">
        <f>70*COS(RADIANS(45))*8.0</f>
        <v/>
      </c>
      <c r="C82">
        <f>70*SIN(RADIANS(45))*8.0 - 0.5*9.81*8.0^2</f>
        <v/>
      </c>
      <c r="D82">
        <f>70*COS(RADIANS(45))*EXP(-7.235087881217293e-05*8.0)/7.235087881217293e-05 - (9.81*SIN(RADIANS(45))/(7.235087881217293e-05^2))*(1 - EXP(-7.235087881217293e-05*8.0))</f>
        <v/>
      </c>
      <c r="E82">
        <f>(70*SIN(RADIANS(45))+9.81/7.235087881217293e-05)*(1-EXP(-7.235087881217293e-05*8.0))/7.235087881217293e-05 - (9.81/7.235087881217293e-05)*8.0</f>
        <v/>
      </c>
    </row>
    <row r="83">
      <c r="A83" t="n">
        <v>8.1</v>
      </c>
      <c r="B83">
        <f>70*COS(RADIANS(45))*8.1</f>
        <v/>
      </c>
      <c r="C83">
        <f>70*SIN(RADIANS(45))*8.1 - 0.5*9.81*8.1^2</f>
        <v/>
      </c>
      <c r="D83">
        <f>70*COS(RADIANS(45))*EXP(-7.235087881217293e-05*8.1)/7.235087881217293e-05 - (9.81*SIN(RADIANS(45))/(7.235087881217293e-05^2))*(1 - EXP(-7.235087881217293e-05*8.1))</f>
        <v/>
      </c>
      <c r="E83">
        <f>(70*SIN(RADIANS(45))+9.81/7.235087881217293e-05)*(1-EXP(-7.235087881217293e-05*8.1))/7.235087881217293e-05 - (9.81/7.235087881217293e-05)*8.1</f>
        <v/>
      </c>
    </row>
    <row r="84">
      <c r="A84" t="n">
        <v>8.200000000000001</v>
      </c>
      <c r="B84">
        <f>70*COS(RADIANS(45))*8.200000000000001</f>
        <v/>
      </c>
      <c r="C84">
        <f>70*SIN(RADIANS(45))*8.200000000000001 - 0.5*9.81*8.200000000000001^2</f>
        <v/>
      </c>
      <c r="D84">
        <f>70*COS(RADIANS(45))*EXP(-7.235087881217293e-05*8.200000000000001)/7.235087881217293e-05 - (9.81*SIN(RADIANS(45))/(7.235087881217293e-05^2))*(1 - EXP(-7.235087881217293e-05*8.200000000000001))</f>
        <v/>
      </c>
      <c r="E84">
        <f>(70*SIN(RADIANS(45))+9.81/7.235087881217293e-05)*(1-EXP(-7.235087881217293e-05*8.200000000000001))/7.235087881217293e-05 - (9.81/7.235087881217293e-05)*8.200000000000001</f>
        <v/>
      </c>
    </row>
    <row r="85">
      <c r="A85" t="n">
        <v>8.300000000000001</v>
      </c>
      <c r="B85">
        <f>70*COS(RADIANS(45))*8.3</f>
        <v/>
      </c>
      <c r="C85">
        <f>70*SIN(RADIANS(45))*8.3 - 0.5*9.81*8.3^2</f>
        <v/>
      </c>
      <c r="D85">
        <f>70*COS(RADIANS(45))*EXP(-7.235087881217293e-05*8.3)/7.235087881217293e-05 - (9.81*SIN(RADIANS(45))/(7.235087881217293e-05^2))*(1 - EXP(-7.235087881217293e-05*8.3))</f>
        <v/>
      </c>
      <c r="E85">
        <f>(70*SIN(RADIANS(45))+9.81/7.235087881217293e-05)*(1-EXP(-7.235087881217293e-05*8.3))/7.235087881217293e-05 - (9.81/7.235087881217293e-05)*8.3</f>
        <v/>
      </c>
    </row>
    <row r="86">
      <c r="A86" t="n">
        <v>8.4</v>
      </c>
      <c r="B86">
        <f>70*COS(RADIANS(45))*8.4</f>
        <v/>
      </c>
      <c r="C86">
        <f>70*SIN(RADIANS(45))*8.4 - 0.5*9.81*8.4^2</f>
        <v/>
      </c>
      <c r="D86">
        <f>70*COS(RADIANS(45))*EXP(-7.235087881217293e-05*8.4)/7.235087881217293e-05 - (9.81*SIN(RADIANS(45))/(7.235087881217293e-05^2))*(1 - EXP(-7.235087881217293e-05*8.4))</f>
        <v/>
      </c>
      <c r="E86">
        <f>(70*SIN(RADIANS(45))+9.81/7.235087881217293e-05)*(1-EXP(-7.235087881217293e-05*8.4))/7.235087881217293e-05 - (9.81/7.235087881217293e-05)*8.4</f>
        <v/>
      </c>
    </row>
    <row r="87">
      <c r="A87" t="n">
        <v>8.5</v>
      </c>
      <c r="B87">
        <f>70*COS(RADIANS(45))*8.5</f>
        <v/>
      </c>
      <c r="C87">
        <f>70*SIN(RADIANS(45))*8.5 - 0.5*9.81*8.5^2</f>
        <v/>
      </c>
      <c r="D87">
        <f>70*COS(RADIANS(45))*EXP(-7.235087881217293e-05*8.5)/7.235087881217293e-05 - (9.81*SIN(RADIANS(45))/(7.235087881217293e-05^2))*(1 - EXP(-7.235087881217293e-05*8.5))</f>
        <v/>
      </c>
      <c r="E87">
        <f>(70*SIN(RADIANS(45))+9.81/7.235087881217293e-05)*(1-EXP(-7.235087881217293e-05*8.5))/7.235087881217293e-05 - (9.81/7.235087881217293e-05)*8.5</f>
        <v/>
      </c>
    </row>
    <row r="88">
      <c r="A88" t="n">
        <v>8.6</v>
      </c>
      <c r="B88">
        <f>70*COS(RADIANS(45))*8.6</f>
        <v/>
      </c>
      <c r="C88">
        <f>70*SIN(RADIANS(45))*8.6 - 0.5*9.81*8.6^2</f>
        <v/>
      </c>
      <c r="D88">
        <f>70*COS(RADIANS(45))*EXP(-7.235087881217293e-05*8.6)/7.235087881217293e-05 - (9.81*SIN(RADIANS(45))/(7.235087881217293e-05^2))*(1 - EXP(-7.235087881217293e-05*8.6))</f>
        <v/>
      </c>
      <c r="E88">
        <f>(70*SIN(RADIANS(45))+9.81/7.235087881217293e-05)*(1-EXP(-7.235087881217293e-05*8.6))/7.235087881217293e-05 - (9.81/7.235087881217293e-05)*8.6</f>
        <v/>
      </c>
    </row>
    <row r="89">
      <c r="A89" t="n">
        <v>8.700000000000001</v>
      </c>
      <c r="B89">
        <f>70*COS(RADIANS(45))*8.700000000000001</f>
        <v/>
      </c>
      <c r="C89">
        <f>70*SIN(RADIANS(45))*8.700000000000001 - 0.5*9.81*8.700000000000001^2</f>
        <v/>
      </c>
      <c r="D89">
        <f>70*COS(RADIANS(45))*EXP(-7.235087881217293e-05*8.700000000000001)/7.235087881217293e-05 - (9.81*SIN(RADIANS(45))/(7.235087881217293e-05^2))*(1 - EXP(-7.235087881217293e-05*8.700000000000001))</f>
        <v/>
      </c>
      <c r="E89">
        <f>(70*SIN(RADIANS(45))+9.81/7.235087881217293e-05)*(1-EXP(-7.235087881217293e-05*8.700000000000001))/7.235087881217293e-05 - (9.81/7.235087881217293e-05)*8.700000000000001</f>
        <v/>
      </c>
    </row>
    <row r="90">
      <c r="A90" t="n">
        <v>8.800000000000001</v>
      </c>
      <c r="B90">
        <f>70*COS(RADIANS(45))*8.8</f>
        <v/>
      </c>
      <c r="C90">
        <f>70*SIN(RADIANS(45))*8.8 - 0.5*9.81*8.8^2</f>
        <v/>
      </c>
      <c r="D90">
        <f>70*COS(RADIANS(45))*EXP(-7.235087881217293e-05*8.8)/7.235087881217293e-05 - (9.81*SIN(RADIANS(45))/(7.235087881217293e-05^2))*(1 - EXP(-7.235087881217293e-05*8.8))</f>
        <v/>
      </c>
      <c r="E90">
        <f>(70*SIN(RADIANS(45))+9.81/7.235087881217293e-05)*(1-EXP(-7.235087881217293e-05*8.8))/7.235087881217293e-05 - (9.81/7.235087881217293e-05)*8.8</f>
        <v/>
      </c>
    </row>
    <row r="91">
      <c r="A91" t="n">
        <v>8.9</v>
      </c>
      <c r="B91">
        <f>70*COS(RADIANS(45))*8.9</f>
        <v/>
      </c>
      <c r="C91">
        <f>70*SIN(RADIANS(45))*8.9 - 0.5*9.81*8.9^2</f>
        <v/>
      </c>
      <c r="D91">
        <f>70*COS(RADIANS(45))*EXP(-7.235087881217293e-05*8.9)/7.235087881217293e-05 - (9.81*SIN(RADIANS(45))/(7.235087881217293e-05^2))*(1 - EXP(-7.235087881217293e-05*8.9))</f>
        <v/>
      </c>
      <c r="E91">
        <f>(70*SIN(RADIANS(45))+9.81/7.235087881217293e-05)*(1-EXP(-7.235087881217293e-05*8.9))/7.235087881217293e-05 - (9.81/7.235087881217293e-05)*8.9</f>
        <v/>
      </c>
    </row>
    <row r="92">
      <c r="A92" t="n">
        <v>9</v>
      </c>
      <c r="B92">
        <f>70*COS(RADIANS(45))*9.0</f>
        <v/>
      </c>
      <c r="C92">
        <f>70*SIN(RADIANS(45))*9.0 - 0.5*9.81*9.0^2</f>
        <v/>
      </c>
      <c r="D92">
        <f>70*COS(RADIANS(45))*EXP(-7.235087881217293e-05*9.0)/7.235087881217293e-05 - (9.81*SIN(RADIANS(45))/(7.235087881217293e-05^2))*(1 - EXP(-7.235087881217293e-05*9.0))</f>
        <v/>
      </c>
      <c r="E92">
        <f>(70*SIN(RADIANS(45))+9.81/7.235087881217293e-05)*(1-EXP(-7.235087881217293e-05*9.0))/7.235087881217293e-05 - (9.81/7.235087881217293e-05)*9.0</f>
        <v/>
      </c>
    </row>
    <row r="93">
      <c r="A93" t="n">
        <v>9.1</v>
      </c>
      <c r="B93">
        <f>70*COS(RADIANS(45))*9.1</f>
        <v/>
      </c>
      <c r="C93">
        <f>70*SIN(RADIANS(45))*9.1 - 0.5*9.81*9.1^2</f>
        <v/>
      </c>
      <c r="D93">
        <f>70*COS(RADIANS(45))*EXP(-7.235087881217293e-05*9.1)/7.235087881217293e-05 - (9.81*SIN(RADIANS(45))/(7.235087881217293e-05^2))*(1 - EXP(-7.235087881217293e-05*9.1))</f>
        <v/>
      </c>
      <c r="E93">
        <f>(70*SIN(RADIANS(45))+9.81/7.235087881217293e-05)*(1-EXP(-7.235087881217293e-05*9.1))/7.235087881217293e-05 - (9.81/7.235087881217293e-05)*9.1</f>
        <v/>
      </c>
    </row>
    <row r="94">
      <c r="A94" t="n">
        <v>9.200000000000001</v>
      </c>
      <c r="B94">
        <f>70*COS(RADIANS(45))*9.200000000000001</f>
        <v/>
      </c>
      <c r="C94">
        <f>70*SIN(RADIANS(45))*9.200000000000001 - 0.5*9.81*9.200000000000001^2</f>
        <v/>
      </c>
      <c r="D94">
        <f>70*COS(RADIANS(45))*EXP(-7.235087881217293e-05*9.200000000000001)/7.235087881217293e-05 - (9.81*SIN(RADIANS(45))/(7.235087881217293e-05^2))*(1 - EXP(-7.235087881217293e-05*9.200000000000001))</f>
        <v/>
      </c>
      <c r="E94">
        <f>(70*SIN(RADIANS(45))+9.81/7.235087881217293e-05)*(1-EXP(-7.235087881217293e-05*9.200000000000001))/7.235087881217293e-05 - (9.81/7.235087881217293e-05)*9.200000000000001</f>
        <v/>
      </c>
    </row>
    <row r="95">
      <c r="A95" t="n">
        <v>9.300000000000001</v>
      </c>
      <c r="B95">
        <f>70*COS(RADIANS(45))*9.3</f>
        <v/>
      </c>
      <c r="C95">
        <f>70*SIN(RADIANS(45))*9.3 - 0.5*9.81*9.3^2</f>
        <v/>
      </c>
      <c r="D95">
        <f>70*COS(RADIANS(45))*EXP(-7.235087881217293e-05*9.3)/7.235087881217293e-05 - (9.81*SIN(RADIANS(45))/(7.235087881217293e-05^2))*(1 - EXP(-7.235087881217293e-05*9.3))</f>
        <v/>
      </c>
      <c r="E95">
        <f>(70*SIN(RADIANS(45))+9.81/7.235087881217293e-05)*(1-EXP(-7.235087881217293e-05*9.3))/7.235087881217293e-05 - (9.81/7.235087881217293e-05)*9.3</f>
        <v/>
      </c>
    </row>
    <row r="96">
      <c r="A96" t="n">
        <v>9.4</v>
      </c>
      <c r="B96">
        <f>70*COS(RADIANS(45))*9.4</f>
        <v/>
      </c>
      <c r="C96">
        <f>70*SIN(RADIANS(45))*9.4 - 0.5*9.81*9.4^2</f>
        <v/>
      </c>
      <c r="D96">
        <f>70*COS(RADIANS(45))*EXP(-7.235087881217293e-05*9.4)/7.235087881217293e-05 - (9.81*SIN(RADIANS(45))/(7.235087881217293e-05^2))*(1 - EXP(-7.235087881217293e-05*9.4))</f>
        <v/>
      </c>
      <c r="E96">
        <f>(70*SIN(RADIANS(45))+9.81/7.235087881217293e-05)*(1-EXP(-7.235087881217293e-05*9.4))/7.235087881217293e-05 - (9.81/7.235087881217293e-05)*9.4</f>
        <v/>
      </c>
    </row>
    <row r="97">
      <c r="A97" t="n">
        <v>9.5</v>
      </c>
      <c r="B97">
        <f>70*COS(RADIANS(45))*9.5</f>
        <v/>
      </c>
      <c r="C97">
        <f>70*SIN(RADIANS(45))*9.5 - 0.5*9.81*9.5^2</f>
        <v/>
      </c>
      <c r="D97">
        <f>70*COS(RADIANS(45))*EXP(-7.235087881217293e-05*9.5)/7.235087881217293e-05 - (9.81*SIN(RADIANS(45))/(7.235087881217293e-05^2))*(1 - EXP(-7.235087881217293e-05*9.5))</f>
        <v/>
      </c>
      <c r="E97">
        <f>(70*SIN(RADIANS(45))+9.81/7.235087881217293e-05)*(1-EXP(-7.235087881217293e-05*9.5))/7.235087881217293e-05 - (9.81/7.235087881217293e-05)*9.5</f>
        <v/>
      </c>
    </row>
    <row r="98">
      <c r="A98" t="n">
        <v>9.600000000000001</v>
      </c>
      <c r="B98">
        <f>70*COS(RADIANS(45))*9.600000000000001</f>
        <v/>
      </c>
      <c r="C98">
        <f>70*SIN(RADIANS(45))*9.600000000000001 - 0.5*9.81*9.600000000000001^2</f>
        <v/>
      </c>
      <c r="D98">
        <f>70*COS(RADIANS(45))*EXP(-7.235087881217293e-05*9.600000000000001)/7.235087881217293e-05 - (9.81*SIN(RADIANS(45))/(7.235087881217293e-05^2))*(1 - EXP(-7.235087881217293e-05*9.600000000000001))</f>
        <v/>
      </c>
      <c r="E98">
        <f>(70*SIN(RADIANS(45))+9.81/7.235087881217293e-05)*(1-EXP(-7.235087881217293e-05*9.600000000000001))/7.235087881217293e-05 - (9.81/7.235087881217293e-05)*9.600000000000001</f>
        <v/>
      </c>
    </row>
    <row r="99">
      <c r="A99" t="n">
        <v>9.700000000000001</v>
      </c>
      <c r="B99">
        <f>70*COS(RADIANS(45))*9.700000000000001</f>
        <v/>
      </c>
      <c r="C99">
        <f>70*SIN(RADIANS(45))*9.700000000000001 - 0.5*9.81*9.700000000000001^2</f>
        <v/>
      </c>
      <c r="D99">
        <f>70*COS(RADIANS(45))*EXP(-7.235087881217293e-05*9.700000000000001)/7.235087881217293e-05 - (9.81*SIN(RADIANS(45))/(7.235087881217293e-05^2))*(1 - EXP(-7.235087881217293e-05*9.700000000000001))</f>
        <v/>
      </c>
      <c r="E99">
        <f>(70*SIN(RADIANS(45))+9.81/7.235087881217293e-05)*(1-EXP(-7.235087881217293e-05*9.700000000000001))/7.235087881217293e-05 - (9.81/7.235087881217293e-05)*9.700000000000001</f>
        <v/>
      </c>
    </row>
    <row r="100">
      <c r="A100" t="n">
        <v>9.800000000000001</v>
      </c>
      <c r="B100">
        <f>70*COS(RADIANS(45))*9.8</f>
        <v/>
      </c>
      <c r="C100">
        <f>70*SIN(RADIANS(45))*9.8 - 0.5*9.81*9.8^2</f>
        <v/>
      </c>
      <c r="D100">
        <f>70*COS(RADIANS(45))*EXP(-7.235087881217293e-05*9.8)/7.235087881217293e-05 - (9.81*SIN(RADIANS(45))/(7.235087881217293e-05^2))*(1 - EXP(-7.235087881217293e-05*9.8))</f>
        <v/>
      </c>
      <c r="E100">
        <f>(70*SIN(RADIANS(45))+9.81/7.235087881217293e-05)*(1-EXP(-7.235087881217293e-05*9.8))/7.235087881217293e-05 - (9.81/7.235087881217293e-05)*9.8</f>
        <v/>
      </c>
    </row>
    <row r="101">
      <c r="A101" t="n">
        <v>9.9</v>
      </c>
      <c r="B101">
        <f>70*COS(RADIANS(45))*9.9</f>
        <v/>
      </c>
      <c r="C101">
        <f>70*SIN(RADIANS(45))*9.9 - 0.5*9.81*9.9^2</f>
        <v/>
      </c>
      <c r="D101">
        <f>70*COS(RADIANS(45))*EXP(-7.235087881217293e-05*9.9)/7.235087881217293e-05 - (9.81*SIN(RADIANS(45))/(7.235087881217293e-05^2))*(1 - EXP(-7.235087881217293e-05*9.9))</f>
        <v/>
      </c>
      <c r="E101">
        <f>(70*SIN(RADIANS(45))+9.81/7.235087881217293e-05)*(1-EXP(-7.235087881217293e-05*9.9))/7.235087881217293e-05 - (9.81/7.235087881217293e-05)*9.9</f>
        <v/>
      </c>
    </row>
    <row r="102">
      <c r="A102" t="n">
        <v>10</v>
      </c>
      <c r="B102">
        <f>70*COS(RADIANS(45))*10.0</f>
        <v/>
      </c>
      <c r="C102">
        <f>70*SIN(RADIANS(45))*10.0 - 0.5*9.81*10.0^2</f>
        <v/>
      </c>
      <c r="D102">
        <f>70*COS(RADIANS(45))*EXP(-7.235087881217293e-05*10.0)/7.235087881217293e-05 - (9.81*SIN(RADIANS(45))/(7.235087881217293e-05^2))*(1 - EXP(-7.235087881217293e-05*10.0))</f>
        <v/>
      </c>
      <c r="E102">
        <f>(70*SIN(RADIANS(45))+9.81/7.235087881217293e-05)*(1-EXP(-7.235087881217293e-05*10.0))/7.235087881217293e-05 - (9.81/7.235087881217293e-05)*10.0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2024-10-22T05:27:50Z</dcterms:created>
  <dcterms:modified xmlns:dcterms="http://purl.org/dc/terms/" xmlns:xsi="http://www.w3.org/2001/XMLSchema-instance" xsi:type="dcterms:W3CDTF">2024-10-22T05:27:50Z</dcterms:modified>
</cp:coreProperties>
</file>