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4385" activeTab="2"/>
  </bookViews>
  <sheets>
    <sheet name="Deal Info" sheetId="10" r:id="rId1"/>
    <sheet name="Calculator" sheetId="1" r:id="rId2"/>
    <sheet name="Notes" sheetId="2" r:id="rId3"/>
  </sheets>
  <calcPr calcId="125725"/>
</workbook>
</file>

<file path=xl/calcChain.xml><?xml version="1.0" encoding="utf-8"?>
<calcChain xmlns="http://schemas.openxmlformats.org/spreadsheetml/2006/main">
  <c r="J5" i="1"/>
  <c r="I5"/>
  <c r="C26" i="10"/>
  <c r="E46" i="1" s="1"/>
  <c r="F46" s="1"/>
  <c r="K82"/>
  <c r="H82"/>
  <c r="E82"/>
  <c r="E95" s="1"/>
  <c r="F95" s="1"/>
  <c r="J149"/>
  <c r="G149"/>
  <c r="D149"/>
  <c r="B21"/>
  <c r="A21"/>
  <c r="E35" l="1"/>
  <c r="B140"/>
  <c r="B139"/>
  <c r="B138"/>
  <c r="E45"/>
  <c r="E54" s="1"/>
  <c r="E38"/>
  <c r="E59"/>
  <c r="E39"/>
  <c r="F41"/>
  <c r="K95"/>
  <c r="H95"/>
  <c r="F56"/>
  <c r="D21"/>
  <c r="B11"/>
  <c r="A5" s="1"/>
  <c r="D12"/>
  <c r="C5" s="1"/>
  <c r="D10"/>
  <c r="D9"/>
  <c r="B5" s="1"/>
  <c r="B131" l="1"/>
  <c r="B137"/>
  <c r="L137" s="1"/>
  <c r="C21"/>
  <c r="K109"/>
  <c r="L109" s="1"/>
  <c r="L95"/>
  <c r="H109"/>
  <c r="I109" s="1"/>
  <c r="I95"/>
  <c r="E117"/>
  <c r="D11"/>
  <c r="E68"/>
  <c r="F45"/>
  <c r="E21"/>
  <c r="E56"/>
  <c r="H83" s="1"/>
  <c r="I83" s="1"/>
  <c r="B134"/>
  <c r="E109"/>
  <c r="F109" s="1"/>
  <c r="L82"/>
  <c r="I82"/>
  <c r="F82"/>
  <c r="F59"/>
  <c r="F58"/>
  <c r="F57"/>
  <c r="F55"/>
  <c r="F54"/>
  <c r="F53"/>
  <c r="F52"/>
  <c r="F51"/>
  <c r="F50"/>
  <c r="F49"/>
  <c r="F48"/>
  <c r="F47"/>
  <c r="F44"/>
  <c r="F43"/>
  <c r="F42"/>
  <c r="F40"/>
  <c r="F39"/>
  <c r="F38"/>
  <c r="F37"/>
  <c r="F36"/>
  <c r="F35"/>
  <c r="B135" l="1"/>
  <c r="C135" s="1"/>
  <c r="C131"/>
  <c r="D131" s="1"/>
  <c r="D132" s="1"/>
  <c r="E83"/>
  <c r="F83" s="1"/>
  <c r="E28"/>
  <c r="F21"/>
  <c r="C134"/>
  <c r="D134" s="1"/>
  <c r="E134" s="1"/>
  <c r="F134" s="1"/>
  <c r="G134" s="1"/>
  <c r="H134" s="1"/>
  <c r="I134" s="1"/>
  <c r="J134" s="1"/>
  <c r="K134" s="1"/>
  <c r="D13"/>
  <c r="K83"/>
  <c r="L83" s="1"/>
  <c r="E131" l="1"/>
  <c r="F131" s="1"/>
  <c r="L134"/>
  <c r="D135"/>
  <c r="E135" s="1"/>
  <c r="F135" s="1"/>
  <c r="G135" s="1"/>
  <c r="H135" s="1"/>
  <c r="I135" s="1"/>
  <c r="J135" s="1"/>
  <c r="K135" s="1"/>
  <c r="C132"/>
  <c r="B132"/>
  <c r="E30"/>
  <c r="E31" s="1"/>
  <c r="F61"/>
  <c r="F28"/>
  <c r="F30" s="1"/>
  <c r="F31" s="1"/>
  <c r="F69"/>
  <c r="E103" s="1"/>
  <c r="K68"/>
  <c r="L69" s="1"/>
  <c r="H68"/>
  <c r="I69" s="1"/>
  <c r="B136" l="1"/>
  <c r="C136" s="1"/>
  <c r="D136" s="1"/>
  <c r="E136" s="1"/>
  <c r="F136" s="1"/>
  <c r="G136" s="1"/>
  <c r="H136" s="1"/>
  <c r="I136" s="1"/>
  <c r="J136" s="1"/>
  <c r="K136" s="1"/>
  <c r="G131"/>
  <c r="H131" s="1"/>
  <c r="I131" s="1"/>
  <c r="J131" s="1"/>
  <c r="K131" s="1"/>
  <c r="L131" s="1"/>
  <c r="L135"/>
  <c r="K105"/>
  <c r="H105"/>
  <c r="E119"/>
  <c r="F119" s="1"/>
  <c r="K91"/>
  <c r="E105"/>
  <c r="H91"/>
  <c r="E91"/>
  <c r="F91" s="1"/>
  <c r="K71"/>
  <c r="L78" s="1"/>
  <c r="K103"/>
  <c r="H103"/>
  <c r="F63"/>
  <c r="F65" s="1"/>
  <c r="D5" s="1"/>
  <c r="B133"/>
  <c r="F105"/>
  <c r="E61"/>
  <c r="E71"/>
  <c r="H71"/>
  <c r="I77" s="1"/>
  <c r="F120"/>
  <c r="F106"/>
  <c r="F62"/>
  <c r="B142" l="1"/>
  <c r="L136"/>
  <c r="D85"/>
  <c r="L77"/>
  <c r="L76"/>
  <c r="I91"/>
  <c r="I105"/>
  <c r="L105"/>
  <c r="E62"/>
  <c r="E106"/>
  <c r="E112" s="1"/>
  <c r="H92"/>
  <c r="I92" s="1"/>
  <c r="E92"/>
  <c r="F92" s="1"/>
  <c r="F98" s="1"/>
  <c r="K106"/>
  <c r="L106" s="1"/>
  <c r="H106"/>
  <c r="I106" s="1"/>
  <c r="E120"/>
  <c r="E126" s="1"/>
  <c r="K92"/>
  <c r="L92" s="1"/>
  <c r="L91"/>
  <c r="C133"/>
  <c r="E132"/>
  <c r="J85"/>
  <c r="G85"/>
  <c r="E5" s="1"/>
  <c r="F121"/>
  <c r="F107"/>
  <c r="I76"/>
  <c r="F112"/>
  <c r="F113" s="1"/>
  <c r="E63"/>
  <c r="F126"/>
  <c r="F127" s="1"/>
  <c r="F78"/>
  <c r="F76"/>
  <c r="F77"/>
  <c r="I78"/>
  <c r="D133" l="1"/>
  <c r="D142" s="1"/>
  <c r="L79"/>
  <c r="I112"/>
  <c r="I113" s="1"/>
  <c r="L112"/>
  <c r="L113" s="1"/>
  <c r="K112"/>
  <c r="I98"/>
  <c r="E121"/>
  <c r="K93"/>
  <c r="L93" s="1"/>
  <c r="E107"/>
  <c r="H93"/>
  <c r="I93" s="1"/>
  <c r="E93"/>
  <c r="F93" s="1"/>
  <c r="K107"/>
  <c r="L107" s="1"/>
  <c r="H107"/>
  <c r="I107" s="1"/>
  <c r="H98"/>
  <c r="K98"/>
  <c r="E98"/>
  <c r="L98"/>
  <c r="H112"/>
  <c r="C142"/>
  <c r="G132"/>
  <c r="I79"/>
  <c r="F79"/>
  <c r="I99" l="1"/>
  <c r="F5" s="1"/>
  <c r="D150"/>
  <c r="D151"/>
  <c r="J150"/>
  <c r="J151"/>
  <c r="D148"/>
  <c r="G148"/>
  <c r="G151"/>
  <c r="E133"/>
  <c r="E142" s="1"/>
  <c r="K89"/>
  <c r="L99" s="1"/>
  <c r="J148"/>
  <c r="H89"/>
  <c r="G150"/>
  <c r="E89"/>
  <c r="F99" s="1"/>
  <c r="F132"/>
  <c r="F133" l="1"/>
  <c r="F144" s="1"/>
  <c r="J153"/>
  <c r="J154" s="1"/>
  <c r="D153"/>
  <c r="D154" s="1"/>
  <c r="G153"/>
  <c r="F142"/>
  <c r="H132"/>
  <c r="G154" l="1"/>
  <c r="G5" s="1"/>
  <c r="H5"/>
  <c r="G133"/>
  <c r="G142" s="1"/>
  <c r="I132"/>
  <c r="H133" l="1"/>
  <c r="H142" s="1"/>
  <c r="J132"/>
  <c r="I133" l="1"/>
  <c r="J133" s="1"/>
  <c r="K132"/>
  <c r="I142" l="1"/>
  <c r="K133"/>
  <c r="J142"/>
  <c r="L133" l="1"/>
  <c r="L144" s="1"/>
  <c r="K142"/>
</calcChain>
</file>

<file path=xl/comments1.xml><?xml version="1.0" encoding="utf-8"?>
<comments xmlns="http://schemas.openxmlformats.org/spreadsheetml/2006/main">
  <authors>
    <author>Microsoft Office User</author>
  </authors>
  <commentList>
    <comment ref="B12" authorId="0">
      <text>
        <r>
          <rPr>
            <b/>
            <sz val="10"/>
            <color indexed="81"/>
            <rFont val="Calibri"/>
            <family val="2"/>
          </rPr>
          <t xml:space="preserve">Brief Discription of subject property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33" authorId="0">
      <text>
        <r>
          <rPr>
            <sz val="11"/>
            <color rgb="FF000000"/>
            <rFont val="Calibri"/>
          </rPr>
          <t>Towns typically have rent control of 2.2% increase per year or per lease contract.</t>
        </r>
      </text>
    </comment>
    <comment ref="A136" authorId="0">
      <text>
        <r>
          <rPr>
            <sz val="11"/>
            <color rgb="FF000000"/>
            <rFont val="Calibri"/>
          </rPr>
          <t>We will assume that all other costs will increase at the Fed rate (2%).</t>
        </r>
      </text>
    </comment>
  </commentList>
</comments>
</file>

<file path=xl/sharedStrings.xml><?xml version="1.0" encoding="utf-8"?>
<sst xmlns="http://schemas.openxmlformats.org/spreadsheetml/2006/main" count="331" uniqueCount="213">
  <si>
    <t>PROPERTY INFORMATION</t>
  </si>
  <si>
    <t>Asking Price</t>
  </si>
  <si>
    <t>Property Name:</t>
  </si>
  <si>
    <t>Total Units</t>
  </si>
  <si>
    <t>Property Address:</t>
  </si>
  <si>
    <t>Cost Per Unit</t>
  </si>
  <si>
    <t>Total Square Footage</t>
  </si>
  <si>
    <t>Area/Cross Streets</t>
  </si>
  <si>
    <t>Cost per Square Foot</t>
  </si>
  <si>
    <t>Listing #</t>
  </si>
  <si>
    <t>INCOME</t>
  </si>
  <si>
    <t>Unit Information</t>
  </si>
  <si>
    <t># of Units</t>
  </si>
  <si>
    <t>Square Feet</t>
  </si>
  <si>
    <t>Rent</t>
  </si>
  <si>
    <t>Monthly</t>
  </si>
  <si>
    <t>Yearly</t>
  </si>
  <si>
    <t>Gross Rental Income</t>
  </si>
  <si>
    <t>Other Income</t>
  </si>
  <si>
    <t>Vacancy Loss (%)</t>
  </si>
  <si>
    <t>Total Operating Income</t>
  </si>
  <si>
    <t>EXPENSES</t>
  </si>
  <si>
    <t>Accounting</t>
  </si>
  <si>
    <t>Advertising</t>
  </si>
  <si>
    <t>Bank Charges</t>
  </si>
  <si>
    <t>Electricity</t>
  </si>
  <si>
    <t>Gas</t>
  </si>
  <si>
    <t>HOA</t>
  </si>
  <si>
    <t>Insurance - Hazard (Normal)</t>
  </si>
  <si>
    <t>Insurance - Mortgage</t>
  </si>
  <si>
    <t>Landscape Maintenance</t>
  </si>
  <si>
    <t>Legal</t>
  </si>
  <si>
    <t>Maintenance (Handyman)</t>
  </si>
  <si>
    <t>Manager Salary/Management Fee</t>
  </si>
  <si>
    <t>Miscellaneous</t>
  </si>
  <si>
    <t>Permits &amp; Fees</t>
  </si>
  <si>
    <t>Pest/Termite Control</t>
  </si>
  <si>
    <t>Phone</t>
  </si>
  <si>
    <t>Postage/Shipping</t>
  </si>
  <si>
    <t>Referrals or Commissions</t>
  </si>
  <si>
    <t>Reserves</t>
  </si>
  <si>
    <t>Supplies (Maintenance)</t>
  </si>
  <si>
    <t>Supplies (Office)</t>
  </si>
  <si>
    <t>Taxes (Property)</t>
  </si>
  <si>
    <t>Trash Pick Up</t>
  </si>
  <si>
    <t>Warranties</t>
  </si>
  <si>
    <t>Water/Sewer</t>
  </si>
  <si>
    <t>Total Operating Expenses</t>
  </si>
  <si>
    <t>% Operating Expenses to Income</t>
  </si>
  <si>
    <t>Net Operating Income (NOI)*</t>
  </si>
  <si>
    <t>*can be used to determine sales price</t>
  </si>
  <si>
    <t>Cap Rate</t>
  </si>
  <si>
    <t>FINANCING - Total Cost Basis</t>
  </si>
  <si>
    <t>Purchase Price</t>
  </si>
  <si>
    <t>Down Payment (%)</t>
  </si>
  <si>
    <t>Loan Amount</t>
  </si>
  <si>
    <t>Interest Rate (% per year)</t>
  </si>
  <si>
    <t>Terms of Loan (years)</t>
  </si>
  <si>
    <t>Settlement Fees</t>
  </si>
  <si>
    <t>Origination Fee</t>
  </si>
  <si>
    <t>Discount Fee</t>
  </si>
  <si>
    <t>Closing Costs &amp; Misc. Fee</t>
  </si>
  <si>
    <t>Total Cash Outlay</t>
  </si>
  <si>
    <t>The Loan</t>
  </si>
  <si>
    <t>Monthly payment (principal &amp; interest)</t>
  </si>
  <si>
    <t>PITI (principal, interest, tax, insurance)</t>
  </si>
  <si>
    <t>INVESTMENT ANALYSIS - Settlement Fees paid by Buyer</t>
  </si>
  <si>
    <t>Cash Outlay</t>
  </si>
  <si>
    <t>Annual</t>
  </si>
  <si>
    <t>Less: Total Operating Expenses</t>
  </si>
  <si>
    <t>Net Operating Income</t>
  </si>
  <si>
    <t>Less: Loan Payment</t>
  </si>
  <si>
    <t>(principal and interest)</t>
  </si>
  <si>
    <t>CASH FLOW</t>
  </si>
  <si>
    <t>INVESTMENT ANALYSIS - Settlement fees added into loan amount</t>
  </si>
  <si>
    <t>INVESTMENT ANALYSIS - Building Bought Free and Clear</t>
  </si>
  <si>
    <t>10-Year Forecast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</si>
  <si>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</si>
  <si>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</si>
  <si>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</si>
  <si>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</si>
  <si>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</si>
  <si>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</si>
  <si>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</si>
  <si>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</si>
  <si>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</si>
  <si>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</si>
  <si>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Sum</t>
  </si>
  <si>
    <t xml:space="preserve">     Year-to-Year Property Appreciation</t>
  </si>
  <si>
    <t>Rental Income (2.2% inc)</t>
  </si>
  <si>
    <t>Taxes (3% inc)</t>
  </si>
  <si>
    <t>Maintenance (10% inc)</t>
  </si>
  <si>
    <t>Other Operating Expenses (2% inc)</t>
  </si>
  <si>
    <t>Fixed Costs</t>
  </si>
  <si>
    <t>-</t>
  </si>
  <si>
    <t>Renovation</t>
  </si>
  <si>
    <t>Appliances</t>
  </si>
  <si>
    <t>Attorney/Application</t>
  </si>
  <si>
    <t>Expected Net Value</t>
  </si>
  <si>
    <t>3.5% Equity</t>
  </si>
  <si>
    <t>20% Equity</t>
  </si>
  <si>
    <t>25% Equity</t>
  </si>
  <si>
    <t>SF</t>
  </si>
  <si>
    <t>Price</t>
  </si>
  <si>
    <t>Cash-on-Cash</t>
  </si>
  <si>
    <t>Total ROI</t>
  </si>
  <si>
    <t>PROPERTY DETAILS</t>
  </si>
  <si>
    <t xml:space="preserve">Property Address:  </t>
  </si>
  <si>
    <t xml:space="preserve">Bed:  </t>
  </si>
  <si>
    <t xml:space="preserve">Bath:  </t>
  </si>
  <si>
    <t xml:space="preserve">Total Sqft:  </t>
  </si>
  <si>
    <t xml:space="preserve">Number of Units:  </t>
  </si>
  <si>
    <t>Deal Information</t>
  </si>
  <si>
    <t>PROJECT DETAILS</t>
  </si>
  <si>
    <t xml:space="preserve">Date:  </t>
  </si>
  <si>
    <t xml:space="preserve">Occupied:  </t>
  </si>
  <si>
    <t xml:space="preserve">Evaluator:  </t>
  </si>
  <si>
    <t>Max Tang</t>
  </si>
  <si>
    <t xml:space="preserve">Closing Date:  </t>
  </si>
  <si>
    <t xml:space="preserve">Exit Strategy:  </t>
  </si>
  <si>
    <t>Traditional Sale</t>
  </si>
  <si>
    <t xml:space="preserve">PROPERTY DESCRIPTION </t>
  </si>
  <si>
    <t>DEAL FACTORS</t>
  </si>
  <si>
    <t>BUYING COSTS</t>
  </si>
  <si>
    <t>Title Insurance / Search Costs</t>
  </si>
  <si>
    <t>Miscellaneous Buying Costs</t>
  </si>
  <si>
    <t xml:space="preserve">Escrow / Attorney Fees </t>
  </si>
  <si>
    <t>SELLING COSTS</t>
  </si>
  <si>
    <t>Realtor Fees</t>
  </si>
  <si>
    <t xml:space="preserve">Insurance (annually):  </t>
  </si>
  <si>
    <t>Transfer &amp; Conveyance Fees</t>
  </si>
  <si>
    <t xml:space="preserve">HOA &amp; Condo Fees (monthly):  </t>
  </si>
  <si>
    <t>Miscellaneous Selling Costs</t>
  </si>
  <si>
    <t xml:space="preserve">Gas (monthly):  </t>
  </si>
  <si>
    <t>Staging Costs</t>
  </si>
  <si>
    <t xml:space="preserve">Water (monthly):  </t>
  </si>
  <si>
    <t xml:space="preserve">Electricity (monthly):  </t>
  </si>
  <si>
    <t>Selling Recording Fees</t>
  </si>
  <si>
    <t>Home Warranty</t>
  </si>
  <si>
    <t>Marketing Costs</t>
  </si>
  <si>
    <t>How to use the Deal Analyzer</t>
  </si>
  <si>
    <t>3.5% Down - Interest Rate</t>
  </si>
  <si>
    <t>20% Down - Interest Rate</t>
  </si>
  <si>
    <t>25% Down - Interest Rate</t>
  </si>
  <si>
    <t>Monthly Payment</t>
  </si>
  <si>
    <t>Term (years)</t>
  </si>
  <si>
    <t xml:space="preserve">Property Management:  </t>
  </si>
  <si>
    <t xml:space="preserve">Maintenance:  </t>
  </si>
  <si>
    <t xml:space="preserve">Renovations:  </t>
  </si>
  <si>
    <t xml:space="preserve">Appliances:  </t>
  </si>
  <si>
    <t xml:space="preserve">Accounting:  </t>
  </si>
  <si>
    <t xml:space="preserve">Rental Income (per unit):  </t>
  </si>
  <si>
    <t xml:space="preserve">Asking Price:  </t>
  </si>
  <si>
    <t xml:space="preserve">Property Tax (annually):  </t>
  </si>
  <si>
    <t>ANNUAL PROFIT: 3.5% DOWNPAYMENT</t>
  </si>
  <si>
    <t>ANNUAL PROFIT: 20% DOWNPAYMENT</t>
  </si>
  <si>
    <t>ANNUAL PROFIT: 25% DOWNPAYMENT</t>
  </si>
  <si>
    <t>Bedrooms Per Unit</t>
  </si>
  <si>
    <t>ROI Summary</t>
  </si>
  <si>
    <t>Cash Flow</t>
  </si>
  <si>
    <t>Appreciation</t>
  </si>
  <si>
    <t>Tax Savings</t>
  </si>
  <si>
    <t xml:space="preserve">County:  </t>
  </si>
  <si>
    <t>County</t>
  </si>
  <si>
    <t>Atlantic County</t>
  </si>
  <si>
    <t>Gloucester County</t>
  </si>
  <si>
    <t>Bergen County</t>
  </si>
  <si>
    <t>Burlington County</t>
  </si>
  <si>
    <t>Camden County</t>
  </si>
  <si>
    <t>Cape May County</t>
  </si>
  <si>
    <t>Cumberland County</t>
  </si>
  <si>
    <t>Salem County</t>
  </si>
  <si>
    <t>Essex County</t>
  </si>
  <si>
    <t>Hudson County</t>
  </si>
  <si>
    <t>Hunterdon County</t>
  </si>
  <si>
    <t>Mercer County</t>
  </si>
  <si>
    <t>Middlesex County</t>
  </si>
  <si>
    <t>Monmouth County</t>
  </si>
  <si>
    <t>Morris County</t>
  </si>
  <si>
    <t>Ocean County</t>
  </si>
  <si>
    <t>Passaic County</t>
  </si>
  <si>
    <t>Somerset County</t>
  </si>
  <si>
    <t>Sussex County</t>
  </si>
  <si>
    <t>Union County</t>
  </si>
  <si>
    <t>Warren County</t>
  </si>
  <si>
    <t>Average Appreciation</t>
  </si>
  <si>
    <t>Total Return on Investment</t>
  </si>
  <si>
    <t>Break-Even (years)</t>
  </si>
  <si>
    <t>CASH ON CASH</t>
  </si>
  <si>
    <t>Property Valuation</t>
  </si>
  <si>
    <t>10-Year Net Worth</t>
  </si>
  <si>
    <t>5-Year Net Worth</t>
  </si>
  <si>
    <t>Property Address</t>
  </si>
  <si>
    <t>Annual Cash Flow</t>
  </si>
  <si>
    <t>Y</t>
  </si>
  <si>
    <t>Equity (5 year avg)</t>
  </si>
  <si>
    <t>FINANCING COSTS (click to calculate monthly PMT)</t>
  </si>
  <si>
    <t>Quick Stats - Copy/Paste Values Onto "Notes" Tab</t>
  </si>
  <si>
    <t>167 South 11th St, Newark, NJ 07107</t>
  </si>
  <si>
    <t>1115 28th St, North Bergen, NJ 07047</t>
  </si>
  <si>
    <t>Break-Even (yrs)</t>
  </si>
  <si>
    <t>To use the Real Estate Analyzer, enter all your numbers into this "Deal Information" tab. Formulas will auto-popluate and automatically calculate your results on the "Calculator" tab.  Copy the quick stats and paste values (Right Click &gt; Paste Special... &gt; Values) onto your "Notes" tab to compare your best investment ideas.</t>
  </si>
  <si>
    <t>18 Berger Street, Moonachie</t>
  </si>
  <si>
    <t>173 LIBERTY AVE, Jersey City, NJ 07306</t>
  </si>
  <si>
    <t>46 GARDNER AVE, Jersey City, NJ 07304</t>
  </si>
  <si>
    <t>191-193 BROOKDALE AVE, Newark, NJ 07102</t>
  </si>
  <si>
    <t>286 SOUTH 6TH ST, Newark, NJ 07103</t>
  </si>
  <si>
    <t>335 SOUTH 19TH ST, Newark, NJ 07103</t>
  </si>
  <si>
    <t>16-18 HARDING TERRACE, Newark, NJ 07112</t>
  </si>
  <si>
    <t>1115 28TH ST, North Bergen, 07047</t>
  </si>
  <si>
    <t>MLS #</t>
  </si>
  <si>
    <t>Bed</t>
  </si>
  <si>
    <t>Bath</t>
  </si>
</sst>
</file>

<file path=xl/styles.xml><?xml version="1.0" encoding="utf-8"?>
<styleSheet xmlns="http://schemas.openxmlformats.org/spreadsheetml/2006/main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0.0%"/>
    <numFmt numFmtId="167" formatCode="0.000%"/>
    <numFmt numFmtId="168" formatCode="0.0"/>
    <numFmt numFmtId="169" formatCode="_(* #,##0_);_(* \(#,##0\);_(* &quot;-&quot;??_);_(@_)"/>
    <numFmt numFmtId="170" formatCode="_(&quot;$&quot;* #,##0_);_(&quot;$&quot;* \(#,##0\);_(&quot;$&quot;* &quot;-&quot;??_);_(@_)"/>
    <numFmt numFmtId="171" formatCode="[$-F800]dddd\,\ mmmm\ dd\,\ yyyy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b/>
      <sz val="16"/>
      <color theme="0"/>
      <name val="Arial"/>
      <family val="2"/>
    </font>
    <font>
      <b/>
      <sz val="22"/>
      <name val="Arial"/>
      <family val="2"/>
    </font>
    <font>
      <b/>
      <sz val="22"/>
      <color theme="0"/>
      <name val="Arial"/>
      <family val="2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22"/>
      <color theme="1"/>
      <name val="Arial"/>
      <family val="2"/>
    </font>
    <font>
      <b/>
      <sz val="11"/>
      <name val="Arial"/>
      <family val="2"/>
    </font>
    <font>
      <b/>
      <sz val="22"/>
      <color rgb="FF000000"/>
      <name val="Arial"/>
      <family val="2"/>
    </font>
    <font>
      <b/>
      <u/>
      <sz val="14"/>
      <color theme="10"/>
      <name val="Calibri"/>
      <family val="2"/>
    </font>
    <font>
      <sz val="22"/>
      <color theme="0"/>
      <name val="Arial"/>
      <family val="2"/>
    </font>
    <font>
      <sz val="16"/>
      <color theme="0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22"/>
      <color rgb="FF00000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Calibri"/>
      <family val="2"/>
    </font>
    <font>
      <b/>
      <sz val="2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99CC00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34998626667073579"/>
      </bottom>
      <diagonal/>
    </border>
    <border>
      <left/>
      <right/>
      <top style="medium">
        <color theme="0" tint="-0.499984740745262"/>
      </top>
      <bottom style="thin">
        <color theme="0" tint="-0.34998626667073579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34998626667073579"/>
      </bottom>
      <diagonal/>
    </border>
    <border>
      <left style="medium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34998626667073579"/>
      </top>
      <bottom style="medium">
        <color theme="0" tint="-0.499984740745262"/>
      </bottom>
      <diagonal/>
    </border>
    <border>
      <left/>
      <right/>
      <top style="thin">
        <color theme="0" tint="-0.34998626667073579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ck">
        <color theme="0" tint="-0.499984740745262"/>
      </right>
      <top/>
      <bottom/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2">
    <xf numFmtId="0" fontId="0" fillId="0" borderId="0" xfId="0"/>
    <xf numFmtId="0" fontId="2" fillId="0" borderId="0" xfId="0" applyFont="1"/>
    <xf numFmtId="0" fontId="7" fillId="2" borderId="13" xfId="0" applyFont="1" applyFill="1" applyBorder="1" applyAlignment="1">
      <alignment horizontal="right" vertical="center"/>
    </xf>
    <xf numFmtId="0" fontId="7" fillId="2" borderId="20" xfId="0" applyFont="1" applyFill="1" applyBorder="1" applyAlignment="1">
      <alignment horizontal="right" vertical="center"/>
    </xf>
    <xf numFmtId="0" fontId="10" fillId="4" borderId="0" xfId="0" applyFont="1" applyFill="1" applyBorder="1" applyAlignment="1" applyProtection="1">
      <alignment vertical="center"/>
      <protection locked="0"/>
    </xf>
    <xf numFmtId="0" fontId="0" fillId="4" borderId="0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13" xfId="0" applyFill="1" applyBorder="1"/>
    <xf numFmtId="0" fontId="0" fillId="5" borderId="13" xfId="0" applyFill="1" applyBorder="1" applyAlignment="1">
      <alignment horizontal="center"/>
    </xf>
    <xf numFmtId="0" fontId="7" fillId="2" borderId="27" xfId="0" applyFont="1" applyFill="1" applyBorder="1" applyAlignment="1">
      <alignment horizontal="right" vertical="center"/>
    </xf>
    <xf numFmtId="0" fontId="7" fillId="2" borderId="31" xfId="0" applyFont="1" applyFill="1" applyBorder="1" applyAlignment="1">
      <alignment horizontal="right" vertical="center"/>
    </xf>
    <xf numFmtId="0" fontId="7" fillId="2" borderId="35" xfId="0" applyFont="1" applyFill="1" applyBorder="1" applyAlignment="1">
      <alignment horizontal="right" vertical="center"/>
    </xf>
    <xf numFmtId="0" fontId="0" fillId="5" borderId="2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vertical="center"/>
    </xf>
    <xf numFmtId="0" fontId="7" fillId="2" borderId="27" xfId="4" applyFont="1" applyFill="1" applyBorder="1" applyAlignment="1" applyProtection="1">
      <alignment horizontal="right" vertical="center"/>
      <protection locked="0"/>
    </xf>
    <xf numFmtId="164" fontId="8" fillId="0" borderId="30" xfId="0" applyNumberFormat="1" applyFont="1" applyFill="1" applyBorder="1" applyAlignment="1">
      <alignment horizontal="center" vertical="center"/>
    </xf>
    <xf numFmtId="9" fontId="14" fillId="5" borderId="0" xfId="5" applyNumberFormat="1" applyFont="1" applyFill="1" applyBorder="1" applyAlignment="1" applyProtection="1">
      <alignment horizontal="center" vertical="center"/>
      <protection locked="0"/>
    </xf>
    <xf numFmtId="0" fontId="15" fillId="2" borderId="27" xfId="4" applyFont="1" applyFill="1" applyBorder="1" applyAlignment="1" applyProtection="1">
      <alignment horizontal="right" vertical="center"/>
      <protection locked="0"/>
    </xf>
    <xf numFmtId="10" fontId="8" fillId="0" borderId="30" xfId="0" applyNumberFormat="1" applyFont="1" applyFill="1" applyBorder="1" applyAlignment="1">
      <alignment horizontal="center" vertical="center"/>
    </xf>
    <xf numFmtId="0" fontId="7" fillId="2" borderId="31" xfId="4" applyFont="1" applyFill="1" applyBorder="1" applyAlignment="1" applyProtection="1">
      <alignment horizontal="right" vertical="center"/>
      <protection locked="0"/>
    </xf>
    <xf numFmtId="164" fontId="8" fillId="0" borderId="34" xfId="0" applyNumberFormat="1" applyFont="1" applyFill="1" applyBorder="1" applyAlignment="1">
      <alignment horizontal="center" vertical="center"/>
    </xf>
    <xf numFmtId="1" fontId="13" fillId="0" borderId="34" xfId="6" applyNumberFormat="1" applyFont="1" applyFill="1" applyBorder="1" applyAlignment="1" applyProtection="1">
      <alignment horizontal="center" vertical="center"/>
      <protection locked="0"/>
    </xf>
    <xf numFmtId="1" fontId="14" fillId="5" borderId="0" xfId="6" applyNumberFormat="1" applyFont="1" applyFill="1" applyBorder="1" applyAlignment="1" applyProtection="1">
      <alignment horizontal="center" vertical="center"/>
      <protection locked="0"/>
    </xf>
    <xf numFmtId="0" fontId="15" fillId="2" borderId="31" xfId="4" applyFont="1" applyFill="1" applyBorder="1" applyAlignment="1" applyProtection="1">
      <alignment horizontal="right" vertical="center"/>
      <protection locked="0"/>
    </xf>
    <xf numFmtId="165" fontId="8" fillId="0" borderId="34" xfId="0" applyNumberFormat="1" applyFont="1" applyFill="1" applyBorder="1" applyAlignment="1">
      <alignment horizontal="center" vertical="center"/>
    </xf>
    <xf numFmtId="10" fontId="14" fillId="5" borderId="0" xfId="5" applyNumberFormat="1" applyFont="1" applyFill="1" applyBorder="1" applyAlignment="1" applyProtection="1">
      <alignment horizontal="center" vertical="center"/>
      <protection locked="0"/>
    </xf>
    <xf numFmtId="7" fontId="13" fillId="0" borderId="38" xfId="5" applyNumberFormat="1" applyFont="1" applyFill="1" applyBorder="1" applyAlignment="1" applyProtection="1">
      <alignment horizontal="center" vertical="center"/>
      <protection locked="0"/>
    </xf>
    <xf numFmtId="166" fontId="8" fillId="0" borderId="30" xfId="0" applyNumberFormat="1" applyFont="1" applyFill="1" applyBorder="1" applyAlignment="1">
      <alignment horizontal="center" vertical="center"/>
    </xf>
    <xf numFmtId="10" fontId="8" fillId="0" borderId="34" xfId="0" applyNumberFormat="1" applyFont="1" applyFill="1" applyBorder="1" applyAlignment="1">
      <alignment horizontal="center" vertical="center"/>
    </xf>
    <xf numFmtId="49" fontId="15" fillId="2" borderId="31" xfId="6" applyNumberFormat="1" applyFont="1" applyFill="1" applyBorder="1" applyAlignment="1" applyProtection="1">
      <alignment horizontal="right" vertical="center"/>
      <protection locked="0"/>
    </xf>
    <xf numFmtId="0" fontId="16" fillId="2" borderId="31" xfId="4" applyFont="1" applyFill="1" applyBorder="1" applyAlignment="1" applyProtection="1">
      <alignment horizontal="right" vertical="center"/>
      <protection locked="0"/>
    </xf>
    <xf numFmtId="165" fontId="13" fillId="0" borderId="34" xfId="5" applyNumberFormat="1" applyFont="1" applyFill="1" applyBorder="1" applyAlignment="1" applyProtection="1">
      <alignment horizontal="center" vertical="center"/>
      <protection locked="0"/>
    </xf>
    <xf numFmtId="10" fontId="13" fillId="0" borderId="34" xfId="5" applyNumberFormat="1" applyFont="1" applyFill="1" applyBorder="1" applyAlignment="1" applyProtection="1">
      <alignment horizontal="center" vertical="center"/>
      <protection locked="0"/>
    </xf>
    <xf numFmtId="165" fontId="13" fillId="0" borderId="34" xfId="6" applyNumberFormat="1" applyFont="1" applyFill="1" applyBorder="1" applyAlignment="1" applyProtection="1">
      <alignment horizontal="center" vertical="center"/>
      <protection locked="0"/>
    </xf>
    <xf numFmtId="165" fontId="8" fillId="0" borderId="38" xfId="0" applyNumberFormat="1" applyFont="1" applyFill="1" applyBorder="1" applyAlignment="1">
      <alignment vertical="center"/>
    </xf>
    <xf numFmtId="165" fontId="0" fillId="5" borderId="0" xfId="0" applyNumberFormat="1" applyFill="1" applyBorder="1" applyAlignment="1">
      <alignment vertical="center"/>
    </xf>
    <xf numFmtId="0" fontId="15" fillId="2" borderId="35" xfId="4" applyNumberFormat="1" applyFont="1" applyFill="1" applyBorder="1" applyAlignment="1" applyProtection="1">
      <alignment horizontal="right" vertical="center"/>
      <protection locked="0"/>
    </xf>
    <xf numFmtId="164" fontId="8" fillId="0" borderId="38" xfId="0" applyNumberFormat="1" applyFont="1" applyFill="1" applyBorder="1" applyAlignment="1">
      <alignment horizontal="center" vertical="center"/>
    </xf>
    <xf numFmtId="0" fontId="16" fillId="2" borderId="35" xfId="4" applyFont="1" applyFill="1" applyBorder="1" applyAlignment="1" applyProtection="1">
      <alignment horizontal="right" vertical="center"/>
      <protection locked="0"/>
    </xf>
    <xf numFmtId="165" fontId="8" fillId="0" borderId="38" xfId="0" applyNumberFormat="1" applyFont="1" applyFill="1" applyBorder="1" applyAlignment="1">
      <alignment horizontal="center" vertical="center"/>
    </xf>
    <xf numFmtId="0" fontId="0" fillId="5" borderId="45" xfId="0" applyFill="1" applyBorder="1"/>
    <xf numFmtId="0" fontId="0" fillId="5" borderId="46" xfId="0" applyFill="1" applyBorder="1"/>
    <xf numFmtId="0" fontId="0" fillId="4" borderId="0" xfId="0" applyFill="1" applyBorder="1"/>
    <xf numFmtId="0" fontId="0" fillId="0" borderId="0" xfId="0" applyFill="1" applyBorder="1"/>
    <xf numFmtId="0" fontId="17" fillId="4" borderId="0" xfId="0" applyFont="1" applyFill="1"/>
    <xf numFmtId="0" fontId="0" fillId="4" borderId="0" xfId="0" applyFill="1"/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5" borderId="55" xfId="0" applyFill="1" applyBorder="1"/>
    <xf numFmtId="0" fontId="0" fillId="5" borderId="56" xfId="0" applyFill="1" applyBorder="1"/>
    <xf numFmtId="0" fontId="7" fillId="4" borderId="0" xfId="4" applyFont="1" applyFill="1" applyBorder="1" applyAlignment="1" applyProtection="1">
      <alignment vertical="center"/>
      <protection locked="0"/>
    </xf>
    <xf numFmtId="0" fontId="7" fillId="4" borderId="0" xfId="4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/>
    <xf numFmtId="0" fontId="18" fillId="4" borderId="0" xfId="4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 wrapText="1"/>
    </xf>
    <xf numFmtId="0" fontId="0" fillId="5" borderId="57" xfId="0" applyFill="1" applyBorder="1"/>
    <xf numFmtId="0" fontId="0" fillId="0" borderId="0" xfId="0" applyFill="1"/>
    <xf numFmtId="10" fontId="13" fillId="0" borderId="30" xfId="5" applyNumberFormat="1" applyFont="1" applyFill="1" applyBorder="1" applyAlignment="1" applyProtection="1">
      <alignment horizontal="center" vertical="center"/>
      <protection locked="0"/>
    </xf>
    <xf numFmtId="44" fontId="13" fillId="0" borderId="38" xfId="1" applyFont="1" applyFill="1" applyBorder="1" applyAlignment="1" applyProtection="1">
      <alignment horizontal="center" vertical="center"/>
      <protection locked="0"/>
    </xf>
    <xf numFmtId="44" fontId="13" fillId="0" borderId="34" xfId="1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right"/>
    </xf>
    <xf numFmtId="0" fontId="23" fillId="0" borderId="1" xfId="0" applyFont="1" applyBorder="1"/>
    <xf numFmtId="3" fontId="23" fillId="0" borderId="2" xfId="0" applyNumberFormat="1" applyFont="1" applyBorder="1" applyAlignment="1"/>
    <xf numFmtId="0" fontId="23" fillId="0" borderId="0" xfId="0" applyFont="1" applyAlignment="1">
      <alignment horizontal="right" vertical="top"/>
    </xf>
    <xf numFmtId="164" fontId="23" fillId="0" borderId="2" xfId="0" applyNumberFormat="1" applyFont="1" applyBorder="1"/>
    <xf numFmtId="3" fontId="23" fillId="0" borderId="2" xfId="0" applyNumberFormat="1" applyFont="1" applyBorder="1"/>
    <xf numFmtId="0" fontId="23" fillId="0" borderId="2" xfId="0" applyFont="1" applyBorder="1"/>
    <xf numFmtId="0" fontId="23" fillId="0" borderId="4" xfId="0" applyFont="1" applyBorder="1"/>
    <xf numFmtId="0" fontId="23" fillId="0" borderId="4" xfId="0" applyFont="1" applyBorder="1" applyAlignment="1">
      <alignment horizontal="left"/>
    </xf>
    <xf numFmtId="0" fontId="23" fillId="0" borderId="0" xfId="0" applyFont="1" applyAlignment="1">
      <alignment horizontal="center"/>
    </xf>
    <xf numFmtId="1" fontId="23" fillId="0" borderId="1" xfId="0" applyNumberFormat="1" applyFont="1" applyBorder="1"/>
    <xf numFmtId="165" fontId="23" fillId="0" borderId="1" xfId="0" applyNumberFormat="1" applyFont="1" applyBorder="1"/>
    <xf numFmtId="0" fontId="19" fillId="0" borderId="0" xfId="0" applyFont="1" applyAlignment="1">
      <alignment horizontal="right"/>
    </xf>
    <xf numFmtId="165" fontId="23" fillId="0" borderId="2" xfId="0" applyNumberFormat="1" applyFont="1" applyBorder="1"/>
    <xf numFmtId="166" fontId="23" fillId="0" borderId="1" xfId="0" applyNumberFormat="1" applyFont="1" applyBorder="1" applyAlignment="1">
      <alignment horizontal="center"/>
    </xf>
    <xf numFmtId="165" fontId="23" fillId="3" borderId="1" xfId="0" applyNumberFormat="1" applyFont="1" applyFill="1" applyBorder="1"/>
    <xf numFmtId="10" fontId="23" fillId="0" borderId="1" xfId="0" applyNumberFormat="1" applyFont="1" applyBorder="1"/>
    <xf numFmtId="165" fontId="23" fillId="0" borderId="0" xfId="0" applyNumberFormat="1" applyFont="1"/>
    <xf numFmtId="0" fontId="26" fillId="0" borderId="0" xfId="0" applyFont="1"/>
    <xf numFmtId="0" fontId="19" fillId="0" borderId="0" xfId="0" applyFont="1" applyFill="1" applyAlignment="1">
      <alignment horizontal="right"/>
    </xf>
    <xf numFmtId="0" fontId="23" fillId="0" borderId="0" xfId="0" applyFont="1" applyFill="1"/>
    <xf numFmtId="166" fontId="23" fillId="0" borderId="0" xfId="0" applyNumberFormat="1" applyFont="1" applyFill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/>
    <xf numFmtId="0" fontId="23" fillId="0" borderId="0" xfId="0" applyFont="1" applyFill="1" applyBorder="1"/>
    <xf numFmtId="0" fontId="23" fillId="0" borderId="6" xfId="0" applyFont="1" applyBorder="1" applyAlignment="1">
      <alignment horizontal="right"/>
    </xf>
    <xf numFmtId="0" fontId="23" fillId="0" borderId="7" xfId="0" applyFont="1" applyBorder="1"/>
    <xf numFmtId="165" fontId="23" fillId="0" borderId="8" xfId="0" applyNumberFormat="1" applyFont="1" applyBorder="1"/>
    <xf numFmtId="167" fontId="23" fillId="0" borderId="1" xfId="0" applyNumberFormat="1" applyFont="1" applyBorder="1"/>
    <xf numFmtId="4" fontId="23" fillId="0" borderId="1" xfId="0" applyNumberFormat="1" applyFont="1" applyBorder="1"/>
    <xf numFmtId="0" fontId="19" fillId="0" borderId="6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165" fontId="23" fillId="0" borderId="7" xfId="0" applyNumberFormat="1" applyFont="1" applyBorder="1"/>
    <xf numFmtId="165" fontId="23" fillId="0" borderId="0" xfId="0" applyNumberFormat="1" applyFont="1" applyBorder="1"/>
    <xf numFmtId="0" fontId="23" fillId="0" borderId="62" xfId="0" applyFont="1" applyBorder="1"/>
    <xf numFmtId="0" fontId="23" fillId="0" borderId="9" xfId="0" applyFont="1" applyBorder="1"/>
    <xf numFmtId="0" fontId="23" fillId="0" borderId="9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168" fontId="23" fillId="0" borderId="0" xfId="0" applyNumberFormat="1" applyFont="1"/>
    <xf numFmtId="164" fontId="23" fillId="0" borderId="0" xfId="0" applyNumberFormat="1" applyFont="1"/>
    <xf numFmtId="164" fontId="27" fillId="0" borderId="0" xfId="0" applyNumberFormat="1" applyFont="1"/>
    <xf numFmtId="10" fontId="29" fillId="0" borderId="58" xfId="0" applyNumberFormat="1" applyFont="1" applyFill="1" applyBorder="1" applyAlignment="1">
      <alignment horizontal="right" vertical="center"/>
    </xf>
    <xf numFmtId="10" fontId="23" fillId="0" borderId="0" xfId="0" applyNumberFormat="1" applyFont="1" applyFill="1" applyBorder="1"/>
    <xf numFmtId="0" fontId="23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165" fontId="23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3" fillId="0" borderId="9" xfId="0" applyFont="1" applyFill="1" applyBorder="1" applyAlignment="1">
      <alignment horizontal="left"/>
    </xf>
    <xf numFmtId="0" fontId="23" fillId="0" borderId="9" xfId="0" applyFont="1" applyFill="1" applyBorder="1"/>
    <xf numFmtId="9" fontId="23" fillId="0" borderId="0" xfId="2" applyFont="1"/>
    <xf numFmtId="3" fontId="0" fillId="0" borderId="0" xfId="0" applyNumberFormat="1"/>
    <xf numFmtId="3" fontId="23" fillId="0" borderId="0" xfId="0" applyNumberFormat="1" applyFont="1"/>
    <xf numFmtId="0" fontId="7" fillId="2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3" applyAlignment="1" applyProtection="1"/>
    <xf numFmtId="166" fontId="0" fillId="0" borderId="0" xfId="0" applyNumberFormat="1"/>
    <xf numFmtId="0" fontId="23" fillId="0" borderId="1" xfId="0" applyFont="1" applyFill="1" applyBorder="1"/>
    <xf numFmtId="164" fontId="23" fillId="0" borderId="1" xfId="0" applyNumberFormat="1" applyFont="1" applyFill="1" applyBorder="1"/>
    <xf numFmtId="165" fontId="23" fillId="0" borderId="1" xfId="0" applyNumberFormat="1" applyFont="1" applyFill="1" applyBorder="1"/>
    <xf numFmtId="164" fontId="31" fillId="0" borderId="61" xfId="0" applyNumberFormat="1" applyFont="1" applyBorder="1" applyAlignment="1">
      <alignment vertical="center"/>
    </xf>
    <xf numFmtId="9" fontId="0" fillId="0" borderId="0" xfId="2" applyFont="1"/>
    <xf numFmtId="165" fontId="23" fillId="8" borderId="8" xfId="0" applyNumberFormat="1" applyFont="1" applyFill="1" applyBorder="1"/>
    <xf numFmtId="0" fontId="23" fillId="0" borderId="6" xfId="0" applyFont="1" applyBorder="1" applyAlignment="1"/>
    <xf numFmtId="0" fontId="23" fillId="0" borderId="6" xfId="0" applyFont="1" applyBorder="1"/>
    <xf numFmtId="0" fontId="23" fillId="0" borderId="64" xfId="0" applyFont="1" applyBorder="1"/>
    <xf numFmtId="0" fontId="23" fillId="0" borderId="7" xfId="0" applyFont="1" applyBorder="1" applyAlignment="1"/>
    <xf numFmtId="0" fontId="23" fillId="0" borderId="65" xfId="0" applyFont="1" applyBorder="1"/>
    <xf numFmtId="0" fontId="23" fillId="0" borderId="66" xfId="0" applyFont="1" applyBorder="1"/>
    <xf numFmtId="0" fontId="23" fillId="0" borderId="67" xfId="0" applyFont="1" applyBorder="1"/>
    <xf numFmtId="164" fontId="23" fillId="0" borderId="6" xfId="0" applyNumberFormat="1" applyFont="1" applyBorder="1"/>
    <xf numFmtId="164" fontId="23" fillId="0" borderId="0" xfId="0" applyNumberFormat="1" applyFont="1" applyBorder="1"/>
    <xf numFmtId="164" fontId="23" fillId="0" borderId="7" xfId="0" applyNumberFormat="1" applyFont="1" applyBorder="1"/>
    <xf numFmtId="164" fontId="28" fillId="0" borderId="6" xfId="0" applyNumberFormat="1" applyFont="1" applyBorder="1"/>
    <xf numFmtId="164" fontId="23" fillId="0" borderId="0" xfId="0" applyNumberFormat="1" applyFont="1" applyBorder="1" applyAlignment="1">
      <alignment horizontal="left"/>
    </xf>
    <xf numFmtId="164" fontId="28" fillId="0" borderId="6" xfId="0" applyNumberFormat="1" applyFont="1" applyBorder="1" applyAlignment="1">
      <alignment horizontal="right"/>
    </xf>
    <xf numFmtId="164" fontId="27" fillId="0" borderId="7" xfId="0" applyNumberFormat="1" applyFont="1" applyBorder="1"/>
    <xf numFmtId="164" fontId="23" fillId="0" borderId="65" xfId="0" applyNumberFormat="1" applyFont="1" applyBorder="1"/>
    <xf numFmtId="164" fontId="23" fillId="0" borderId="66" xfId="0" applyNumberFormat="1" applyFont="1" applyBorder="1"/>
    <xf numFmtId="0" fontId="23" fillId="0" borderId="67" xfId="0" applyFont="1" applyBorder="1" applyAlignment="1"/>
    <xf numFmtId="0" fontId="27" fillId="2" borderId="60" xfId="0" applyFont="1" applyFill="1" applyBorder="1" applyAlignment="1">
      <alignment horizontal="right"/>
    </xf>
    <xf numFmtId="0" fontId="27" fillId="2" borderId="61" xfId="0" applyFont="1" applyFill="1" applyBorder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6" fontId="29" fillId="0" borderId="58" xfId="0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37" fillId="2" borderId="59" xfId="0" applyFont="1" applyFill="1" applyBorder="1" applyAlignment="1">
      <alignment horizontal="center"/>
    </xf>
    <xf numFmtId="0" fontId="38" fillId="2" borderId="60" xfId="0" applyFont="1" applyFill="1" applyBorder="1" applyAlignment="1">
      <alignment horizontal="right"/>
    </xf>
    <xf numFmtId="164" fontId="39" fillId="0" borderId="61" xfId="0" applyNumberFormat="1" applyFont="1" applyBorder="1" applyAlignment="1">
      <alignment vertical="center"/>
    </xf>
    <xf numFmtId="3" fontId="0" fillId="0" borderId="0" xfId="0" applyNumberFormat="1" applyFont="1"/>
    <xf numFmtId="166" fontId="0" fillId="0" borderId="0" xfId="2" applyNumberFormat="1" applyFont="1"/>
    <xf numFmtId="169" fontId="0" fillId="0" borderId="0" xfId="7" applyNumberFormat="1" applyFont="1"/>
    <xf numFmtId="0" fontId="41" fillId="0" borderId="0" xfId="0" applyFont="1"/>
    <xf numFmtId="164" fontId="41" fillId="0" borderId="0" xfId="0" applyNumberFormat="1" applyFont="1"/>
    <xf numFmtId="3" fontId="41" fillId="0" borderId="0" xfId="0" applyNumberFormat="1" applyFont="1"/>
    <xf numFmtId="166" fontId="41" fillId="0" borderId="0" xfId="0" applyNumberFormat="1" applyFont="1"/>
    <xf numFmtId="165" fontId="41" fillId="0" borderId="0" xfId="0" applyNumberFormat="1" applyFont="1"/>
    <xf numFmtId="10" fontId="41" fillId="0" borderId="0" xfId="0" applyNumberFormat="1" applyFont="1"/>
    <xf numFmtId="43" fontId="41" fillId="0" borderId="0" xfId="0" applyNumberFormat="1" applyFont="1"/>
    <xf numFmtId="0" fontId="42" fillId="0" borderId="0" xfId="0" applyFont="1"/>
    <xf numFmtId="0" fontId="43" fillId="0" borderId="0" xfId="0" applyFont="1"/>
    <xf numFmtId="168" fontId="0" fillId="0" borderId="0" xfId="0" applyNumberFormat="1"/>
    <xf numFmtId="0" fontId="2" fillId="2" borderId="0" xfId="0" applyFont="1" applyFill="1" applyAlignment="1">
      <alignment vertical="center"/>
    </xf>
    <xf numFmtId="169" fontId="2" fillId="2" borderId="0" xfId="7" applyNumberFormat="1" applyFont="1" applyFill="1" applyAlignment="1">
      <alignment vertical="center"/>
    </xf>
    <xf numFmtId="169" fontId="2" fillId="2" borderId="0" xfId="0" applyNumberFormat="1" applyFont="1" applyFill="1" applyAlignment="1">
      <alignment vertical="center"/>
    </xf>
    <xf numFmtId="9" fontId="4" fillId="2" borderId="0" xfId="2" applyFont="1" applyFill="1" applyAlignment="1">
      <alignment horizontal="center" vertical="center"/>
    </xf>
    <xf numFmtId="169" fontId="4" fillId="2" borderId="0" xfId="7" applyNumberFormat="1" applyFont="1" applyFill="1" applyAlignment="1">
      <alignment horizontal="center" vertical="center"/>
    </xf>
    <xf numFmtId="166" fontId="4" fillId="2" borderId="0" xfId="2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4" fillId="2" borderId="68" xfId="0" applyFont="1" applyFill="1" applyBorder="1" applyAlignment="1">
      <alignment horizontal="center"/>
    </xf>
    <xf numFmtId="170" fontId="44" fillId="2" borderId="68" xfId="1" applyNumberFormat="1" applyFont="1" applyFill="1" applyBorder="1" applyAlignment="1">
      <alignment horizontal="center"/>
    </xf>
    <xf numFmtId="169" fontId="44" fillId="2" borderId="68" xfId="0" applyNumberFormat="1" applyFont="1" applyFill="1" applyBorder="1" applyAlignment="1">
      <alignment horizontal="center"/>
    </xf>
    <xf numFmtId="9" fontId="45" fillId="2" borderId="68" xfId="2" applyFont="1" applyFill="1" applyBorder="1" applyAlignment="1">
      <alignment horizontal="center"/>
    </xf>
    <xf numFmtId="166" fontId="45" fillId="2" borderId="68" xfId="2" applyNumberFormat="1" applyFont="1" applyFill="1" applyBorder="1" applyAlignment="1">
      <alignment horizontal="center"/>
    </xf>
    <xf numFmtId="0" fontId="45" fillId="2" borderId="68" xfId="0" applyFont="1" applyFill="1" applyBorder="1" applyAlignment="1">
      <alignment horizontal="center"/>
    </xf>
    <xf numFmtId="0" fontId="11" fillId="0" borderId="47" xfId="0" applyFont="1" applyFill="1" applyBorder="1" applyAlignment="1">
      <alignment vertical="top" wrapText="1"/>
    </xf>
    <xf numFmtId="0" fontId="11" fillId="0" borderId="48" xfId="0" applyFont="1" applyFill="1" applyBorder="1" applyAlignment="1">
      <alignment vertical="top" wrapText="1"/>
    </xf>
    <xf numFmtId="0" fontId="11" fillId="0" borderId="49" xfId="0" applyFont="1" applyFill="1" applyBorder="1" applyAlignment="1">
      <alignment vertical="top" wrapText="1"/>
    </xf>
    <xf numFmtId="0" fontId="11" fillId="0" borderId="5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51" xfId="0" applyFont="1" applyFill="1" applyBorder="1" applyAlignment="1">
      <alignment vertical="top" wrapText="1"/>
    </xf>
    <xf numFmtId="0" fontId="11" fillId="0" borderId="52" xfId="0" applyFont="1" applyFill="1" applyBorder="1" applyAlignment="1">
      <alignment vertical="top" wrapText="1"/>
    </xf>
    <xf numFmtId="0" fontId="11" fillId="0" borderId="53" xfId="0" applyFont="1" applyFill="1" applyBorder="1" applyAlignment="1">
      <alignment vertical="top" wrapText="1"/>
    </xf>
    <xf numFmtId="0" fontId="11" fillId="0" borderId="54" xfId="0" applyFont="1" applyFill="1" applyBorder="1" applyAlignment="1">
      <alignment vertical="top" wrapText="1"/>
    </xf>
    <xf numFmtId="0" fontId="7" fillId="2" borderId="39" xfId="4" applyFont="1" applyFill="1" applyBorder="1" applyAlignment="1" applyProtection="1">
      <alignment horizontal="right" vertical="center"/>
      <protection locked="0"/>
    </xf>
    <xf numFmtId="0" fontId="7" fillId="2" borderId="41" xfId="4" applyFont="1" applyFill="1" applyBorder="1" applyAlignment="1" applyProtection="1">
      <alignment horizontal="right" vertical="center"/>
      <protection locked="0"/>
    </xf>
    <xf numFmtId="0" fontId="7" fillId="2" borderId="13" xfId="4" applyFont="1" applyFill="1" applyBorder="1" applyAlignment="1" applyProtection="1">
      <alignment horizontal="right" vertical="center"/>
      <protection locked="0"/>
    </xf>
    <xf numFmtId="0" fontId="7" fillId="2" borderId="42" xfId="4" applyFont="1" applyFill="1" applyBorder="1" applyAlignment="1" applyProtection="1">
      <alignment horizontal="right" vertical="center"/>
      <protection locked="0"/>
    </xf>
    <xf numFmtId="0" fontId="7" fillId="2" borderId="20" xfId="4" applyFont="1" applyFill="1" applyBorder="1" applyAlignment="1">
      <alignment horizontal="right" vertical="center"/>
    </xf>
    <xf numFmtId="0" fontId="7" fillId="2" borderId="44" xfId="4" applyFont="1" applyFill="1" applyBorder="1" applyAlignment="1">
      <alignment horizontal="right" vertical="center"/>
    </xf>
    <xf numFmtId="0" fontId="7" fillId="2" borderId="20" xfId="4" applyFont="1" applyFill="1" applyBorder="1" applyAlignment="1" applyProtection="1">
      <alignment horizontal="right" vertical="center"/>
      <protection locked="0"/>
    </xf>
    <xf numFmtId="0" fontId="7" fillId="2" borderId="44" xfId="4" applyFont="1" applyFill="1" applyBorder="1" applyAlignment="1" applyProtection="1">
      <alignment horizontal="right" vertical="center"/>
      <protection locked="0"/>
    </xf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42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32" fillId="2" borderId="10" xfId="3" applyFont="1" applyFill="1" applyBorder="1" applyAlignment="1" applyProtection="1">
      <alignment horizontal="left" vertical="center"/>
    </xf>
    <xf numFmtId="0" fontId="32" fillId="2" borderId="11" xfId="3" applyFont="1" applyFill="1" applyBorder="1" applyAlignment="1" applyProtection="1">
      <alignment horizontal="left" vertical="center"/>
    </xf>
    <xf numFmtId="0" fontId="32" fillId="2" borderId="12" xfId="3" applyFont="1" applyFill="1" applyBorder="1" applyAlignment="1" applyProtection="1">
      <alignment horizontal="left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171" fontId="8" fillId="0" borderId="28" xfId="0" applyNumberFormat="1" applyFont="1" applyFill="1" applyBorder="1" applyAlignment="1">
      <alignment horizontal="center" vertical="center"/>
    </xf>
    <xf numFmtId="171" fontId="8" fillId="0" borderId="29" xfId="0" applyNumberFormat="1" applyFont="1" applyFill="1" applyBorder="1" applyAlignment="1">
      <alignment horizontal="center" vertical="center"/>
    </xf>
    <xf numFmtId="171" fontId="8" fillId="0" borderId="30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3" fontId="8" fillId="0" borderId="17" xfId="0" applyNumberFormat="1" applyFont="1" applyFill="1" applyBorder="1" applyAlignment="1">
      <alignment horizontal="center" vertical="center"/>
    </xf>
    <xf numFmtId="3" fontId="8" fillId="0" borderId="18" xfId="0" applyNumberFormat="1" applyFont="1" applyFill="1" applyBorder="1" applyAlignment="1">
      <alignment horizontal="center" vertical="center"/>
    </xf>
    <xf numFmtId="3" fontId="8" fillId="0" borderId="19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65" fontId="35" fillId="0" borderId="59" xfId="0" applyNumberFormat="1" applyFont="1" applyFill="1" applyBorder="1" applyAlignment="1">
      <alignment horizontal="center" vertical="center" wrapText="1"/>
    </xf>
    <xf numFmtId="165" fontId="35" fillId="0" borderId="60" xfId="0" applyNumberFormat="1" applyFont="1" applyFill="1" applyBorder="1" applyAlignment="1">
      <alignment horizontal="center" vertical="center" wrapText="1"/>
    </xf>
    <xf numFmtId="165" fontId="35" fillId="0" borderId="61" xfId="0" applyNumberFormat="1" applyFont="1" applyFill="1" applyBorder="1" applyAlignment="1">
      <alignment horizontal="center" vertical="center" wrapText="1"/>
    </xf>
    <xf numFmtId="165" fontId="21" fillId="0" borderId="59" xfId="0" applyNumberFormat="1" applyFont="1" applyFill="1" applyBorder="1" applyAlignment="1">
      <alignment horizontal="center" vertical="center"/>
    </xf>
    <xf numFmtId="165" fontId="21" fillId="0" borderId="60" xfId="0" applyNumberFormat="1" applyFont="1" applyFill="1" applyBorder="1" applyAlignment="1">
      <alignment horizontal="center" vertical="center"/>
    </xf>
    <xf numFmtId="165" fontId="21" fillId="0" borderId="61" xfId="0" applyNumberFormat="1" applyFont="1" applyFill="1" applyBorder="1" applyAlignment="1">
      <alignment horizontal="center" vertical="center"/>
    </xf>
    <xf numFmtId="0" fontId="33" fillId="7" borderId="59" xfId="0" applyFont="1" applyFill="1" applyBorder="1" applyAlignment="1">
      <alignment horizontal="center" vertical="center"/>
    </xf>
    <xf numFmtId="0" fontId="33" fillId="7" borderId="60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0" fontId="33" fillId="6" borderId="60" xfId="0" applyFont="1" applyFill="1" applyBorder="1" applyAlignment="1">
      <alignment horizontal="center" vertical="center"/>
    </xf>
    <xf numFmtId="0" fontId="33" fillId="6" borderId="61" xfId="0" applyFont="1" applyFill="1" applyBorder="1" applyAlignment="1">
      <alignment horizontal="center" vertical="center"/>
    </xf>
    <xf numFmtId="0" fontId="22" fillId="6" borderId="59" xfId="0" applyFont="1" applyFill="1" applyBorder="1" applyAlignment="1">
      <alignment horizontal="center" vertical="center"/>
    </xf>
    <xf numFmtId="0" fontId="22" fillId="6" borderId="6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4" fillId="0" borderId="3" xfId="0" applyFont="1" applyBorder="1" applyAlignment="1">
      <alignment wrapText="1"/>
    </xf>
    <xf numFmtId="0" fontId="25" fillId="0" borderId="1" xfId="0" applyFont="1" applyBorder="1"/>
    <xf numFmtId="0" fontId="25" fillId="2" borderId="59" xfId="0" applyFont="1" applyFill="1" applyBorder="1" applyAlignment="1">
      <alignment horizontal="center"/>
    </xf>
    <xf numFmtId="0" fontId="25" fillId="2" borderId="60" xfId="0" applyFont="1" applyFill="1" applyBorder="1" applyAlignment="1">
      <alignment horizontal="center"/>
    </xf>
    <xf numFmtId="0" fontId="25" fillId="2" borderId="61" xfId="0" applyFont="1" applyFill="1" applyBorder="1" applyAlignment="1">
      <alignment horizontal="center"/>
    </xf>
    <xf numFmtId="0" fontId="30" fillId="2" borderId="59" xfId="0" applyFont="1" applyFill="1" applyBorder="1" applyAlignment="1">
      <alignment horizontal="center"/>
    </xf>
    <xf numFmtId="0" fontId="30" fillId="2" borderId="60" xfId="0" applyFont="1" applyFill="1" applyBorder="1" applyAlignment="1">
      <alignment horizontal="center"/>
    </xf>
    <xf numFmtId="0" fontId="30" fillId="2" borderId="61" xfId="0" applyFont="1" applyFill="1" applyBorder="1" applyAlignment="1">
      <alignment horizontal="center"/>
    </xf>
    <xf numFmtId="0" fontId="34" fillId="7" borderId="59" xfId="0" applyFont="1" applyFill="1" applyBorder="1" applyAlignment="1">
      <alignment horizontal="center" vertical="center"/>
    </xf>
    <xf numFmtId="0" fontId="34" fillId="7" borderId="60" xfId="0" applyFont="1" applyFill="1" applyBorder="1" applyAlignment="1">
      <alignment horizontal="center" vertical="center"/>
    </xf>
    <xf numFmtId="0" fontId="34" fillId="7" borderId="61" xfId="0" applyFont="1" applyFill="1" applyBorder="1" applyAlignment="1">
      <alignment horizontal="center" vertical="center"/>
    </xf>
    <xf numFmtId="0" fontId="20" fillId="7" borderId="59" xfId="0" applyFont="1" applyFill="1" applyBorder="1" applyAlignment="1">
      <alignment horizontal="center" vertical="center"/>
    </xf>
    <xf numFmtId="0" fontId="20" fillId="7" borderId="60" xfId="0" applyFont="1" applyFill="1" applyBorder="1" applyAlignment="1">
      <alignment horizontal="center" vertical="center"/>
    </xf>
    <xf numFmtId="0" fontId="20" fillId="7" borderId="61" xfId="0" applyFont="1" applyFill="1" applyBorder="1" applyAlignment="1">
      <alignment horizontal="center" vertical="center"/>
    </xf>
    <xf numFmtId="166" fontId="23" fillId="0" borderId="5" xfId="2" applyNumberFormat="1" applyFont="1" applyBorder="1" applyAlignment="1">
      <alignment horizontal="center"/>
    </xf>
    <xf numFmtId="166" fontId="23" fillId="0" borderId="63" xfId="2" applyNumberFormat="1" applyFont="1" applyBorder="1" applyAlignment="1">
      <alignment horizontal="center"/>
    </xf>
    <xf numFmtId="166" fontId="23" fillId="0" borderId="64" xfId="2" applyNumberFormat="1" applyFont="1" applyBorder="1" applyAlignment="1">
      <alignment horizontal="center"/>
    </xf>
    <xf numFmtId="0" fontId="22" fillId="6" borderId="61" xfId="0" applyFont="1" applyFill="1" applyBorder="1" applyAlignment="1">
      <alignment horizontal="center" vertical="center"/>
    </xf>
    <xf numFmtId="166" fontId="23" fillId="0" borderId="0" xfId="2" applyNumberFormat="1" applyFont="1" applyBorder="1" applyAlignment="1">
      <alignment horizontal="center"/>
    </xf>
    <xf numFmtId="166" fontId="29" fillId="0" borderId="59" xfId="0" applyNumberFormat="1" applyFont="1" applyBorder="1" applyAlignment="1">
      <alignment horizontal="center" vertical="center"/>
    </xf>
    <xf numFmtId="166" fontId="29" fillId="0" borderId="60" xfId="0" applyNumberFormat="1" applyFont="1" applyBorder="1" applyAlignment="1">
      <alignment horizontal="center" vertical="center"/>
    </xf>
    <xf numFmtId="166" fontId="29" fillId="0" borderId="61" xfId="0" applyNumberFormat="1" applyFont="1" applyBorder="1" applyAlignment="1">
      <alignment horizontal="center" vertical="center"/>
    </xf>
    <xf numFmtId="0" fontId="40" fillId="0" borderId="63" xfId="0" applyFont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6" fillId="0" borderId="0" xfId="0" applyFont="1" applyAlignment="1">
      <alignment horizontal="center" vertical="center" wrapText="1"/>
    </xf>
    <xf numFmtId="43" fontId="29" fillId="0" borderId="59" xfId="7" applyFont="1" applyBorder="1" applyAlignment="1">
      <alignment horizontal="center" vertical="center"/>
    </xf>
    <xf numFmtId="43" fontId="29" fillId="0" borderId="60" xfId="7" applyFont="1" applyBorder="1" applyAlignment="1">
      <alignment horizontal="center" vertical="center"/>
    </xf>
    <xf numFmtId="43" fontId="29" fillId="0" borderId="61" xfId="7" applyFont="1" applyBorder="1" applyAlignment="1">
      <alignment horizontal="center" vertical="center"/>
    </xf>
    <xf numFmtId="0" fontId="29" fillId="0" borderId="59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166" fontId="23" fillId="0" borderId="6" xfId="2" applyNumberFormat="1" applyFont="1" applyBorder="1" applyAlignment="1">
      <alignment horizontal="center"/>
    </xf>
    <xf numFmtId="166" fontId="23" fillId="0" borderId="7" xfId="2" applyNumberFormat="1" applyFont="1" applyBorder="1" applyAlignment="1">
      <alignment horizontal="center"/>
    </xf>
    <xf numFmtId="169" fontId="41" fillId="0" borderId="0" xfId="0" applyNumberFormat="1" applyFont="1"/>
    <xf numFmtId="0" fontId="0" fillId="9" borderId="0" xfId="0" applyFill="1"/>
    <xf numFmtId="169" fontId="0" fillId="9" borderId="0" xfId="7" applyNumberFormat="1" applyFont="1" applyFill="1"/>
    <xf numFmtId="9" fontId="0" fillId="9" borderId="0" xfId="2" applyFont="1" applyFill="1"/>
    <xf numFmtId="166" fontId="0" fillId="9" borderId="0" xfId="2" applyNumberFormat="1" applyFont="1" applyFill="1"/>
    <xf numFmtId="168" fontId="0" fillId="9" borderId="0" xfId="0" applyNumberForma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/>
    <xf numFmtId="169" fontId="0" fillId="0" borderId="0" xfId="7" applyNumberFormat="1" applyFont="1" applyFill="1"/>
    <xf numFmtId="9" fontId="0" fillId="0" borderId="0" xfId="2" applyFont="1" applyFill="1"/>
    <xf numFmtId="166" fontId="0" fillId="0" borderId="0" xfId="2" applyNumberFormat="1" applyFont="1" applyFill="1"/>
    <xf numFmtId="168" fontId="0" fillId="0" borderId="0" xfId="0" applyNumberFormat="1" applyFill="1"/>
  </cellXfs>
  <cellStyles count="8">
    <cellStyle name="Comma" xfId="7" builtinId="3"/>
    <cellStyle name="Comma 2" xfId="6"/>
    <cellStyle name="Currency" xfId="1" builtinId="4"/>
    <cellStyle name="Hyperlink" xfId="3" builtinId="8"/>
    <cellStyle name="Normal" xfId="0" builtinId="0"/>
    <cellStyle name="Normal 2" xfId="4"/>
    <cellStyle name="Percent" xfId="2" builtinId="5"/>
    <cellStyle name="Percent 2" xfId="5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312175</xdr:colOff>
      <xdr:row>0</xdr:row>
      <xdr:rowOff>0</xdr:rowOff>
    </xdr:from>
    <xdr:to>
      <xdr:col>11</xdr:col>
      <xdr:colOff>5109</xdr:colOff>
      <xdr:row>0</xdr:row>
      <xdr:rowOff>907676</xdr:rowOff>
    </xdr:to>
    <xdr:pic>
      <xdr:nvPicPr>
        <xdr:cNvPr id="8446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58616" y="0"/>
          <a:ext cx="1239346" cy="9076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1994342</xdr:colOff>
      <xdr:row>0</xdr:row>
      <xdr:rowOff>0</xdr:rowOff>
    </xdr:from>
    <xdr:to>
      <xdr:col>8</xdr:col>
      <xdr:colOff>5343</xdr:colOff>
      <xdr:row>2</xdr:row>
      <xdr:rowOff>19515</xdr:rowOff>
    </xdr:to>
    <xdr:pic>
      <xdr:nvPicPr>
        <xdr:cNvPr id="2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60518" y="0"/>
          <a:ext cx="1473619" cy="10504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14</xdr:col>
      <xdr:colOff>38407</xdr:colOff>
      <xdr:row>0</xdr:row>
      <xdr:rowOff>921050</xdr:rowOff>
    </xdr:to>
    <xdr:pic>
      <xdr:nvPicPr>
        <xdr:cNvPr id="5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53800" y="0"/>
          <a:ext cx="1257607" cy="92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llow.com/gloucester-county-nj/home-values/" TargetMode="External"/><Relationship Id="rId13" Type="http://schemas.openxmlformats.org/officeDocument/2006/relationships/hyperlink" Target="https://www.zillow.com/monmouth-county-nj/home-values/" TargetMode="External"/><Relationship Id="rId18" Type="http://schemas.openxmlformats.org/officeDocument/2006/relationships/hyperlink" Target="https://www.zillow.com/somerset-county-nj/home-values/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zillow.com/atlantic-county-nj/home-values/" TargetMode="External"/><Relationship Id="rId21" Type="http://schemas.openxmlformats.org/officeDocument/2006/relationships/hyperlink" Target="https://www.zillow.com/warren-county-nj/home-values/" TargetMode="External"/><Relationship Id="rId7" Type="http://schemas.openxmlformats.org/officeDocument/2006/relationships/hyperlink" Target="https://www.zillow.com/essex-county-nj/home-values/" TargetMode="External"/><Relationship Id="rId12" Type="http://schemas.openxmlformats.org/officeDocument/2006/relationships/hyperlink" Target="https://www.zillow.com/middlesex-county-ma/home-values/" TargetMode="External"/><Relationship Id="rId17" Type="http://schemas.openxmlformats.org/officeDocument/2006/relationships/hyperlink" Target="https://www.zillow.com/salem-county-nj/home-values/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zillow.com/bergen-county-nj/home-values/" TargetMode="External"/><Relationship Id="rId16" Type="http://schemas.openxmlformats.org/officeDocument/2006/relationships/hyperlink" Target="https://www.zillow.com/passaic-county-nj/home-values/" TargetMode="External"/><Relationship Id="rId20" Type="http://schemas.openxmlformats.org/officeDocument/2006/relationships/hyperlink" Target="https://www.zillow.com/union-county-nj/home-values/" TargetMode="External"/><Relationship Id="rId1" Type="http://schemas.openxmlformats.org/officeDocument/2006/relationships/hyperlink" Target="https://www.zillow.com/burlington-county-nj/home-values/" TargetMode="External"/><Relationship Id="rId6" Type="http://schemas.openxmlformats.org/officeDocument/2006/relationships/hyperlink" Target="https://www.zillow.com/cape-may-county-nj/home-values/" TargetMode="External"/><Relationship Id="rId11" Type="http://schemas.openxmlformats.org/officeDocument/2006/relationships/hyperlink" Target="https://www.zillow.com/mercer-county-nj/home-values/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zillow.com/cumberland-county-nc/home-values/" TargetMode="External"/><Relationship Id="rId15" Type="http://schemas.openxmlformats.org/officeDocument/2006/relationships/hyperlink" Target="https://www.zillow.com/ocean-county-nj/home-valu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zillow.com/hunterdon-county-nj/home-values/" TargetMode="External"/><Relationship Id="rId19" Type="http://schemas.openxmlformats.org/officeDocument/2006/relationships/hyperlink" Target="https://www.zillow.com/sussex-county-de/home-values/" TargetMode="External"/><Relationship Id="rId4" Type="http://schemas.openxmlformats.org/officeDocument/2006/relationships/hyperlink" Target="https://www.zillow.com/camden-county-nj/home-values/" TargetMode="External"/><Relationship Id="rId9" Type="http://schemas.openxmlformats.org/officeDocument/2006/relationships/hyperlink" Target="https://www.zillow.com/hudson-county-nj/home-values/" TargetMode="External"/><Relationship Id="rId14" Type="http://schemas.openxmlformats.org/officeDocument/2006/relationships/hyperlink" Target="https://www.zillow.com/morris-county-nj/home-values/" TargetMode="External"/><Relationship Id="rId22" Type="http://schemas.openxmlformats.org/officeDocument/2006/relationships/hyperlink" Target="https://www.zillow.com/mortgage-calculato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8"/>
  <sheetViews>
    <sheetView showGridLines="0" topLeftCell="A21" zoomScale="85" zoomScaleNormal="85" workbookViewId="0">
      <selection activeCell="G29" sqref="G29"/>
    </sheetView>
  </sheetViews>
  <sheetFormatPr defaultColWidth="12.5703125" defaultRowHeight="15"/>
  <cols>
    <col min="1" max="1" width="2.7109375" customWidth="1"/>
    <col min="2" max="2" width="36.42578125" customWidth="1"/>
    <col min="3" max="3" width="20.5703125" customWidth="1"/>
    <col min="4" max="4" width="2.7109375" customWidth="1"/>
    <col min="5" max="5" width="36.42578125" customWidth="1"/>
    <col min="6" max="6" width="2.7109375" style="62" customWidth="1"/>
    <col min="7" max="7" width="20.5703125" customWidth="1"/>
    <col min="8" max="8" width="2.7109375" customWidth="1"/>
    <col min="9" max="9" width="36.42578125" customWidth="1"/>
    <col min="10" max="10" width="20.5703125" customWidth="1"/>
    <col min="11" max="11" width="2.7109375" customWidth="1"/>
    <col min="34" max="34" width="16.7109375" bestFit="1" customWidth="1"/>
  </cols>
  <sheetData>
    <row r="1" spans="1:40" s="53" customFormat="1" ht="72" customHeight="1" thickBot="1">
      <c r="A1" s="4"/>
      <c r="B1" s="4" t="s">
        <v>112</v>
      </c>
      <c r="C1" s="5"/>
      <c r="D1" s="5"/>
      <c r="E1" s="5"/>
      <c r="F1" s="6"/>
      <c r="G1" s="5"/>
      <c r="H1" s="5"/>
      <c r="I1" s="5"/>
      <c r="J1" s="7"/>
      <c r="K1" s="52"/>
      <c r="L1" s="52"/>
      <c r="M1" s="52"/>
      <c r="N1" s="52"/>
      <c r="O1" s="52"/>
      <c r="P1" s="52"/>
      <c r="Q1" s="52"/>
      <c r="R1" s="52"/>
    </row>
    <row r="2" spans="1:40" ht="16.5" thickTop="1" thickBot="1">
      <c r="A2" s="8"/>
      <c r="B2" s="9"/>
      <c r="C2" s="9"/>
      <c r="D2" s="9"/>
      <c r="E2" s="9"/>
      <c r="F2" s="9"/>
      <c r="G2" s="9"/>
      <c r="H2" s="9"/>
      <c r="I2" s="9"/>
      <c r="J2" s="9"/>
      <c r="K2" s="54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</row>
    <row r="3" spans="1:40" ht="21.95" customHeight="1" thickBot="1">
      <c r="A3" s="10"/>
      <c r="B3" s="204" t="s">
        <v>106</v>
      </c>
      <c r="C3" s="205"/>
      <c r="D3" s="205"/>
      <c r="E3" s="206"/>
      <c r="F3" s="11"/>
      <c r="G3" s="204" t="s">
        <v>113</v>
      </c>
      <c r="H3" s="205"/>
      <c r="I3" s="205"/>
      <c r="J3" s="206"/>
      <c r="K3" s="55"/>
      <c r="L3" s="51"/>
      <c r="M3" s="56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</row>
    <row r="4" spans="1:40" ht="21.95" customHeight="1">
      <c r="A4" s="10"/>
      <c r="B4" s="2" t="s">
        <v>107</v>
      </c>
      <c r="C4" s="220" t="s">
        <v>202</v>
      </c>
      <c r="D4" s="221"/>
      <c r="E4" s="222"/>
      <c r="F4" s="12"/>
      <c r="G4" s="13" t="s">
        <v>114</v>
      </c>
      <c r="H4" s="223">
        <v>43466</v>
      </c>
      <c r="I4" s="224"/>
      <c r="J4" s="225"/>
      <c r="K4" s="55"/>
      <c r="L4" s="51"/>
      <c r="M4" s="56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</row>
    <row r="5" spans="1:40" ht="21.95" customHeight="1">
      <c r="A5" s="10"/>
      <c r="B5" s="2" t="s">
        <v>108</v>
      </c>
      <c r="C5" s="226">
        <v>8</v>
      </c>
      <c r="D5" s="227"/>
      <c r="E5" s="228"/>
      <c r="F5" s="12"/>
      <c r="G5" s="14" t="s">
        <v>115</v>
      </c>
      <c r="H5" s="229" t="s">
        <v>194</v>
      </c>
      <c r="I5" s="230"/>
      <c r="J5" s="231"/>
      <c r="K5" s="55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</row>
    <row r="6" spans="1:40" ht="21.95" customHeight="1" thickBot="1">
      <c r="A6" s="10"/>
      <c r="B6" s="2" t="s">
        <v>109</v>
      </c>
      <c r="C6" s="226">
        <v>4</v>
      </c>
      <c r="D6" s="227"/>
      <c r="E6" s="228"/>
      <c r="F6" s="12"/>
      <c r="G6" s="14" t="s">
        <v>116</v>
      </c>
      <c r="H6" s="229" t="s">
        <v>117</v>
      </c>
      <c r="I6" s="230"/>
      <c r="J6" s="231"/>
      <c r="K6" s="55"/>
      <c r="L6" s="51"/>
      <c r="M6" s="48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</row>
    <row r="7" spans="1:40" ht="21.95" customHeight="1">
      <c r="A7" s="10"/>
      <c r="B7" s="2" t="s">
        <v>110</v>
      </c>
      <c r="C7" s="232">
        <v>2000</v>
      </c>
      <c r="D7" s="233"/>
      <c r="E7" s="234"/>
      <c r="F7" s="12"/>
      <c r="G7" s="14" t="s">
        <v>118</v>
      </c>
      <c r="H7" s="223">
        <v>43525</v>
      </c>
      <c r="I7" s="224"/>
      <c r="J7" s="225"/>
      <c r="K7" s="55"/>
      <c r="L7" s="51"/>
      <c r="M7" s="56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</row>
    <row r="8" spans="1:40" ht="21.95" customHeight="1" thickBot="1">
      <c r="A8" s="10"/>
      <c r="B8" s="3" t="s">
        <v>111</v>
      </c>
      <c r="C8" s="235">
        <v>2</v>
      </c>
      <c r="D8" s="236"/>
      <c r="E8" s="237"/>
      <c r="F8" s="12"/>
      <c r="G8" s="15" t="s">
        <v>119</v>
      </c>
      <c r="H8" s="238" t="s">
        <v>120</v>
      </c>
      <c r="I8" s="239"/>
      <c r="J8" s="240"/>
      <c r="K8" s="55"/>
      <c r="L8" s="51"/>
      <c r="M8" s="56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</row>
    <row r="9" spans="1:40" ht="21.95" customHeight="1">
      <c r="A9" s="10"/>
      <c r="B9" s="124" t="s">
        <v>162</v>
      </c>
      <c r="C9" s="219" t="s">
        <v>166</v>
      </c>
      <c r="D9" s="219"/>
      <c r="E9" s="219"/>
      <c r="F9" s="17"/>
      <c r="G9" s="124"/>
      <c r="H9" s="125"/>
      <c r="I9" s="125"/>
      <c r="J9" s="125"/>
      <c r="K9" s="55"/>
      <c r="L9" s="51"/>
      <c r="M9" s="56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</row>
    <row r="10" spans="1:40" ht="16.5" thickBot="1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55"/>
      <c r="L10" s="51"/>
      <c r="M10" s="56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</row>
    <row r="11" spans="1:40" ht="19.5" thickBot="1">
      <c r="A11" s="16"/>
      <c r="B11" s="204" t="s">
        <v>121</v>
      </c>
      <c r="C11" s="205"/>
      <c r="D11" s="205"/>
      <c r="E11" s="205"/>
      <c r="F11" s="205"/>
      <c r="G11" s="205"/>
      <c r="H11" s="205"/>
      <c r="I11" s="205"/>
      <c r="J11" s="206"/>
      <c r="K11" s="55"/>
      <c r="L11" s="51"/>
      <c r="M11" s="56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</row>
    <row r="12" spans="1:40" ht="15.95" customHeight="1">
      <c r="A12" s="10"/>
      <c r="B12" s="207"/>
      <c r="C12" s="208"/>
      <c r="D12" s="208"/>
      <c r="E12" s="208"/>
      <c r="F12" s="208"/>
      <c r="G12" s="208"/>
      <c r="H12" s="208"/>
      <c r="I12" s="208"/>
      <c r="J12" s="209"/>
      <c r="K12" s="55"/>
      <c r="L12" s="51"/>
      <c r="M12" s="56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</row>
    <row r="13" spans="1:40" ht="15.75" customHeight="1">
      <c r="A13" s="10"/>
      <c r="B13" s="210"/>
      <c r="C13" s="211"/>
      <c r="D13" s="211"/>
      <c r="E13" s="211"/>
      <c r="F13" s="211"/>
      <c r="G13" s="211"/>
      <c r="H13" s="211"/>
      <c r="I13" s="211"/>
      <c r="J13" s="212"/>
      <c r="K13" s="55"/>
      <c r="L13" s="51"/>
      <c r="M13" s="48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</row>
    <row r="14" spans="1:40" ht="15.75" customHeight="1">
      <c r="A14" s="10"/>
      <c r="B14" s="210"/>
      <c r="C14" s="211"/>
      <c r="D14" s="211"/>
      <c r="E14" s="211"/>
      <c r="F14" s="211"/>
      <c r="G14" s="211"/>
      <c r="H14" s="211"/>
      <c r="I14" s="211"/>
      <c r="J14" s="212"/>
      <c r="K14" s="55"/>
      <c r="L14" s="51"/>
      <c r="M14" s="56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0" ht="16.5" customHeight="1" thickBot="1">
      <c r="A15" s="10"/>
      <c r="B15" s="213"/>
      <c r="C15" s="214"/>
      <c r="D15" s="214"/>
      <c r="E15" s="214"/>
      <c r="F15" s="214"/>
      <c r="G15" s="214"/>
      <c r="H15" s="214"/>
      <c r="I15" s="214"/>
      <c r="J15" s="215"/>
      <c r="K15" s="55"/>
      <c r="L15" s="51"/>
      <c r="M15" s="56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0" ht="16.5" thickBot="1">
      <c r="A16" s="10"/>
      <c r="B16" s="18"/>
      <c r="C16" s="18"/>
      <c r="D16" s="18"/>
      <c r="E16" s="18"/>
      <c r="F16" s="18"/>
      <c r="G16" s="18"/>
      <c r="H16" s="18"/>
      <c r="I16" s="18"/>
      <c r="J16" s="18"/>
      <c r="K16" s="55"/>
      <c r="L16" s="51"/>
      <c r="M16" s="57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spans="1:40" ht="20.100000000000001" customHeight="1" thickBot="1">
      <c r="A17" s="10"/>
      <c r="B17" s="204" t="s">
        <v>122</v>
      </c>
      <c r="C17" s="206"/>
      <c r="D17" s="19"/>
      <c r="E17" s="216" t="s">
        <v>196</v>
      </c>
      <c r="F17" s="217"/>
      <c r="G17" s="218"/>
      <c r="H17" s="19"/>
      <c r="I17" s="204" t="s">
        <v>123</v>
      </c>
      <c r="J17" s="206"/>
      <c r="K17" s="55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</row>
    <row r="18" spans="1:40" ht="20.100000000000001" customHeight="1">
      <c r="A18" s="10"/>
      <c r="B18" s="20" t="s">
        <v>152</v>
      </c>
      <c r="C18" s="21">
        <v>350000</v>
      </c>
      <c r="D18" s="19"/>
      <c r="E18" s="196" t="s">
        <v>141</v>
      </c>
      <c r="F18" s="197"/>
      <c r="G18" s="38">
        <v>0.05</v>
      </c>
      <c r="H18" s="22"/>
      <c r="I18" s="23" t="s">
        <v>124</v>
      </c>
      <c r="J18" s="24">
        <v>2.5000000000000001E-3</v>
      </c>
      <c r="K18" s="55"/>
      <c r="L18" s="51"/>
      <c r="M18" s="48"/>
      <c r="N18" s="58"/>
      <c r="O18" s="48"/>
      <c r="P18" s="48"/>
      <c r="Q18" s="48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</row>
    <row r="19" spans="1:40" ht="20.100000000000001" customHeight="1">
      <c r="A19" s="10"/>
      <c r="B19" s="25" t="s">
        <v>151</v>
      </c>
      <c r="C19" s="26">
        <v>1800</v>
      </c>
      <c r="D19" s="19"/>
      <c r="E19" s="198" t="s">
        <v>145</v>
      </c>
      <c r="F19" s="199"/>
      <c r="G19" s="27">
        <v>30</v>
      </c>
      <c r="H19" s="28"/>
      <c r="I19" s="29" t="s">
        <v>125</v>
      </c>
      <c r="J19" s="30"/>
      <c r="K19" s="55"/>
      <c r="L19" s="51"/>
      <c r="M19" s="48"/>
      <c r="N19" s="48"/>
      <c r="O19" s="48"/>
      <c r="P19" s="48"/>
      <c r="Q19" s="48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</row>
    <row r="20" spans="1:40" ht="20.100000000000001" customHeight="1" thickBot="1">
      <c r="A20" s="10"/>
      <c r="B20" s="25" t="s">
        <v>153</v>
      </c>
      <c r="C20" s="26">
        <v>6138</v>
      </c>
      <c r="D20" s="19"/>
      <c r="E20" s="200" t="s">
        <v>144</v>
      </c>
      <c r="F20" s="201"/>
      <c r="G20" s="64">
        <v>1813</v>
      </c>
      <c r="H20" s="31"/>
      <c r="I20" s="15" t="s">
        <v>126</v>
      </c>
      <c r="J20" s="32">
        <v>1200</v>
      </c>
      <c r="K20" s="55"/>
      <c r="L20" s="51"/>
      <c r="M20" s="59"/>
      <c r="N20" s="59"/>
      <c r="O20" s="48"/>
      <c r="P20" s="48"/>
      <c r="Q20" s="48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</row>
    <row r="21" spans="1:40" ht="20.100000000000001" customHeight="1" thickBot="1">
      <c r="A21" s="10"/>
      <c r="B21" s="29" t="s">
        <v>129</v>
      </c>
      <c r="C21" s="26">
        <v>1000</v>
      </c>
      <c r="D21" s="19"/>
      <c r="E21" s="19"/>
      <c r="F21" s="19"/>
      <c r="G21" s="19"/>
      <c r="H21" s="19"/>
      <c r="I21" s="19"/>
      <c r="J21" s="19"/>
      <c r="K21" s="55"/>
      <c r="L21" s="51"/>
      <c r="M21" s="60"/>
      <c r="N21" s="60"/>
      <c r="O21" s="60"/>
      <c r="P21" s="60"/>
      <c r="Q21" s="60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spans="1:40" ht="20.100000000000001" customHeight="1" thickBot="1">
      <c r="A22" s="10"/>
      <c r="B22" s="29" t="s">
        <v>131</v>
      </c>
      <c r="C22" s="26">
        <v>0</v>
      </c>
      <c r="D22" s="19"/>
      <c r="E22" s="196" t="s">
        <v>142</v>
      </c>
      <c r="F22" s="197"/>
      <c r="G22" s="63">
        <v>0.05</v>
      </c>
      <c r="H22" s="22"/>
      <c r="I22" s="204" t="s">
        <v>127</v>
      </c>
      <c r="J22" s="206"/>
      <c r="K22" s="55"/>
      <c r="L22" s="51"/>
      <c r="M22" s="60"/>
      <c r="N22" s="60"/>
      <c r="O22" s="60"/>
      <c r="P22" s="60"/>
      <c r="Q22" s="60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</row>
    <row r="23" spans="1:40" ht="20.100000000000001" customHeight="1">
      <c r="A23" s="10"/>
      <c r="B23" s="35" t="s">
        <v>133</v>
      </c>
      <c r="C23" s="26"/>
      <c r="D23" s="19"/>
      <c r="E23" s="198" t="s">
        <v>145</v>
      </c>
      <c r="F23" s="199"/>
      <c r="G23" s="27">
        <v>30</v>
      </c>
      <c r="H23" s="28"/>
      <c r="I23" s="23" t="s">
        <v>128</v>
      </c>
      <c r="J23" s="33">
        <v>0.06</v>
      </c>
      <c r="K23" s="55"/>
      <c r="L23" s="51"/>
      <c r="M23" s="60"/>
      <c r="N23" s="60"/>
      <c r="O23" s="60"/>
      <c r="P23" s="60"/>
      <c r="Q23" s="60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</row>
    <row r="24" spans="1:40" ht="20.100000000000001" customHeight="1" thickBot="1">
      <c r="A24" s="10"/>
      <c r="B24" s="35" t="s">
        <v>135</v>
      </c>
      <c r="C24" s="26">
        <v>100</v>
      </c>
      <c r="D24" s="19"/>
      <c r="E24" s="200" t="s">
        <v>144</v>
      </c>
      <c r="F24" s="201"/>
      <c r="G24" s="64">
        <v>1503</v>
      </c>
      <c r="H24" s="31"/>
      <c r="I24" s="29" t="s">
        <v>130</v>
      </c>
      <c r="J24" s="34">
        <v>1.1999999999999999E-3</v>
      </c>
      <c r="K24" s="55"/>
      <c r="L24" s="51"/>
      <c r="M24" s="60"/>
      <c r="N24" s="60"/>
      <c r="O24" s="60"/>
      <c r="P24" s="60"/>
      <c r="Q24" s="6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</row>
    <row r="25" spans="1:40" ht="20.100000000000001" customHeight="1" thickBot="1">
      <c r="A25" s="10"/>
      <c r="B25" s="35" t="s">
        <v>136</v>
      </c>
      <c r="C25" s="26"/>
      <c r="D25" s="19"/>
      <c r="E25" s="19"/>
      <c r="F25" s="19"/>
      <c r="G25" s="19"/>
      <c r="H25" s="19"/>
      <c r="I25" s="29" t="s">
        <v>132</v>
      </c>
      <c r="J25" s="30">
        <v>0</v>
      </c>
      <c r="K25" s="55"/>
      <c r="L25" s="51"/>
      <c r="M25" s="60"/>
      <c r="N25" s="60"/>
      <c r="O25" s="60"/>
      <c r="P25" s="60"/>
      <c r="Q25" s="6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</row>
    <row r="26" spans="1:40" ht="20.100000000000001" customHeight="1">
      <c r="A26" s="10"/>
      <c r="B26" s="35" t="s">
        <v>146</v>
      </c>
      <c r="C26" s="26">
        <f>0.1*C19*C8</f>
        <v>360</v>
      </c>
      <c r="D26" s="19"/>
      <c r="E26" s="196" t="s">
        <v>143</v>
      </c>
      <c r="F26" s="197"/>
      <c r="G26" s="63">
        <v>0.05</v>
      </c>
      <c r="H26" s="22"/>
      <c r="I26" s="14" t="s">
        <v>134</v>
      </c>
      <c r="J26" s="30">
        <v>2000</v>
      </c>
      <c r="K26" s="55"/>
      <c r="L26" s="51"/>
      <c r="M26" s="60"/>
      <c r="N26" s="60"/>
      <c r="O26" s="60"/>
      <c r="P26" s="60"/>
      <c r="Q26" s="60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</row>
    <row r="27" spans="1:40" ht="20.100000000000001" customHeight="1">
      <c r="A27" s="10"/>
      <c r="B27" s="35" t="s">
        <v>147</v>
      </c>
      <c r="C27" s="26">
        <v>200</v>
      </c>
      <c r="D27" s="19"/>
      <c r="E27" s="198" t="s">
        <v>145</v>
      </c>
      <c r="F27" s="199"/>
      <c r="G27" s="27">
        <v>30</v>
      </c>
      <c r="H27" s="28"/>
      <c r="I27" s="36" t="s">
        <v>126</v>
      </c>
      <c r="J27" s="37">
        <v>1200</v>
      </c>
      <c r="K27" s="55"/>
      <c r="L27" s="51"/>
      <c r="M27" s="60"/>
      <c r="N27" s="60"/>
      <c r="O27" s="60"/>
      <c r="P27" s="60"/>
      <c r="Q27" s="60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</row>
    <row r="28" spans="1:40" ht="20.100000000000001" customHeight="1" thickBot="1">
      <c r="A28" s="10"/>
      <c r="B28" s="25" t="s">
        <v>148</v>
      </c>
      <c r="C28" s="26">
        <v>10000</v>
      </c>
      <c r="D28" s="19"/>
      <c r="E28" s="200" t="s">
        <v>144</v>
      </c>
      <c r="F28" s="201"/>
      <c r="G28" s="65">
        <v>1409</v>
      </c>
      <c r="H28" s="31"/>
      <c r="I28" s="36" t="s">
        <v>137</v>
      </c>
      <c r="J28" s="39">
        <v>350</v>
      </c>
      <c r="K28" s="55"/>
      <c r="L28" s="51"/>
      <c r="M28" s="48"/>
      <c r="N28" s="48"/>
      <c r="O28" s="48"/>
      <c r="P28" s="48"/>
      <c r="Q28" s="48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</row>
    <row r="29" spans="1:40" ht="20.100000000000001" customHeight="1" thickBot="1">
      <c r="A29" s="10"/>
      <c r="B29" s="25" t="s">
        <v>149</v>
      </c>
      <c r="C29" s="26">
        <v>5000</v>
      </c>
      <c r="D29" s="19"/>
      <c r="E29" s="202"/>
      <c r="F29" s="203"/>
      <c r="G29" s="40"/>
      <c r="H29" s="41"/>
      <c r="I29" s="36" t="s">
        <v>138</v>
      </c>
      <c r="J29" s="37">
        <v>1000</v>
      </c>
      <c r="K29" s="55"/>
      <c r="L29" s="51"/>
      <c r="M29" s="48"/>
      <c r="N29" s="48"/>
      <c r="O29" s="48"/>
      <c r="P29" s="48"/>
      <c r="Q29" s="48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</row>
    <row r="30" spans="1:40" ht="20.100000000000001" customHeight="1" thickBot="1">
      <c r="A30" s="10"/>
      <c r="B30" s="42" t="s">
        <v>150</v>
      </c>
      <c r="C30" s="43">
        <v>20</v>
      </c>
      <c r="D30" s="19"/>
      <c r="E30" s="19"/>
      <c r="F30" s="19"/>
      <c r="G30" s="19"/>
      <c r="H30" s="41"/>
      <c r="I30" s="44" t="s">
        <v>139</v>
      </c>
      <c r="J30" s="45">
        <v>500</v>
      </c>
      <c r="K30" s="55"/>
      <c r="L30" s="51"/>
      <c r="M30" s="48"/>
      <c r="N30" s="48"/>
      <c r="O30" s="48"/>
      <c r="P30" s="48"/>
      <c r="Q30" s="48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</row>
    <row r="31" spans="1:40" ht="20.100000000000001" customHeight="1">
      <c r="A31" s="10"/>
      <c r="B31" s="19"/>
      <c r="C31" s="19"/>
      <c r="D31" s="19"/>
      <c r="E31" s="19"/>
      <c r="F31" s="19"/>
      <c r="G31" s="19"/>
      <c r="H31" s="19"/>
      <c r="I31" s="19"/>
      <c r="J31" s="19"/>
      <c r="K31" s="55"/>
      <c r="L31" s="51"/>
      <c r="M31" s="48"/>
      <c r="N31" s="48"/>
      <c r="O31" s="48"/>
      <c r="P31" s="48"/>
      <c r="Q31" s="48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</row>
    <row r="32" spans="1:40" ht="15.75" thickBot="1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6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</row>
    <row r="33" spans="1:40" s="51" customFormat="1" ht="15.75" thickTop="1">
      <c r="A33" s="48"/>
      <c r="B33" s="48"/>
      <c r="C33" s="48"/>
      <c r="D33" s="48"/>
      <c r="E33" s="48"/>
      <c r="F33" s="49"/>
      <c r="G33" s="48"/>
      <c r="H33" s="48"/>
      <c r="I33" s="48"/>
      <c r="J33" s="48"/>
      <c r="K33" s="48"/>
    </row>
    <row r="34" spans="1:40" s="51" customFormat="1">
      <c r="A34" s="48"/>
      <c r="B34" s="48"/>
      <c r="C34" s="48"/>
      <c r="D34" s="48"/>
      <c r="E34" s="48"/>
      <c r="F34" s="49"/>
      <c r="G34" s="48"/>
      <c r="H34" s="48"/>
      <c r="I34" s="48"/>
      <c r="J34" s="48"/>
      <c r="K34" s="48"/>
    </row>
    <row r="35" spans="1:40" s="51" customFormat="1" ht="18.75">
      <c r="A35" s="48"/>
      <c r="B35" s="50" t="s">
        <v>140</v>
      </c>
      <c r="C35" s="48"/>
      <c r="D35" s="48"/>
      <c r="E35" s="48"/>
      <c r="F35" s="49"/>
      <c r="G35" s="48"/>
      <c r="H35" s="48"/>
      <c r="I35" s="48"/>
      <c r="J35" s="48"/>
      <c r="K35" s="48"/>
    </row>
    <row r="36" spans="1:40" s="51" customFormat="1" ht="15" customHeight="1">
      <c r="A36" s="48"/>
      <c r="B36" s="187" t="s">
        <v>201</v>
      </c>
      <c r="C36" s="188"/>
      <c r="D36" s="188"/>
      <c r="E36" s="188"/>
      <c r="F36" s="188"/>
      <c r="G36" s="188"/>
      <c r="H36" s="188"/>
      <c r="I36" s="188"/>
      <c r="J36" s="189"/>
      <c r="K36" s="48"/>
    </row>
    <row r="37" spans="1:40" s="51" customFormat="1" ht="15" customHeight="1">
      <c r="A37" s="48"/>
      <c r="B37" s="190"/>
      <c r="C37" s="191"/>
      <c r="D37" s="191"/>
      <c r="E37" s="191"/>
      <c r="F37" s="191"/>
      <c r="G37" s="191"/>
      <c r="H37" s="191"/>
      <c r="I37" s="191"/>
      <c r="J37" s="192"/>
      <c r="K37" s="48"/>
    </row>
    <row r="38" spans="1:40" s="51" customFormat="1" ht="15" customHeight="1">
      <c r="A38" s="48"/>
      <c r="B38" s="190"/>
      <c r="C38" s="191"/>
      <c r="D38" s="191"/>
      <c r="E38" s="191"/>
      <c r="F38" s="191"/>
      <c r="G38" s="191"/>
      <c r="H38" s="191"/>
      <c r="I38" s="191"/>
      <c r="J38" s="192"/>
      <c r="K38" s="48"/>
    </row>
    <row r="39" spans="1:40" ht="15" customHeight="1">
      <c r="A39" s="51"/>
      <c r="B39" s="193"/>
      <c r="C39" s="194"/>
      <c r="D39" s="194"/>
      <c r="E39" s="194"/>
      <c r="F39" s="194"/>
      <c r="G39" s="194"/>
      <c r="H39" s="194"/>
      <c r="I39" s="194"/>
      <c r="J39" s="195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</row>
    <row r="40" spans="1:40">
      <c r="A40" s="51"/>
      <c r="B40" s="51"/>
      <c r="C40" s="51"/>
      <c r="D40" s="51"/>
      <c r="E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</row>
    <row r="41" spans="1:40" hidden="1">
      <c r="A41" s="51"/>
      <c r="B41" s="51"/>
      <c r="C41" s="51"/>
      <c r="D41" s="51"/>
      <c r="E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</row>
    <row r="42" spans="1:40" hidden="1">
      <c r="A42" s="51"/>
      <c r="B42" s="51"/>
      <c r="C42" s="51"/>
      <c r="D42" s="51"/>
      <c r="E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</row>
    <row r="43" spans="1:40" hidden="1">
      <c r="A43" s="51"/>
      <c r="B43" s="51"/>
      <c r="C43" s="51"/>
      <c r="D43" s="51"/>
      <c r="E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</row>
    <row r="44" spans="1:40" hidden="1">
      <c r="A44" s="51"/>
      <c r="B44" s="51"/>
      <c r="C44" s="51"/>
      <c r="D44" s="51"/>
      <c r="E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</row>
    <row r="45" spans="1:40" hidden="1">
      <c r="A45" s="51"/>
      <c r="B45" s="51"/>
      <c r="C45" s="51"/>
      <c r="D45" s="51"/>
      <c r="E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</row>
    <row r="46" spans="1:40" hidden="1">
      <c r="A46" s="51"/>
      <c r="B46" s="51"/>
      <c r="C46" s="51"/>
      <c r="D46" s="51"/>
      <c r="E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</row>
    <row r="47" spans="1:40" hidden="1">
      <c r="A47" s="51"/>
      <c r="B47" s="51"/>
      <c r="C47" s="51"/>
      <c r="D47" s="51"/>
      <c r="E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</row>
    <row r="48" spans="1:40" hidden="1">
      <c r="A48" s="51"/>
      <c r="B48" s="51"/>
      <c r="C48" s="51"/>
      <c r="D48" s="51"/>
      <c r="E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</row>
    <row r="49" spans="1:40" hidden="1">
      <c r="A49" s="51"/>
      <c r="B49" s="51"/>
      <c r="C49" s="51"/>
      <c r="D49" s="51"/>
      <c r="E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</row>
    <row r="50" spans="1:40" hidden="1">
      <c r="A50" s="51"/>
      <c r="B50" s="51"/>
      <c r="C50" s="51"/>
      <c r="D50" s="51"/>
      <c r="E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</row>
    <row r="51" spans="1:40" hidden="1">
      <c r="A51" s="51"/>
      <c r="B51" s="51"/>
      <c r="C51" s="51"/>
      <c r="D51" s="51"/>
      <c r="E51" s="51"/>
      <c r="G51" s="51"/>
      <c r="H51" s="51"/>
      <c r="I51" s="51"/>
      <c r="J51" s="51"/>
      <c r="K51" s="51"/>
      <c r="L51" s="51"/>
      <c r="M51" s="1" t="s">
        <v>163</v>
      </c>
      <c r="N51" t="s">
        <v>185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</row>
    <row r="52" spans="1:40" hidden="1">
      <c r="A52" s="51"/>
      <c r="B52" s="51"/>
      <c r="C52" s="51"/>
      <c r="D52" s="51"/>
      <c r="E52" s="51"/>
      <c r="G52" s="51"/>
      <c r="H52" s="51"/>
      <c r="I52" s="51"/>
      <c r="J52" s="51"/>
      <c r="K52" s="51"/>
      <c r="L52" s="51"/>
      <c r="M52" s="126" t="s">
        <v>164</v>
      </c>
      <c r="N52" s="127">
        <v>7.1999999999999995E-2</v>
      </c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</row>
    <row r="53" spans="1:40" hidden="1">
      <c r="A53" s="51"/>
      <c r="B53" s="51"/>
      <c r="C53" s="51"/>
      <c r="D53" s="51"/>
      <c r="E53" s="51"/>
      <c r="G53" s="51"/>
      <c r="H53" s="51"/>
      <c r="I53" s="51"/>
      <c r="J53" s="51"/>
      <c r="K53" s="51"/>
      <c r="L53" s="51"/>
      <c r="M53" s="126" t="s">
        <v>166</v>
      </c>
      <c r="N53" s="127">
        <v>3.2000000000000001E-2</v>
      </c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</row>
    <row r="54" spans="1:40" hidden="1">
      <c r="A54" s="51"/>
      <c r="B54" s="51"/>
      <c r="C54" s="51"/>
      <c r="D54" s="51"/>
      <c r="E54" s="51"/>
      <c r="G54" s="51"/>
      <c r="H54" s="51"/>
      <c r="I54" s="51"/>
      <c r="J54" s="51"/>
      <c r="K54" s="51"/>
      <c r="L54" s="51"/>
      <c r="M54" s="126" t="s">
        <v>167</v>
      </c>
      <c r="N54" s="127">
        <v>0.04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</row>
    <row r="55" spans="1:40" hidden="1">
      <c r="A55" s="51"/>
      <c r="B55" s="51"/>
      <c r="C55" s="51"/>
      <c r="D55" s="51"/>
      <c r="E55" s="51"/>
      <c r="G55" s="51"/>
      <c r="H55" s="51"/>
      <c r="I55" s="51"/>
      <c r="J55" s="51"/>
      <c r="K55" s="51"/>
      <c r="L55" s="51"/>
      <c r="M55" s="126" t="s">
        <v>168</v>
      </c>
      <c r="N55" s="127">
        <v>6.2E-2</v>
      </c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</row>
    <row r="56" spans="1:40" hidden="1">
      <c r="A56" s="51"/>
      <c r="D56" s="51"/>
      <c r="E56" s="51"/>
      <c r="G56" s="51"/>
      <c r="H56" s="51"/>
      <c r="I56" s="51"/>
      <c r="J56" s="51"/>
      <c r="K56" s="51"/>
      <c r="L56" s="51"/>
      <c r="M56" s="126" t="s">
        <v>169</v>
      </c>
      <c r="N56" s="127">
        <v>0.08</v>
      </c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</row>
    <row r="57" spans="1:40" hidden="1">
      <c r="A57" s="51"/>
      <c r="D57" s="51"/>
      <c r="E57" s="51"/>
      <c r="G57" s="51"/>
      <c r="H57" s="51"/>
      <c r="I57" s="51"/>
      <c r="J57" s="51"/>
      <c r="K57" s="51"/>
      <c r="L57" s="51"/>
      <c r="M57" s="126" t="s">
        <v>170</v>
      </c>
      <c r="N57" s="127">
        <v>4.3999999999999997E-2</v>
      </c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</row>
    <row r="58" spans="1:40" hidden="1">
      <c r="A58" s="51"/>
      <c r="D58" s="51"/>
      <c r="E58" s="51"/>
      <c r="G58" s="51"/>
      <c r="H58" s="51"/>
      <c r="I58" s="51"/>
      <c r="J58" s="51"/>
      <c r="K58" s="51"/>
      <c r="L58" s="51"/>
      <c r="M58" s="126" t="s">
        <v>172</v>
      </c>
      <c r="N58" s="127">
        <v>5.8999999999999997E-2</v>
      </c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</row>
    <row r="59" spans="1:40" hidden="1">
      <c r="A59" s="51"/>
      <c r="D59" s="51"/>
      <c r="E59" s="51"/>
      <c r="G59" s="51"/>
      <c r="H59" s="51"/>
      <c r="I59" s="51"/>
      <c r="J59" s="51"/>
      <c r="K59" s="51"/>
      <c r="L59" s="51"/>
      <c r="M59" s="126" t="s">
        <v>165</v>
      </c>
      <c r="N59" s="127">
        <v>2.1999999999999999E-2</v>
      </c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</row>
    <row r="60" spans="1:40" hidden="1">
      <c r="A60" s="51"/>
      <c r="D60" s="51"/>
      <c r="E60" s="51"/>
      <c r="G60" s="51"/>
      <c r="H60" s="51"/>
      <c r="I60" s="51"/>
      <c r="J60" s="51"/>
      <c r="K60" s="51"/>
      <c r="L60" s="51"/>
      <c r="M60" s="126" t="s">
        <v>173</v>
      </c>
      <c r="N60" s="127">
        <v>0.11</v>
      </c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</row>
    <row r="61" spans="1:40" hidden="1">
      <c r="A61" s="51"/>
      <c r="D61" s="51"/>
      <c r="E61" s="51"/>
      <c r="G61" s="51"/>
      <c r="H61" s="51"/>
      <c r="I61" s="51"/>
      <c r="J61" s="51"/>
      <c r="K61" s="51"/>
      <c r="L61" s="51"/>
      <c r="M61" s="126" t="s">
        <v>174</v>
      </c>
      <c r="N61" s="127">
        <v>3.5000000000000003E-2</v>
      </c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</row>
    <row r="62" spans="1:40" hidden="1">
      <c r="A62" s="51"/>
      <c r="D62" s="51"/>
      <c r="E62" s="51"/>
      <c r="G62" s="51"/>
      <c r="H62" s="51"/>
      <c r="I62" s="51"/>
      <c r="J62" s="51"/>
      <c r="K62" s="51"/>
      <c r="L62" s="51"/>
      <c r="M62" s="126" t="s">
        <v>175</v>
      </c>
      <c r="N62" s="127">
        <v>7.2999999999999995E-2</v>
      </c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</row>
    <row r="63" spans="1:40" hidden="1">
      <c r="A63" s="51"/>
      <c r="D63" s="51"/>
      <c r="E63" s="51"/>
      <c r="G63" s="51"/>
      <c r="H63" s="51"/>
      <c r="I63" s="51"/>
      <c r="J63" s="51"/>
      <c r="K63" s="51"/>
      <c r="L63" s="51"/>
      <c r="M63" s="126" t="s">
        <v>176</v>
      </c>
      <c r="N63" s="127">
        <v>5.8999999999999997E-2</v>
      </c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</row>
    <row r="64" spans="1:40" hidden="1">
      <c r="A64" s="51"/>
      <c r="D64" s="51"/>
      <c r="E64" s="51"/>
      <c r="G64" s="51"/>
      <c r="H64" s="51"/>
      <c r="I64" s="51"/>
      <c r="J64" s="51"/>
      <c r="K64" s="51"/>
      <c r="L64" s="51"/>
      <c r="M64" s="126" t="s">
        <v>177</v>
      </c>
      <c r="N64" s="127">
        <v>5.8999999999999997E-2</v>
      </c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</row>
    <row r="65" spans="1:40" hidden="1">
      <c r="A65" s="51"/>
      <c r="D65" s="51"/>
      <c r="E65" s="51"/>
      <c r="G65" s="51"/>
      <c r="H65" s="51"/>
      <c r="I65" s="51"/>
      <c r="J65" s="51"/>
      <c r="K65" s="51"/>
      <c r="L65" s="51"/>
      <c r="M65" s="126" t="s">
        <v>178</v>
      </c>
      <c r="N65" s="127">
        <v>2.8000000000000001E-2</v>
      </c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</row>
    <row r="66" spans="1:40" hidden="1">
      <c r="A66" s="51"/>
      <c r="D66" s="51"/>
      <c r="E66" s="51"/>
      <c r="G66" s="51"/>
      <c r="H66" s="51"/>
      <c r="I66" s="51"/>
      <c r="J66" s="51"/>
      <c r="K66" s="51"/>
      <c r="L66" s="51"/>
      <c r="M66" s="126" t="s">
        <v>179</v>
      </c>
      <c r="N66" s="127">
        <v>4.4999999999999998E-2</v>
      </c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</row>
    <row r="67" spans="1:40" hidden="1">
      <c r="A67" s="51"/>
      <c r="D67" s="51"/>
      <c r="E67" s="51"/>
      <c r="G67" s="51"/>
      <c r="H67" s="51"/>
      <c r="I67" s="51"/>
      <c r="J67" s="51"/>
      <c r="K67" s="51"/>
      <c r="L67" s="51"/>
      <c r="M67" s="126" t="s">
        <v>180</v>
      </c>
      <c r="N67" s="127">
        <v>7.3999999999999996E-2</v>
      </c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</row>
    <row r="68" spans="1:40" hidden="1">
      <c r="A68" s="51"/>
      <c r="D68" s="51"/>
      <c r="E68" s="51"/>
      <c r="G68" s="51"/>
      <c r="H68" s="51"/>
      <c r="I68" s="51"/>
      <c r="J68" s="51"/>
      <c r="K68" s="51"/>
      <c r="L68" s="51"/>
      <c r="M68" s="126" t="s">
        <v>171</v>
      </c>
      <c r="N68" s="127">
        <v>-1E-3</v>
      </c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</row>
    <row r="69" spans="1:40" hidden="1">
      <c r="A69" s="51"/>
      <c r="D69" s="51"/>
      <c r="E69" s="51"/>
      <c r="G69" s="51"/>
      <c r="H69" s="51"/>
      <c r="I69" s="51"/>
      <c r="J69" s="51"/>
      <c r="K69" s="51"/>
      <c r="L69" s="51"/>
      <c r="M69" s="126" t="s">
        <v>181</v>
      </c>
      <c r="N69" s="127">
        <v>0.03</v>
      </c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</row>
    <row r="70" spans="1:40" hidden="1">
      <c r="A70" s="51"/>
      <c r="D70" s="51"/>
      <c r="E70" s="51"/>
      <c r="G70" s="51"/>
      <c r="H70" s="51"/>
      <c r="I70" s="51"/>
      <c r="J70" s="51"/>
      <c r="K70" s="51"/>
      <c r="L70" s="51"/>
      <c r="M70" s="126" t="s">
        <v>182</v>
      </c>
      <c r="N70" s="127">
        <v>3.5999999999999997E-2</v>
      </c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</row>
    <row r="71" spans="1:40" hidden="1">
      <c r="A71" s="51"/>
      <c r="D71" s="51"/>
      <c r="E71" s="51"/>
      <c r="G71" s="51"/>
      <c r="H71" s="51"/>
      <c r="I71" s="51"/>
      <c r="J71" s="51"/>
      <c r="K71" s="51"/>
      <c r="L71" s="51"/>
      <c r="M71" s="126" t="s">
        <v>183</v>
      </c>
      <c r="N71" s="127">
        <v>6.0999999999999999E-2</v>
      </c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</row>
    <row r="72" spans="1:40" hidden="1">
      <c r="A72" s="51"/>
      <c r="D72" s="51"/>
      <c r="E72" s="51"/>
      <c r="G72" s="51"/>
      <c r="H72" s="51"/>
      <c r="I72" s="51"/>
      <c r="J72" s="51"/>
      <c r="K72" s="51"/>
      <c r="L72" s="51"/>
      <c r="M72" s="126" t="s">
        <v>184</v>
      </c>
      <c r="N72" s="127">
        <v>1.0999999999999999E-2</v>
      </c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</row>
    <row r="73" spans="1:40" hidden="1">
      <c r="A73" s="51"/>
      <c r="D73" s="51"/>
      <c r="E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</row>
    <row r="74" spans="1:40" hidden="1">
      <c r="A74" s="51"/>
      <c r="D74" s="51"/>
      <c r="E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</row>
    <row r="75" spans="1:40">
      <c r="A75" s="51"/>
      <c r="D75" s="51"/>
      <c r="E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</row>
    <row r="76" spans="1:40">
      <c r="A76" s="51"/>
      <c r="D76" s="51"/>
      <c r="E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</row>
    <row r="77" spans="1:40">
      <c r="A77" s="51"/>
      <c r="D77" s="51"/>
      <c r="E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</row>
    <row r="78" spans="1:40">
      <c r="A78" s="51"/>
      <c r="B78" s="51"/>
      <c r="C78" s="51"/>
      <c r="D78" s="51"/>
      <c r="E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</row>
    <row r="79" spans="1:40">
      <c r="A79" s="51"/>
      <c r="B79" s="51"/>
      <c r="C79" s="51"/>
      <c r="D79" s="51"/>
      <c r="E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</row>
    <row r="80" spans="1:40">
      <c r="A80" s="51"/>
      <c r="B80" s="51"/>
      <c r="C80" s="51"/>
      <c r="D80" s="51"/>
      <c r="E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</row>
    <row r="81" spans="1:40">
      <c r="A81" s="51"/>
      <c r="B81" s="51"/>
      <c r="C81" s="51"/>
      <c r="D81" s="51"/>
      <c r="E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</row>
    <row r="82" spans="1:40">
      <c r="A82" s="51"/>
      <c r="B82" s="51"/>
      <c r="C82" s="51"/>
      <c r="D82" s="51"/>
      <c r="E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</row>
    <row r="83" spans="1:40">
      <c r="A83" s="51"/>
      <c r="B83" s="51"/>
      <c r="C83" s="51"/>
      <c r="D83" s="51"/>
      <c r="E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</row>
    <row r="84" spans="1:40">
      <c r="A84" s="51"/>
      <c r="B84" s="51"/>
      <c r="C84" s="51"/>
      <c r="D84" s="51"/>
      <c r="E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</row>
    <row r="85" spans="1:40">
      <c r="A85" s="51"/>
      <c r="B85" s="51"/>
      <c r="C85" s="51"/>
      <c r="D85" s="51"/>
      <c r="E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</row>
    <row r="86" spans="1:40">
      <c r="A86" s="51"/>
      <c r="B86" s="51"/>
      <c r="C86" s="51"/>
      <c r="D86" s="51"/>
      <c r="E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</row>
    <row r="87" spans="1:40">
      <c r="A87" s="51"/>
      <c r="B87" s="51"/>
      <c r="C87" s="51"/>
      <c r="D87" s="51"/>
      <c r="E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</row>
    <row r="88" spans="1:40">
      <c r="A88" s="51"/>
      <c r="B88" s="51"/>
      <c r="C88" s="51"/>
      <c r="D88" s="51"/>
      <c r="E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</row>
    <row r="89" spans="1:40">
      <c r="A89" s="51"/>
      <c r="B89" s="51"/>
      <c r="C89" s="51"/>
      <c r="D89" s="51"/>
      <c r="E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</row>
    <row r="90" spans="1:40">
      <c r="A90" s="51"/>
      <c r="B90" s="51"/>
      <c r="C90" s="51"/>
      <c r="D90" s="51"/>
      <c r="E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</row>
    <row r="91" spans="1:40">
      <c r="A91" s="51"/>
      <c r="B91" s="51"/>
      <c r="C91" s="51"/>
      <c r="D91" s="51"/>
      <c r="E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</row>
    <row r="92" spans="1:40">
      <c r="A92" s="51"/>
      <c r="B92" s="51"/>
      <c r="C92" s="51"/>
      <c r="D92" s="51"/>
      <c r="E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</row>
    <row r="93" spans="1:40">
      <c r="A93" s="51"/>
      <c r="B93" s="51"/>
      <c r="C93" s="51"/>
      <c r="D93" s="51"/>
      <c r="E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</row>
    <row r="94" spans="1:40">
      <c r="A94" s="51"/>
      <c r="B94" s="51"/>
      <c r="C94" s="51"/>
      <c r="D94" s="51"/>
      <c r="E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</row>
    <row r="95" spans="1:40">
      <c r="A95" s="51"/>
      <c r="B95" s="51"/>
      <c r="C95" s="51"/>
      <c r="D95" s="51"/>
      <c r="E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</row>
    <row r="96" spans="1:40">
      <c r="A96" s="51"/>
      <c r="B96" s="51"/>
      <c r="C96" s="51"/>
      <c r="D96" s="51"/>
      <c r="E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</row>
    <row r="97" spans="1:40">
      <c r="A97" s="51"/>
      <c r="B97" s="51"/>
      <c r="C97" s="51"/>
      <c r="D97" s="51"/>
      <c r="E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</row>
    <row r="98" spans="1:40">
      <c r="A98" s="51"/>
      <c r="B98" s="51"/>
      <c r="C98" s="51"/>
      <c r="D98" s="51"/>
      <c r="E98" s="51"/>
      <c r="G98" s="51"/>
      <c r="H98" s="51"/>
      <c r="I98" s="51"/>
      <c r="J98" s="51"/>
      <c r="K98" s="51"/>
    </row>
  </sheetData>
  <mergeCells count="30">
    <mergeCell ref="C9:E9"/>
    <mergeCell ref="B3:E3"/>
    <mergeCell ref="G3:J3"/>
    <mergeCell ref="C4:E4"/>
    <mergeCell ref="H4:J4"/>
    <mergeCell ref="C5:E5"/>
    <mergeCell ref="H5:J5"/>
    <mergeCell ref="C6:E6"/>
    <mergeCell ref="H6:J6"/>
    <mergeCell ref="C7:E7"/>
    <mergeCell ref="H7:J7"/>
    <mergeCell ref="C8:E8"/>
    <mergeCell ref="H8:J8"/>
    <mergeCell ref="E24:F24"/>
    <mergeCell ref="B11:J11"/>
    <mergeCell ref="B12:J15"/>
    <mergeCell ref="B17:C17"/>
    <mergeCell ref="E17:G17"/>
    <mergeCell ref="I17:J17"/>
    <mergeCell ref="E18:F18"/>
    <mergeCell ref="E19:F19"/>
    <mergeCell ref="E20:F20"/>
    <mergeCell ref="E22:F22"/>
    <mergeCell ref="I22:J22"/>
    <mergeCell ref="E23:F23"/>
    <mergeCell ref="B36:J39"/>
    <mergeCell ref="E26:F26"/>
    <mergeCell ref="E27:F27"/>
    <mergeCell ref="E28:F28"/>
    <mergeCell ref="E29:F29"/>
  </mergeCells>
  <dataValidations count="2">
    <dataValidation type="list" allowBlank="1" showInputMessage="1" sqref="H5:J5">
      <formula1>#REF!</formula1>
    </dataValidation>
    <dataValidation type="list" allowBlank="1" showInputMessage="1" showErrorMessage="1" sqref="C9:E9">
      <formula1>$M$52:$M$72</formula1>
    </dataValidation>
  </dataValidations>
  <hyperlinks>
    <hyperlink ref="M54" r:id="rId1"/>
    <hyperlink ref="M53" r:id="rId2"/>
    <hyperlink ref="M52" r:id="rId3"/>
    <hyperlink ref="M55" r:id="rId4"/>
    <hyperlink ref="M57" r:id="rId5"/>
    <hyperlink ref="M56" r:id="rId6"/>
    <hyperlink ref="M58" r:id="rId7"/>
    <hyperlink ref="M59" r:id="rId8"/>
    <hyperlink ref="M60" r:id="rId9"/>
    <hyperlink ref="M61" r:id="rId10"/>
    <hyperlink ref="M62" r:id="rId11"/>
    <hyperlink ref="M63" r:id="rId12"/>
    <hyperlink ref="M64" r:id="rId13"/>
    <hyperlink ref="M65" r:id="rId14"/>
    <hyperlink ref="M66" r:id="rId15"/>
    <hyperlink ref="M67" r:id="rId16"/>
    <hyperlink ref="M68" r:id="rId17"/>
    <hyperlink ref="M69" r:id="rId18"/>
    <hyperlink ref="M70" r:id="rId19"/>
    <hyperlink ref="M71" r:id="rId20"/>
    <hyperlink ref="M72" r:id="rId21"/>
    <hyperlink ref="E17:G17" r:id="rId22" display="FINANCING COSTS"/>
  </hyperlinks>
  <pageMargins left="0.7" right="0.7" top="0.75" bottom="0.75" header="0.3" footer="0.3"/>
  <pageSetup orientation="portrait" r:id="rId23"/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4"/>
  <sheetViews>
    <sheetView showGridLines="0" zoomScale="70" zoomScaleNormal="70" workbookViewId="0">
      <pane ySplit="6" topLeftCell="A19" activePane="bottomLeft" state="frozen"/>
      <selection pane="bottomLeft" activeCell="A5" sqref="A5:XFD5"/>
    </sheetView>
  </sheetViews>
  <sheetFormatPr defaultRowHeight="14.25"/>
  <cols>
    <col min="1" max="1" width="38.140625" style="66" customWidth="1"/>
    <col min="2" max="2" width="23.140625" style="66" customWidth="1"/>
    <col min="3" max="3" width="25.7109375" style="66" customWidth="1"/>
    <col min="4" max="4" width="37.28515625" style="66" customWidth="1"/>
    <col min="5" max="5" width="26.42578125" style="66" customWidth="1"/>
    <col min="6" max="6" width="25.7109375" style="66" bestFit="1" customWidth="1"/>
    <col min="7" max="7" width="36.42578125" style="66" bestFit="1" customWidth="1"/>
    <col min="8" max="8" width="15.42578125" style="66" bestFit="1" customWidth="1"/>
    <col min="9" max="9" width="19.7109375" style="66" bestFit="1" customWidth="1"/>
    <col min="10" max="10" width="36.42578125" style="66" bestFit="1" customWidth="1"/>
    <col min="11" max="11" width="15.42578125" style="66" bestFit="1" customWidth="1"/>
    <col min="12" max="12" width="25.42578125" style="66" customWidth="1"/>
    <col min="13" max="16384" width="9.140625" style="66"/>
  </cols>
  <sheetData>
    <row r="1" spans="1:26" s="172" customFormat="1" ht="58.5" customHeight="1">
      <c r="A1" s="280" t="s">
        <v>197</v>
      </c>
      <c r="B1" s="280"/>
      <c r="C1" s="280"/>
      <c r="D1" s="280"/>
    </row>
    <row r="2" spans="1:26" s="172" customFormat="1" ht="23.25">
      <c r="A2" s="280"/>
      <c r="B2" s="280"/>
      <c r="C2" s="280"/>
      <c r="D2" s="280"/>
    </row>
    <row r="3" spans="1:26" s="172" customFormat="1" ht="23.25">
      <c r="A3" s="171"/>
    </row>
    <row r="4" spans="1:26" s="172" customFormat="1" ht="23.25">
      <c r="A4" s="181" t="s">
        <v>192</v>
      </c>
      <c r="B4" s="182" t="s">
        <v>103</v>
      </c>
      <c r="C4" s="183" t="s">
        <v>102</v>
      </c>
      <c r="D4" s="184" t="s">
        <v>51</v>
      </c>
      <c r="E4" s="185" t="s">
        <v>193</v>
      </c>
      <c r="F4" s="185" t="s">
        <v>104</v>
      </c>
      <c r="G4" s="186" t="s">
        <v>200</v>
      </c>
      <c r="H4" s="186" t="s">
        <v>105</v>
      </c>
      <c r="I4" s="186" t="s">
        <v>211</v>
      </c>
      <c r="J4" s="186" t="s">
        <v>212</v>
      </c>
    </row>
    <row r="5" spans="1:26" s="172" customFormat="1" ht="23.25">
      <c r="A5" s="164" t="str">
        <f>B11</f>
        <v>18 Berger Street, Moonachie</v>
      </c>
      <c r="B5" s="165">
        <f>D9</f>
        <v>350000</v>
      </c>
      <c r="C5" s="166">
        <f>D12</f>
        <v>2000</v>
      </c>
      <c r="D5" s="167">
        <f>F65</f>
        <v>6.4287274713271433E-2</v>
      </c>
      <c r="E5" s="168">
        <f>G85</f>
        <v>5506</v>
      </c>
      <c r="F5" s="169">
        <f>I99</f>
        <v>6.7678571428571435E-2</v>
      </c>
      <c r="G5" s="170">
        <f>G154</f>
        <v>4.5733485724930016</v>
      </c>
      <c r="H5" s="167">
        <f>G153</f>
        <v>0.21865816352040815</v>
      </c>
      <c r="I5" s="289">
        <f>'Deal Info'!C5</f>
        <v>8</v>
      </c>
      <c r="J5" s="289">
        <f>'Deal Info'!C6</f>
        <v>4</v>
      </c>
    </row>
    <row r="6" spans="1:26" ht="15" thickBot="1">
      <c r="A6" s="139"/>
      <c r="B6" s="139"/>
      <c r="C6" s="139"/>
      <c r="D6" s="139"/>
      <c r="E6" s="139"/>
      <c r="F6" s="139"/>
      <c r="G6" s="139"/>
      <c r="H6" s="139"/>
    </row>
    <row r="7" spans="1:26" ht="15" thickTop="1">
      <c r="A7" s="76"/>
      <c r="B7" s="76"/>
      <c r="C7" s="76"/>
      <c r="D7" s="76"/>
      <c r="E7" s="76"/>
      <c r="F7" s="77"/>
      <c r="G7" s="76"/>
      <c r="H7" s="76"/>
      <c r="I7" s="76"/>
      <c r="J7" s="77"/>
      <c r="K7" s="76"/>
      <c r="L7" s="76"/>
    </row>
    <row r="8" spans="1:26" s="68" customFormat="1">
      <c r="A8" s="153" t="s">
        <v>0</v>
      </c>
      <c r="B8" s="66"/>
      <c r="C8" s="66"/>
      <c r="D8" s="67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s="68" customFormat="1">
      <c r="A9" s="66"/>
      <c r="B9" s="67"/>
      <c r="C9" s="69" t="s">
        <v>1</v>
      </c>
      <c r="D9" s="129">
        <f>'Deal Info'!C18</f>
        <v>350000</v>
      </c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s="68" customFormat="1">
      <c r="A10" s="69" t="s">
        <v>2</v>
      </c>
      <c r="B10" s="70"/>
      <c r="C10" s="69" t="s">
        <v>3</v>
      </c>
      <c r="D10" s="71">
        <f>'Deal Info'!C8</f>
        <v>2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s="68" customFormat="1">
      <c r="A11" s="72" t="s">
        <v>4</v>
      </c>
      <c r="B11" s="256" t="str">
        <f>'Deal Info'!C4</f>
        <v>18 Berger Street, Moonachie</v>
      </c>
      <c r="C11" s="69" t="s">
        <v>5</v>
      </c>
      <c r="D11" s="73">
        <f>D9/D10</f>
        <v>175000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s="68" customFormat="1">
      <c r="A12" s="69"/>
      <c r="B12" s="257"/>
      <c r="C12" s="69" t="s">
        <v>6</v>
      </c>
      <c r="D12" s="74">
        <f>'Deal Info'!C7</f>
        <v>2000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s="68" customFormat="1">
      <c r="A13" s="69" t="s">
        <v>7</v>
      </c>
      <c r="B13" s="75"/>
      <c r="C13" s="69" t="s">
        <v>8</v>
      </c>
      <c r="D13" s="73">
        <f>D9/D12</f>
        <v>175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s="68" customFormat="1">
      <c r="A14" s="69" t="s">
        <v>9</v>
      </c>
      <c r="B14" s="75"/>
      <c r="C14" s="66"/>
      <c r="D14" s="67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s="68" customFormat="1" ht="15" thickBot="1">
      <c r="A15" s="66"/>
      <c r="B15" s="66"/>
      <c r="C15" s="66"/>
      <c r="D15" s="67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s="68" customFormat="1" ht="15" thickTop="1">
      <c r="A16" s="76"/>
      <c r="B16" s="76"/>
      <c r="C16" s="76"/>
      <c r="D16" s="76"/>
      <c r="E16" s="76"/>
      <c r="F16" s="77"/>
      <c r="G16" s="76"/>
      <c r="H16" s="76"/>
      <c r="I16" s="76"/>
      <c r="J16" s="77"/>
      <c r="K16" s="76"/>
      <c r="L16" s="7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s="68" customFormat="1">
      <c r="A17" s="153" t="s">
        <v>10</v>
      </c>
      <c r="B17" s="66"/>
      <c r="C17" s="66"/>
      <c r="D17" s="67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s="68" customFormat="1">
      <c r="A18" s="66"/>
      <c r="B18" s="66"/>
      <c r="C18" s="66"/>
      <c r="D18" s="67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s="68" customFormat="1">
      <c r="A19" s="154" t="s">
        <v>11</v>
      </c>
      <c r="B19" s="66"/>
      <c r="C19" s="66"/>
      <c r="D19" s="67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s="68" customFormat="1">
      <c r="A20" s="78" t="s">
        <v>12</v>
      </c>
      <c r="B20" s="78" t="s">
        <v>157</v>
      </c>
      <c r="C20" s="78" t="s">
        <v>13</v>
      </c>
      <c r="D20" s="78" t="s">
        <v>14</v>
      </c>
      <c r="E20" s="78" t="s">
        <v>15</v>
      </c>
      <c r="F20" s="78" t="s">
        <v>16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s="68" customFormat="1">
      <c r="A21" s="70">
        <f>'Deal Info'!C8</f>
        <v>2</v>
      </c>
      <c r="B21" s="70">
        <f>'Deal Info'!C5/'Deal Info'!C8</f>
        <v>4</v>
      </c>
      <c r="C21" s="79">
        <f>$D$12/$D$10</f>
        <v>1000</v>
      </c>
      <c r="D21" s="128">
        <f>'Deal Info'!C19</f>
        <v>1800</v>
      </c>
      <c r="E21" s="80">
        <f t="shared" ref="E21" si="0">D21*A21</f>
        <v>3600</v>
      </c>
      <c r="F21" s="80">
        <f t="shared" ref="F21" si="1">E21*12</f>
        <v>43200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s="68" customFormat="1">
      <c r="A22" s="70"/>
      <c r="B22" s="70"/>
      <c r="C22" s="79"/>
      <c r="D22" s="70"/>
      <c r="E22" s="80"/>
      <c r="F22" s="80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s="68" customFormat="1">
      <c r="A23" s="70"/>
      <c r="B23" s="70"/>
      <c r="C23" s="79"/>
      <c r="D23" s="70"/>
      <c r="E23" s="80"/>
      <c r="F23" s="80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s="68" customFormat="1">
      <c r="A24" s="70"/>
      <c r="B24" s="70"/>
      <c r="C24" s="79"/>
      <c r="D24" s="70"/>
      <c r="E24" s="80"/>
      <c r="F24" s="80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s="68" customFormat="1">
      <c r="A25" s="70"/>
      <c r="B25" s="70"/>
      <c r="C25" s="79"/>
      <c r="D25" s="70"/>
      <c r="E25" s="80"/>
      <c r="F25" s="80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s="68" customFormat="1">
      <c r="A26" s="66"/>
      <c r="B26" s="66"/>
      <c r="C26" s="66"/>
      <c r="D26" s="67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s="68" customFormat="1">
      <c r="A27" s="66"/>
      <c r="B27" s="66"/>
      <c r="C27" s="66"/>
      <c r="D27" s="67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s="68" customFormat="1" ht="15.75" customHeight="1">
      <c r="A28" s="66"/>
      <c r="B28" s="66"/>
      <c r="C28" s="155" t="s">
        <v>17</v>
      </c>
      <c r="D28" s="67"/>
      <c r="E28" s="80">
        <f>SUM(E21:E25)</f>
        <v>3600</v>
      </c>
      <c r="F28" s="80">
        <f>E28*12</f>
        <v>43200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s="68" customFormat="1" ht="15.75" customHeight="1">
      <c r="A29" s="66"/>
      <c r="B29" s="66"/>
      <c r="C29" s="155" t="s">
        <v>18</v>
      </c>
      <c r="D29" s="67"/>
      <c r="E29" s="82"/>
      <c r="F29" s="82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s="68" customFormat="1" ht="15.75" customHeight="1">
      <c r="A30" s="66"/>
      <c r="B30" s="66"/>
      <c r="C30" s="155" t="s">
        <v>19</v>
      </c>
      <c r="D30" s="83">
        <v>0.05</v>
      </c>
      <c r="E30" s="82">
        <f>E28*D30</f>
        <v>180</v>
      </c>
      <c r="F30" s="82">
        <f>F28*D30</f>
        <v>2160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s="68" customFormat="1" ht="15.75" customHeight="1">
      <c r="A31" s="66"/>
      <c r="B31" s="66"/>
      <c r="C31" s="155" t="s">
        <v>20</v>
      </c>
      <c r="D31" s="67"/>
      <c r="E31" s="82">
        <f t="shared" ref="E31:F31" si="2">SUM(E28:E29)-E30</f>
        <v>3420</v>
      </c>
      <c r="F31" s="82">
        <f t="shared" si="2"/>
        <v>41040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s="68" customFormat="1" ht="15.75" customHeight="1" thickBot="1">
      <c r="A32" s="66"/>
      <c r="B32" s="66"/>
      <c r="C32" s="66"/>
      <c r="D32" s="67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s="68" customFormat="1" ht="15.75" customHeight="1" thickTop="1">
      <c r="A33" s="76"/>
      <c r="B33" s="76"/>
      <c r="C33" s="76"/>
      <c r="D33" s="76"/>
      <c r="E33" s="76"/>
      <c r="F33" s="77"/>
      <c r="G33" s="76"/>
      <c r="H33" s="76"/>
      <c r="I33" s="76"/>
      <c r="J33" s="77"/>
      <c r="K33" s="76"/>
      <c r="L33" s="7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s="68" customFormat="1" ht="15.75" customHeight="1">
      <c r="A34" s="153" t="s">
        <v>21</v>
      </c>
      <c r="B34" s="66"/>
      <c r="C34" s="66"/>
      <c r="D34" s="67"/>
      <c r="E34" s="78" t="s">
        <v>15</v>
      </c>
      <c r="F34" s="78" t="s">
        <v>16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s="68" customFormat="1" ht="15.75" customHeight="1">
      <c r="A35" s="66"/>
      <c r="B35" s="66"/>
      <c r="C35" s="66"/>
      <c r="D35" s="69" t="s">
        <v>22</v>
      </c>
      <c r="E35" s="80">
        <f>'Deal Info'!C30</f>
        <v>20</v>
      </c>
      <c r="F35" s="80">
        <f t="shared" ref="F35:F55" si="3">E35*12</f>
        <v>240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s="68" customFormat="1" ht="15.75" customHeight="1">
      <c r="A36" s="66"/>
      <c r="B36" s="66"/>
      <c r="C36" s="66"/>
      <c r="D36" s="69" t="s">
        <v>23</v>
      </c>
      <c r="E36" s="80"/>
      <c r="F36" s="80">
        <f t="shared" si="3"/>
        <v>0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s="68" customFormat="1" ht="15.75" customHeight="1">
      <c r="A37" s="66"/>
      <c r="B37" s="66"/>
      <c r="C37" s="66"/>
      <c r="D37" s="69" t="s">
        <v>24</v>
      </c>
      <c r="E37" s="80"/>
      <c r="F37" s="80">
        <f t="shared" si="3"/>
        <v>0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s="68" customFormat="1" ht="15.75" customHeight="1">
      <c r="A38" s="66"/>
      <c r="B38" s="66"/>
      <c r="C38" s="66"/>
      <c r="D38" s="69" t="s">
        <v>25</v>
      </c>
      <c r="E38" s="80">
        <f>'Deal Info'!C25</f>
        <v>0</v>
      </c>
      <c r="F38" s="80">
        <f t="shared" si="3"/>
        <v>0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s="68" customFormat="1" ht="15.75" customHeight="1">
      <c r="A39" s="66"/>
      <c r="B39" s="66"/>
      <c r="C39" s="66"/>
      <c r="D39" s="69" t="s">
        <v>26</v>
      </c>
      <c r="E39" s="80">
        <f>'Deal Info'!C23</f>
        <v>0</v>
      </c>
      <c r="F39" s="80">
        <f t="shared" si="3"/>
        <v>0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s="68" customFormat="1" ht="15.75" customHeight="1">
      <c r="A40" s="66"/>
      <c r="B40" s="66"/>
      <c r="C40" s="66"/>
      <c r="D40" s="69" t="s">
        <v>27</v>
      </c>
      <c r="E40" s="80"/>
      <c r="F40" s="80">
        <f t="shared" si="3"/>
        <v>0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s="68" customFormat="1" ht="15.75" customHeight="1">
      <c r="A41" s="66"/>
      <c r="B41" s="66"/>
      <c r="C41" s="66"/>
      <c r="D41" s="69" t="s">
        <v>28</v>
      </c>
      <c r="E41" s="80">
        <v>100</v>
      </c>
      <c r="F41" s="80">
        <f>'Deal Info'!C21</f>
        <v>1000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s="68" customFormat="1" ht="15.75" customHeight="1">
      <c r="A42" s="66"/>
      <c r="B42" s="66"/>
      <c r="C42" s="66"/>
      <c r="D42" s="69" t="s">
        <v>29</v>
      </c>
      <c r="E42" s="80"/>
      <c r="F42" s="80">
        <f t="shared" si="3"/>
        <v>0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s="68" customFormat="1" ht="15.75" customHeight="1">
      <c r="A43" s="66"/>
      <c r="B43" s="66"/>
      <c r="C43" s="66"/>
      <c r="D43" s="69" t="s">
        <v>30</v>
      </c>
      <c r="E43" s="80"/>
      <c r="F43" s="80">
        <f t="shared" si="3"/>
        <v>0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s="68" customFormat="1" ht="15.75" customHeight="1">
      <c r="A44" s="66"/>
      <c r="B44" s="66"/>
      <c r="C44" s="66"/>
      <c r="D44" s="69" t="s">
        <v>31</v>
      </c>
      <c r="E44" s="80"/>
      <c r="F44" s="80">
        <f t="shared" si="3"/>
        <v>0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s="68" customFormat="1" ht="15.75" customHeight="1">
      <c r="A45" s="66"/>
      <c r="B45" s="66"/>
      <c r="C45" s="66"/>
      <c r="D45" s="69" t="s">
        <v>32</v>
      </c>
      <c r="E45" s="80">
        <f>'Deal Info'!C27</f>
        <v>200</v>
      </c>
      <c r="F45" s="80">
        <f t="shared" si="3"/>
        <v>2400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s="68" customFormat="1" ht="15.75" customHeight="1">
      <c r="A46" s="66"/>
      <c r="B46" s="66"/>
      <c r="C46" s="66"/>
      <c r="D46" s="69" t="s">
        <v>33</v>
      </c>
      <c r="E46" s="80">
        <f>'Deal Info'!C26</f>
        <v>360</v>
      </c>
      <c r="F46" s="80">
        <f t="shared" si="3"/>
        <v>4320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s="68" customFormat="1" ht="15.75" customHeight="1">
      <c r="A47" s="66"/>
      <c r="B47" s="66"/>
      <c r="C47" s="66"/>
      <c r="D47" s="69" t="s">
        <v>34</v>
      </c>
      <c r="E47" s="80"/>
      <c r="F47" s="80">
        <f t="shared" si="3"/>
        <v>0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s="68" customFormat="1" ht="15.75" customHeight="1">
      <c r="A48" s="66"/>
      <c r="B48" s="66"/>
      <c r="C48" s="66"/>
      <c r="D48" s="69" t="s">
        <v>35</v>
      </c>
      <c r="E48" s="80"/>
      <c r="F48" s="80">
        <f t="shared" si="3"/>
        <v>0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s="68" customFormat="1" ht="15.75" customHeight="1">
      <c r="A49" s="66"/>
      <c r="B49" s="66"/>
      <c r="C49" s="66"/>
      <c r="D49" s="69" t="s">
        <v>36</v>
      </c>
      <c r="E49" s="80"/>
      <c r="F49" s="80">
        <f t="shared" si="3"/>
        <v>0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s="68" customFormat="1" ht="15.75" customHeight="1">
      <c r="A50" s="66"/>
      <c r="B50" s="66"/>
      <c r="C50" s="66"/>
      <c r="D50" s="69" t="s">
        <v>37</v>
      </c>
      <c r="E50" s="80"/>
      <c r="F50" s="80">
        <f t="shared" si="3"/>
        <v>0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s="68" customFormat="1" ht="15.75" customHeight="1">
      <c r="A51" s="66"/>
      <c r="B51" s="66"/>
      <c r="C51" s="66"/>
      <c r="D51" s="69" t="s">
        <v>38</v>
      </c>
      <c r="E51" s="80"/>
      <c r="F51" s="80">
        <f t="shared" si="3"/>
        <v>0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s="68" customFormat="1" ht="15.75" customHeight="1">
      <c r="A52" s="66"/>
      <c r="B52" s="66"/>
      <c r="C52" s="66"/>
      <c r="D52" s="69" t="s">
        <v>39</v>
      </c>
      <c r="E52" s="80"/>
      <c r="F52" s="80">
        <f t="shared" si="3"/>
        <v>0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s="68" customFormat="1" ht="15.75" customHeight="1">
      <c r="A53" s="66"/>
      <c r="B53" s="66"/>
      <c r="C53" s="66"/>
      <c r="D53" s="69" t="s">
        <v>40</v>
      </c>
      <c r="E53" s="80"/>
      <c r="F53" s="80">
        <f t="shared" si="3"/>
        <v>0</v>
      </c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s="68" customFormat="1" ht="15.75" customHeight="1">
      <c r="A54" s="66"/>
      <c r="B54" s="66"/>
      <c r="C54" s="66"/>
      <c r="D54" s="69" t="s">
        <v>41</v>
      </c>
      <c r="E54" s="80">
        <f>E45/1.5</f>
        <v>133.33333333333334</v>
      </c>
      <c r="F54" s="80">
        <f t="shared" si="3"/>
        <v>1600</v>
      </c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s="68" customFormat="1" ht="15.75" customHeight="1">
      <c r="A55" s="66"/>
      <c r="B55" s="66"/>
      <c r="C55" s="66"/>
      <c r="D55" s="69" t="s">
        <v>42</v>
      </c>
      <c r="E55" s="80"/>
      <c r="F55" s="80">
        <f t="shared" si="3"/>
        <v>0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s="68" customFormat="1" ht="15.75" customHeight="1">
      <c r="A56" s="66"/>
      <c r="B56" s="66"/>
      <c r="C56" s="66"/>
      <c r="D56" s="69" t="s">
        <v>43</v>
      </c>
      <c r="E56" s="80">
        <f>F56/12</f>
        <v>511.5</v>
      </c>
      <c r="F56" s="130">
        <f>'Deal Info'!C20</f>
        <v>6138</v>
      </c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s="68" customFormat="1" ht="15.75" customHeight="1">
      <c r="A57" s="66"/>
      <c r="B57" s="66"/>
      <c r="C57" s="66"/>
      <c r="D57" s="69" t="s">
        <v>44</v>
      </c>
      <c r="E57" s="80">
        <v>50</v>
      </c>
      <c r="F57" s="80">
        <f t="shared" ref="F57:F59" si="4">E57*12</f>
        <v>600</v>
      </c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s="68" customFormat="1" ht="15.75" customHeight="1">
      <c r="A58" s="66"/>
      <c r="B58" s="66"/>
      <c r="C58" s="66"/>
      <c r="D58" s="69" t="s">
        <v>45</v>
      </c>
      <c r="E58" s="80"/>
      <c r="F58" s="80">
        <f t="shared" si="4"/>
        <v>0</v>
      </c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s="68" customFormat="1" ht="15.75" customHeight="1">
      <c r="A59" s="66"/>
      <c r="B59" s="66"/>
      <c r="C59" s="66"/>
      <c r="D59" s="69" t="s">
        <v>46</v>
      </c>
      <c r="E59" s="80">
        <f>'Deal Info'!C24</f>
        <v>100</v>
      </c>
      <c r="F59" s="80">
        <f t="shared" si="4"/>
        <v>1200</v>
      </c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s="68" customFormat="1" ht="15.75" customHeight="1">
      <c r="A60" s="66"/>
      <c r="B60" s="66"/>
      <c r="C60" s="66"/>
      <c r="D60" s="67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s="68" customFormat="1" ht="15.75" customHeight="1">
      <c r="A61" s="66"/>
      <c r="B61" s="66"/>
      <c r="C61" s="66"/>
      <c r="D61" s="155" t="s">
        <v>47</v>
      </c>
      <c r="E61" s="80">
        <f t="shared" ref="E61:F61" si="5">SUM(E35:E59)</f>
        <v>1474.8333333333335</v>
      </c>
      <c r="F61" s="80">
        <f t="shared" si="5"/>
        <v>17498</v>
      </c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s="68" customFormat="1" ht="15.75" customHeight="1">
      <c r="A62" s="66"/>
      <c r="B62" s="66"/>
      <c r="C62" s="66"/>
      <c r="D62" s="155" t="s">
        <v>48</v>
      </c>
      <c r="E62" s="85">
        <f t="shared" ref="E62:F62" si="6">E61/E31</f>
        <v>0.43123781676413259</v>
      </c>
      <c r="F62" s="85">
        <f t="shared" si="6"/>
        <v>0.426364522417154</v>
      </c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s="68" customFormat="1" ht="15.75" customHeight="1">
      <c r="A63" s="66"/>
      <c r="B63" s="66"/>
      <c r="C63" s="66"/>
      <c r="D63" s="155" t="s">
        <v>49</v>
      </c>
      <c r="E63" s="80">
        <f t="shared" ref="E63:F63" si="7">E31-E61</f>
        <v>1945.1666666666665</v>
      </c>
      <c r="F63" s="80">
        <f t="shared" si="7"/>
        <v>23542</v>
      </c>
      <c r="G63" s="8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s="68" customFormat="1" ht="15.75" customHeight="1" thickBot="1">
      <c r="A64" s="66"/>
      <c r="B64" s="66"/>
      <c r="C64" s="87" t="s">
        <v>50</v>
      </c>
      <c r="D64" s="155"/>
      <c r="E64" s="86"/>
      <c r="F64" s="8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s="68" customFormat="1" ht="48" customHeight="1" thickBot="1">
      <c r="A65" s="66"/>
      <c r="B65" s="66"/>
      <c r="C65" s="66"/>
      <c r="D65" s="247" t="s">
        <v>51</v>
      </c>
      <c r="E65" s="248"/>
      <c r="F65" s="156">
        <f>F63/(D9+B138+B139+B140+B141)</f>
        <v>6.4287274713271433E-2</v>
      </c>
      <c r="G65" s="88"/>
      <c r="H65" s="89"/>
      <c r="I65" s="90"/>
      <c r="J65" s="88"/>
      <c r="K65" s="89"/>
      <c r="L65" s="90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s="68" customFormat="1" ht="15.75" customHeight="1" thickTop="1" thickBot="1">
      <c r="A66" s="76"/>
      <c r="B66" s="76"/>
      <c r="C66" s="76"/>
      <c r="D66" s="91"/>
      <c r="E66" s="92"/>
      <c r="F66" s="92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s="68" customFormat="1" ht="15.75" customHeight="1" thickBot="1">
      <c r="A67" s="153" t="s">
        <v>52</v>
      </c>
      <c r="B67" s="66"/>
      <c r="C67" s="93"/>
      <c r="D67" s="258" t="s">
        <v>99</v>
      </c>
      <c r="E67" s="259"/>
      <c r="F67" s="260"/>
      <c r="G67" s="261" t="s">
        <v>100</v>
      </c>
      <c r="H67" s="262"/>
      <c r="I67" s="263"/>
      <c r="J67" s="261" t="s">
        <v>101</v>
      </c>
      <c r="K67" s="262"/>
      <c r="L67" s="263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s="68" customFormat="1" ht="15.75" customHeight="1">
      <c r="A68" s="66"/>
      <c r="B68" s="66"/>
      <c r="C68" s="92"/>
      <c r="D68" s="94" t="s">
        <v>53</v>
      </c>
      <c r="E68" s="80">
        <f>D9</f>
        <v>350000</v>
      </c>
      <c r="F68" s="95"/>
      <c r="G68" s="94" t="s">
        <v>53</v>
      </c>
      <c r="H68" s="80">
        <f>E68</f>
        <v>350000</v>
      </c>
      <c r="I68" s="95"/>
      <c r="J68" s="94" t="s">
        <v>53</v>
      </c>
      <c r="K68" s="80">
        <f>E68</f>
        <v>350000</v>
      </c>
      <c r="L68" s="95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s="68" customFormat="1" ht="15.75" customHeight="1">
      <c r="A69" s="66"/>
      <c r="B69" s="66"/>
      <c r="C69" s="92"/>
      <c r="D69" s="94" t="s">
        <v>54</v>
      </c>
      <c r="E69" s="85">
        <v>3.5000000000000003E-2</v>
      </c>
      <c r="F69" s="96">
        <f>E68*E69</f>
        <v>12250.000000000002</v>
      </c>
      <c r="G69" s="94" t="s">
        <v>54</v>
      </c>
      <c r="H69" s="85">
        <v>0.2</v>
      </c>
      <c r="I69" s="96">
        <f>H68*H69</f>
        <v>70000</v>
      </c>
      <c r="J69" s="94" t="s">
        <v>54</v>
      </c>
      <c r="K69" s="85">
        <v>0.25</v>
      </c>
      <c r="L69" s="96">
        <f>K68*K69</f>
        <v>87500</v>
      </c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s="68" customFormat="1" ht="15.75" customHeight="1">
      <c r="A70" s="66"/>
      <c r="B70" s="66"/>
      <c r="C70" s="92"/>
      <c r="D70" s="94"/>
      <c r="E70" s="92"/>
      <c r="F70" s="95"/>
      <c r="G70" s="94"/>
      <c r="H70" s="92"/>
      <c r="I70" s="95"/>
      <c r="J70" s="94"/>
      <c r="K70" s="92"/>
      <c r="L70" s="95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s="68" customFormat="1" ht="15.75" customHeight="1">
      <c r="A71" s="66"/>
      <c r="B71" s="66"/>
      <c r="C71" s="92"/>
      <c r="D71" s="94" t="s">
        <v>55</v>
      </c>
      <c r="E71" s="84">
        <f>E68-F69</f>
        <v>337750</v>
      </c>
      <c r="F71" s="95"/>
      <c r="G71" s="94" t="s">
        <v>55</v>
      </c>
      <c r="H71" s="84">
        <f>H68-I69</f>
        <v>280000</v>
      </c>
      <c r="I71" s="95"/>
      <c r="J71" s="94" t="s">
        <v>55</v>
      </c>
      <c r="K71" s="84">
        <f>K68-L69</f>
        <v>262500</v>
      </c>
      <c r="L71" s="95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s="68" customFormat="1" ht="15.75" customHeight="1">
      <c r="A72" s="66"/>
      <c r="B72" s="66"/>
      <c r="C72" s="92"/>
      <c r="D72" s="94" t="s">
        <v>56</v>
      </c>
      <c r="E72" s="97">
        <v>0.05</v>
      </c>
      <c r="F72" s="95"/>
      <c r="G72" s="94" t="s">
        <v>56</v>
      </c>
      <c r="H72" s="97">
        <v>0.05</v>
      </c>
      <c r="I72" s="95"/>
      <c r="J72" s="94" t="s">
        <v>56</v>
      </c>
      <c r="K72" s="97">
        <v>0.05</v>
      </c>
      <c r="L72" s="95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s="68" customFormat="1" ht="15.75" customHeight="1">
      <c r="A73" s="66"/>
      <c r="B73" s="66"/>
      <c r="C73" s="92"/>
      <c r="D73" s="94" t="s">
        <v>57</v>
      </c>
      <c r="E73" s="98">
        <v>30</v>
      </c>
      <c r="F73" s="95"/>
      <c r="G73" s="94" t="s">
        <v>57</v>
      </c>
      <c r="H73" s="98">
        <v>30</v>
      </c>
      <c r="I73" s="95"/>
      <c r="J73" s="94" t="s">
        <v>57</v>
      </c>
      <c r="K73" s="98">
        <v>30</v>
      </c>
      <c r="L73" s="95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s="68" customFormat="1" ht="15.75" customHeight="1">
      <c r="A74" s="66"/>
      <c r="B74" s="66"/>
      <c r="C74" s="92"/>
      <c r="D74" s="94"/>
      <c r="E74" s="92"/>
      <c r="F74" s="95"/>
      <c r="G74" s="94"/>
      <c r="H74" s="92"/>
      <c r="I74" s="95"/>
      <c r="J74" s="94"/>
      <c r="K74" s="92"/>
      <c r="L74" s="95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s="68" customFormat="1" ht="15.75" customHeight="1">
      <c r="A75" s="66"/>
      <c r="B75" s="66"/>
      <c r="C75" s="92"/>
      <c r="D75" s="100" t="s">
        <v>58</v>
      </c>
      <c r="E75" s="92"/>
      <c r="F75" s="95"/>
      <c r="G75" s="99" t="s">
        <v>58</v>
      </c>
      <c r="H75" s="92"/>
      <c r="I75" s="95"/>
      <c r="J75" s="99" t="s">
        <v>58</v>
      </c>
      <c r="K75" s="92"/>
      <c r="L75" s="95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s="68" customFormat="1" ht="15.75" customHeight="1">
      <c r="A76" s="66"/>
      <c r="B76" s="66"/>
      <c r="C76" s="92"/>
      <c r="D76" s="100" t="s">
        <v>59</v>
      </c>
      <c r="E76" s="85">
        <v>0.01</v>
      </c>
      <c r="F76" s="96">
        <f>E76*E71</f>
        <v>3377.5</v>
      </c>
      <c r="G76" s="100" t="s">
        <v>59</v>
      </c>
      <c r="H76" s="85">
        <v>0.01</v>
      </c>
      <c r="I76" s="96">
        <f>H76*H71</f>
        <v>2800</v>
      </c>
      <c r="J76" s="100" t="s">
        <v>59</v>
      </c>
      <c r="K76" s="85">
        <v>0.01</v>
      </c>
      <c r="L76" s="96">
        <f>K76*K71</f>
        <v>2625</v>
      </c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s="68" customFormat="1" ht="15.75" customHeight="1">
      <c r="A77" s="66"/>
      <c r="B77" s="66"/>
      <c r="C77" s="92"/>
      <c r="D77" s="100" t="s">
        <v>60</v>
      </c>
      <c r="E77" s="85">
        <v>0</v>
      </c>
      <c r="F77" s="96">
        <f>E77*E71</f>
        <v>0</v>
      </c>
      <c r="G77" s="100" t="s">
        <v>60</v>
      </c>
      <c r="H77" s="85">
        <v>0</v>
      </c>
      <c r="I77" s="96">
        <f>H77*H71</f>
        <v>0</v>
      </c>
      <c r="J77" s="100" t="s">
        <v>60</v>
      </c>
      <c r="K77" s="85">
        <v>0</v>
      </c>
      <c r="L77" s="96">
        <f>K77*K71</f>
        <v>0</v>
      </c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s="68" customFormat="1" ht="15.75" customHeight="1">
      <c r="A78" s="66"/>
      <c r="B78" s="66"/>
      <c r="C78" s="92"/>
      <c r="D78" s="100" t="s">
        <v>61</v>
      </c>
      <c r="E78" s="85">
        <v>0.02</v>
      </c>
      <c r="F78" s="96">
        <f>E78*E71</f>
        <v>6755</v>
      </c>
      <c r="G78" s="100" t="s">
        <v>61</v>
      </c>
      <c r="H78" s="85">
        <v>0.02</v>
      </c>
      <c r="I78" s="96">
        <f>H78*H71</f>
        <v>5600</v>
      </c>
      <c r="J78" s="100" t="s">
        <v>61</v>
      </c>
      <c r="K78" s="85">
        <v>0.02</v>
      </c>
      <c r="L78" s="96">
        <f>K78*K71</f>
        <v>5250</v>
      </c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s="68" customFormat="1" ht="15.75" customHeight="1">
      <c r="A79" s="66"/>
      <c r="B79" s="66"/>
      <c r="C79" s="92"/>
      <c r="D79" s="100" t="s">
        <v>62</v>
      </c>
      <c r="E79" s="92"/>
      <c r="F79" s="133">
        <f>SUM(F69+F76+F77+F78)</f>
        <v>22382.5</v>
      </c>
      <c r="G79" s="99" t="s">
        <v>62</v>
      </c>
      <c r="H79" s="92"/>
      <c r="I79" s="133">
        <f>SUM(I69+I76+I77+I78)</f>
        <v>78400</v>
      </c>
      <c r="J79" s="99" t="s">
        <v>62</v>
      </c>
      <c r="K79" s="92"/>
      <c r="L79" s="133">
        <f>SUM(L69+L76+L77+L78)</f>
        <v>95375</v>
      </c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s="68" customFormat="1" ht="15.75" customHeight="1">
      <c r="A80" s="66"/>
      <c r="B80" s="66"/>
      <c r="C80" s="92"/>
      <c r="D80" s="94"/>
      <c r="E80" s="92"/>
      <c r="F80" s="95"/>
      <c r="G80" s="94"/>
      <c r="H80" s="92"/>
      <c r="I80" s="95"/>
      <c r="J80" s="94"/>
      <c r="K80" s="92"/>
      <c r="L80" s="95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s="68" customFormat="1" ht="15.75" customHeight="1">
      <c r="A81" s="66"/>
      <c r="B81" s="66"/>
      <c r="C81" s="92"/>
      <c r="D81" s="100" t="s">
        <v>63</v>
      </c>
      <c r="E81" s="92"/>
      <c r="F81" s="95"/>
      <c r="G81" s="99" t="s">
        <v>63</v>
      </c>
      <c r="H81" s="92"/>
      <c r="I81" s="95"/>
      <c r="J81" s="99" t="s">
        <v>63</v>
      </c>
      <c r="K81" s="92"/>
      <c r="L81" s="95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s="68" customFormat="1" ht="15.75" customHeight="1">
      <c r="A82" s="66"/>
      <c r="B82" s="66"/>
      <c r="C82" s="92"/>
      <c r="D82" s="94" t="s">
        <v>64</v>
      </c>
      <c r="E82" s="130">
        <f>'Deal Info'!G20</f>
        <v>1813</v>
      </c>
      <c r="F82" s="101">
        <f>E82*12</f>
        <v>21756</v>
      </c>
      <c r="G82" s="94" t="s">
        <v>64</v>
      </c>
      <c r="H82" s="130">
        <f>'Deal Info'!G24</f>
        <v>1503</v>
      </c>
      <c r="I82" s="101">
        <f>H82*12</f>
        <v>18036</v>
      </c>
      <c r="J82" s="94" t="s">
        <v>64</v>
      </c>
      <c r="K82" s="130">
        <f>'Deal Info'!G28</f>
        <v>1409</v>
      </c>
      <c r="L82" s="101">
        <f>K82*12</f>
        <v>16908</v>
      </c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s="68" customFormat="1" ht="15.75" customHeight="1" thickBot="1">
      <c r="A83" s="66"/>
      <c r="B83" s="66"/>
      <c r="C83" s="92"/>
      <c r="D83" s="100" t="s">
        <v>65</v>
      </c>
      <c r="E83" s="102">
        <f>E82+E41+E56</f>
        <v>2424.5</v>
      </c>
      <c r="F83" s="101">
        <f>E83*12</f>
        <v>29094</v>
      </c>
      <c r="G83" s="100" t="s">
        <v>65</v>
      </c>
      <c r="H83" s="102">
        <f>H82+E41+E56</f>
        <v>2114.5</v>
      </c>
      <c r="I83" s="101">
        <f>H83*12</f>
        <v>25374</v>
      </c>
      <c r="J83" s="100" t="s">
        <v>65</v>
      </c>
      <c r="K83" s="102">
        <f>K82+E41+E56</f>
        <v>2020.5</v>
      </c>
      <c r="L83" s="101">
        <f>K83*12</f>
        <v>24246</v>
      </c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s="68" customFormat="1" ht="30.75" customHeight="1" thickBot="1">
      <c r="A84" s="66"/>
      <c r="B84" s="66"/>
      <c r="C84" s="92"/>
      <c r="D84" s="264" t="s">
        <v>154</v>
      </c>
      <c r="E84" s="265"/>
      <c r="F84" s="266"/>
      <c r="G84" s="267" t="s">
        <v>155</v>
      </c>
      <c r="H84" s="268"/>
      <c r="I84" s="269"/>
      <c r="J84" s="267" t="s">
        <v>156</v>
      </c>
      <c r="K84" s="268"/>
      <c r="L84" s="269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s="68" customFormat="1" ht="75.75" customHeight="1" thickBot="1">
      <c r="A85" s="66"/>
      <c r="B85" s="66"/>
      <c r="C85" s="103"/>
      <c r="D85" s="241">
        <f>$F$63-F82</f>
        <v>1786</v>
      </c>
      <c r="E85" s="242"/>
      <c r="F85" s="243"/>
      <c r="G85" s="244">
        <f>$F$63-I82</f>
        <v>5506</v>
      </c>
      <c r="H85" s="245"/>
      <c r="I85" s="246"/>
      <c r="J85" s="244">
        <f>$F$63-L82</f>
        <v>6634</v>
      </c>
      <c r="K85" s="245"/>
      <c r="L85" s="24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s="68" customFormat="1" ht="15.75" customHeight="1" thickTop="1" thickBot="1">
      <c r="A86" s="76"/>
      <c r="B86" s="76"/>
      <c r="C86" s="92"/>
      <c r="D86" s="91"/>
      <c r="E86" s="92"/>
      <c r="F86" s="92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s="68" customFormat="1" ht="15.75" customHeight="1" thickTop="1">
      <c r="A87" s="76"/>
      <c r="B87" s="76"/>
      <c r="C87" s="104"/>
      <c r="D87" s="105"/>
      <c r="E87" s="104"/>
      <c r="F87" s="104"/>
      <c r="G87" s="105"/>
      <c r="H87" s="104"/>
      <c r="I87" s="104"/>
      <c r="J87" s="105"/>
      <c r="K87" s="104"/>
      <c r="L87" s="104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s="68" customFormat="1" ht="15.75" customHeight="1">
      <c r="A88" s="255" t="s">
        <v>66</v>
      </c>
      <c r="B88" s="255"/>
      <c r="C88" s="255"/>
      <c r="D88" s="67"/>
      <c r="E88" s="66"/>
      <c r="F88" s="66"/>
      <c r="G88" s="67"/>
      <c r="H88" s="66"/>
      <c r="I88" s="66"/>
      <c r="J88" s="67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s="68" customFormat="1">
      <c r="A89" s="255"/>
      <c r="B89" s="255"/>
      <c r="C89" s="255"/>
      <c r="D89" s="69" t="s">
        <v>67</v>
      </c>
      <c r="E89" s="80">
        <f>F79</f>
        <v>22382.5</v>
      </c>
      <c r="F89" s="66"/>
      <c r="G89" s="69" t="s">
        <v>67</v>
      </c>
      <c r="H89" s="80">
        <f>I79</f>
        <v>78400</v>
      </c>
      <c r="I89" s="66"/>
      <c r="J89" s="69" t="s">
        <v>67</v>
      </c>
      <c r="K89" s="80">
        <f>L79</f>
        <v>95375</v>
      </c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s="68" customFormat="1" ht="15.75" customHeight="1">
      <c r="A90" s="66"/>
      <c r="B90" s="66"/>
      <c r="C90" s="66"/>
      <c r="D90" s="69"/>
      <c r="E90" s="157" t="s">
        <v>15</v>
      </c>
      <c r="F90" s="157" t="s">
        <v>68</v>
      </c>
      <c r="G90" s="69"/>
      <c r="H90" s="106" t="s">
        <v>15</v>
      </c>
      <c r="I90" s="106" t="s">
        <v>68</v>
      </c>
      <c r="J90" s="69"/>
      <c r="K90" s="106" t="s">
        <v>15</v>
      </c>
      <c r="L90" s="106" t="s">
        <v>68</v>
      </c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s="68" customFormat="1" ht="15.75" customHeight="1">
      <c r="A91" s="66"/>
      <c r="B91" s="66"/>
      <c r="C91" s="66"/>
      <c r="D91" s="69" t="s">
        <v>20</v>
      </c>
      <c r="E91" s="80">
        <f>$E$31</f>
        <v>3420</v>
      </c>
      <c r="F91" s="80">
        <f>E91*12</f>
        <v>41040</v>
      </c>
      <c r="G91" s="69" t="s">
        <v>20</v>
      </c>
      <c r="H91" s="80">
        <f>$E$31</f>
        <v>3420</v>
      </c>
      <c r="I91" s="80">
        <f>H91*12</f>
        <v>41040</v>
      </c>
      <c r="J91" s="69" t="s">
        <v>20</v>
      </c>
      <c r="K91" s="80">
        <f>$E$31</f>
        <v>3420</v>
      </c>
      <c r="L91" s="80">
        <f>K91*12</f>
        <v>41040</v>
      </c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s="68" customFormat="1" ht="15.75" customHeight="1">
      <c r="A92" s="66"/>
      <c r="B92" s="66"/>
      <c r="C92" s="66"/>
      <c r="D92" s="69" t="s">
        <v>69</v>
      </c>
      <c r="E92" s="82">
        <f>$E$61</f>
        <v>1474.8333333333335</v>
      </c>
      <c r="F92" s="82">
        <f>E92*12</f>
        <v>17698</v>
      </c>
      <c r="G92" s="69" t="s">
        <v>69</v>
      </c>
      <c r="H92" s="82">
        <f>$E$61</f>
        <v>1474.8333333333335</v>
      </c>
      <c r="I92" s="82">
        <f>H92*12</f>
        <v>17698</v>
      </c>
      <c r="J92" s="69" t="s">
        <v>69</v>
      </c>
      <c r="K92" s="82">
        <f>$E$61</f>
        <v>1474.8333333333335</v>
      </c>
      <c r="L92" s="82">
        <f>K92*12</f>
        <v>17698</v>
      </c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s="68" customFormat="1" ht="15.75" customHeight="1">
      <c r="A93" s="66"/>
      <c r="B93" s="66"/>
      <c r="C93" s="66"/>
      <c r="D93" s="69" t="s">
        <v>70</v>
      </c>
      <c r="E93" s="82">
        <f>$E$63</f>
        <v>1945.1666666666665</v>
      </c>
      <c r="F93" s="82">
        <f>E93*12</f>
        <v>23342</v>
      </c>
      <c r="G93" s="69" t="s">
        <v>70</v>
      </c>
      <c r="H93" s="82">
        <f>$E$63</f>
        <v>1945.1666666666665</v>
      </c>
      <c r="I93" s="82">
        <f>H93*12</f>
        <v>23342</v>
      </c>
      <c r="J93" s="69" t="s">
        <v>70</v>
      </c>
      <c r="K93" s="82">
        <f>$E$63</f>
        <v>1945.1666666666665</v>
      </c>
      <c r="L93" s="82">
        <f>K93*12</f>
        <v>23342</v>
      </c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s="68" customFormat="1" ht="15.75" customHeight="1">
      <c r="A94" s="66"/>
      <c r="B94" s="66"/>
      <c r="C94" s="66"/>
      <c r="D94" s="69"/>
      <c r="E94" s="66"/>
      <c r="F94" s="66"/>
      <c r="G94" s="69"/>
      <c r="H94" s="66"/>
      <c r="I94" s="66"/>
      <c r="J94" s="69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s="68" customFormat="1" ht="15.75" customHeight="1">
      <c r="A95" s="66"/>
      <c r="B95" s="66"/>
      <c r="C95" s="66"/>
      <c r="D95" s="69" t="s">
        <v>71</v>
      </c>
      <c r="E95" s="80">
        <f>E82</f>
        <v>1813</v>
      </c>
      <c r="F95" s="80">
        <f>E95*12</f>
        <v>21756</v>
      </c>
      <c r="G95" s="69" t="s">
        <v>71</v>
      </c>
      <c r="H95" s="80">
        <f>H82</f>
        <v>1503</v>
      </c>
      <c r="I95" s="80">
        <f>H95*12</f>
        <v>18036</v>
      </c>
      <c r="J95" s="69" t="s">
        <v>71</v>
      </c>
      <c r="K95" s="80">
        <f>K82</f>
        <v>1409</v>
      </c>
      <c r="L95" s="80">
        <f>K95*12</f>
        <v>16908</v>
      </c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s="68" customFormat="1" ht="15.75" customHeight="1">
      <c r="A96" s="66"/>
      <c r="B96" s="66"/>
      <c r="C96" s="66"/>
      <c r="D96" s="107" t="s">
        <v>72</v>
      </c>
      <c r="E96" s="66"/>
      <c r="F96" s="66"/>
      <c r="G96" s="107" t="s">
        <v>72</v>
      </c>
      <c r="H96" s="66"/>
      <c r="I96" s="66"/>
      <c r="J96" s="107" t="s">
        <v>72</v>
      </c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s="68" customFormat="1" ht="15.75" customHeight="1">
      <c r="A97" s="66"/>
      <c r="B97" s="66"/>
      <c r="C97" s="66"/>
      <c r="D97" s="69"/>
      <c r="E97" s="66"/>
      <c r="F97" s="66"/>
      <c r="G97" s="69"/>
      <c r="H97" s="66"/>
      <c r="I97" s="66"/>
      <c r="J97" s="69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s="68" customFormat="1" ht="15.75" customHeight="1" thickBot="1">
      <c r="A98" s="66"/>
      <c r="B98" s="66"/>
      <c r="C98" s="66"/>
      <c r="D98" s="155" t="s">
        <v>73</v>
      </c>
      <c r="E98" s="102">
        <f t="shared" ref="E98" si="8">E91-E92-E95</f>
        <v>132.16666666666652</v>
      </c>
      <c r="F98" s="102">
        <f>F91-F92-F95</f>
        <v>1586</v>
      </c>
      <c r="G98" s="81" t="s">
        <v>73</v>
      </c>
      <c r="H98" s="102">
        <f t="shared" ref="H98:I98" si="9">H91-H92-H95</f>
        <v>442.16666666666652</v>
      </c>
      <c r="I98" s="102">
        <f t="shared" si="9"/>
        <v>5306</v>
      </c>
      <c r="J98" s="81" t="s">
        <v>73</v>
      </c>
      <c r="K98" s="102">
        <f t="shared" ref="K98:L98" si="10">K91-K92-K95</f>
        <v>536.16666666666652</v>
      </c>
      <c r="L98" s="102">
        <f t="shared" si="10"/>
        <v>6434</v>
      </c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s="68" customFormat="1" ht="28.5" thickBot="1">
      <c r="A99" s="66"/>
      <c r="B99" s="66"/>
      <c r="C99" s="66"/>
      <c r="D99" s="249" t="s">
        <v>188</v>
      </c>
      <c r="E99" s="250"/>
      <c r="F99" s="111">
        <f>F98/E89</f>
        <v>7.0858929967608619E-2</v>
      </c>
      <c r="G99" s="252" t="s">
        <v>188</v>
      </c>
      <c r="H99" s="253"/>
      <c r="I99" s="111">
        <f>I98/H89</f>
        <v>6.7678571428571435E-2</v>
      </c>
      <c r="J99" s="252" t="s">
        <v>188</v>
      </c>
      <c r="K99" s="253"/>
      <c r="L99" s="111">
        <f>L98/K89</f>
        <v>6.7460026212319793E-2</v>
      </c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s="68" customFormat="1" ht="15.75" customHeight="1" thickBot="1">
      <c r="A100" s="66"/>
      <c r="B100" s="66"/>
      <c r="C100" s="66"/>
      <c r="D100" s="67"/>
      <c r="E100" s="66"/>
      <c r="F100" s="66"/>
      <c r="G100" s="67"/>
      <c r="H100" s="66"/>
      <c r="I100" s="66"/>
      <c r="J100" s="67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s="68" customFormat="1" ht="15.75" customHeight="1" thickTop="1">
      <c r="A101" s="76"/>
      <c r="B101" s="76"/>
      <c r="C101" s="76"/>
      <c r="D101" s="77"/>
      <c r="E101" s="76"/>
      <c r="F101" s="76"/>
      <c r="G101" s="77"/>
      <c r="H101" s="76"/>
      <c r="I101" s="76"/>
      <c r="J101" s="77"/>
      <c r="K101" s="76"/>
      <c r="L101" s="7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s="68" customFormat="1" ht="15.75" customHeight="1">
      <c r="A102" s="255" t="s">
        <v>74</v>
      </c>
      <c r="B102" s="255"/>
      <c r="C102" s="255"/>
      <c r="D102" s="67"/>
      <c r="E102" s="66"/>
      <c r="F102" s="66"/>
      <c r="G102" s="67"/>
      <c r="H102" s="66"/>
      <c r="I102" s="66"/>
      <c r="J102" s="67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s="68" customFormat="1">
      <c r="A103" s="255"/>
      <c r="B103" s="255"/>
      <c r="C103" s="255"/>
      <c r="D103" s="69" t="s">
        <v>67</v>
      </c>
      <c r="E103" s="80">
        <f>F69</f>
        <v>12250.000000000002</v>
      </c>
      <c r="F103" s="66"/>
      <c r="G103" s="69" t="s">
        <v>67</v>
      </c>
      <c r="H103" s="80">
        <f>I69</f>
        <v>70000</v>
      </c>
      <c r="I103" s="66"/>
      <c r="J103" s="69" t="s">
        <v>67</v>
      </c>
      <c r="K103" s="80">
        <f>L69</f>
        <v>87500</v>
      </c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s="68" customFormat="1" ht="15.75" customHeight="1">
      <c r="A104" s="66"/>
      <c r="B104" s="66"/>
      <c r="C104" s="66"/>
      <c r="D104" s="69"/>
      <c r="E104" s="157" t="s">
        <v>15</v>
      </c>
      <c r="F104" s="157" t="s">
        <v>68</v>
      </c>
      <c r="G104" s="69"/>
      <c r="H104" s="106" t="s">
        <v>15</v>
      </c>
      <c r="I104" s="106" t="s">
        <v>68</v>
      </c>
      <c r="J104" s="69"/>
      <c r="K104" s="106" t="s">
        <v>15</v>
      </c>
      <c r="L104" s="106" t="s">
        <v>68</v>
      </c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s="68" customFormat="1" ht="15.75" customHeight="1">
      <c r="A105" s="66"/>
      <c r="B105" s="66"/>
      <c r="C105" s="66"/>
      <c r="D105" s="69" t="s">
        <v>20</v>
      </c>
      <c r="E105" s="80">
        <f>$E$31</f>
        <v>3420</v>
      </c>
      <c r="F105" s="80">
        <f t="shared" ref="F105" si="11">F31</f>
        <v>41040</v>
      </c>
      <c r="G105" s="69" t="s">
        <v>20</v>
      </c>
      <c r="H105" s="80">
        <f>$E$31</f>
        <v>3420</v>
      </c>
      <c r="I105" s="80">
        <f>H105*12</f>
        <v>41040</v>
      </c>
      <c r="J105" s="69" t="s">
        <v>20</v>
      </c>
      <c r="K105" s="80">
        <f>$E$31</f>
        <v>3420</v>
      </c>
      <c r="L105" s="80">
        <f>K105*12</f>
        <v>41040</v>
      </c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s="68" customFormat="1" ht="15.75" customHeight="1">
      <c r="A106" s="66"/>
      <c r="B106" s="66"/>
      <c r="C106" s="66"/>
      <c r="D106" s="69" t="s">
        <v>69</v>
      </c>
      <c r="E106" s="82">
        <f>$E$61</f>
        <v>1474.8333333333335</v>
      </c>
      <c r="F106" s="82">
        <f t="shared" ref="F106" si="12">F61</f>
        <v>17498</v>
      </c>
      <c r="G106" s="69" t="s">
        <v>69</v>
      </c>
      <c r="H106" s="82">
        <f>$E$61</f>
        <v>1474.8333333333335</v>
      </c>
      <c r="I106" s="82">
        <f>H106*12</f>
        <v>17698</v>
      </c>
      <c r="J106" s="69" t="s">
        <v>69</v>
      </c>
      <c r="K106" s="82">
        <f>$E$61</f>
        <v>1474.8333333333335</v>
      </c>
      <c r="L106" s="82">
        <f>K106*12</f>
        <v>17698</v>
      </c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s="68" customFormat="1" ht="15.75" customHeight="1">
      <c r="A107" s="66"/>
      <c r="B107" s="66"/>
      <c r="C107" s="66"/>
      <c r="D107" s="69" t="s">
        <v>70</v>
      </c>
      <c r="E107" s="82">
        <f>$E$63</f>
        <v>1945.1666666666665</v>
      </c>
      <c r="F107" s="82">
        <f t="shared" ref="F107" si="13">F63</f>
        <v>23542</v>
      </c>
      <c r="G107" s="69" t="s">
        <v>70</v>
      </c>
      <c r="H107" s="82">
        <f>$E$63</f>
        <v>1945.1666666666665</v>
      </c>
      <c r="I107" s="82">
        <f>H107*12</f>
        <v>23342</v>
      </c>
      <c r="J107" s="69" t="s">
        <v>70</v>
      </c>
      <c r="K107" s="82">
        <f>$E$63</f>
        <v>1945.1666666666665</v>
      </c>
      <c r="L107" s="82">
        <f>K107*12</f>
        <v>23342</v>
      </c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s="68" customFormat="1" ht="15.75" customHeight="1">
      <c r="A108" s="66"/>
      <c r="B108" s="66"/>
      <c r="C108" s="66"/>
      <c r="D108" s="69"/>
      <c r="E108" s="66"/>
      <c r="F108" s="66"/>
      <c r="G108" s="69"/>
      <c r="H108" s="66"/>
      <c r="I108" s="66"/>
      <c r="J108" s="69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s="68" customFormat="1" ht="15.75" customHeight="1">
      <c r="A109" s="66"/>
      <c r="B109" s="66"/>
      <c r="C109" s="66"/>
      <c r="D109" s="69" t="s">
        <v>71</v>
      </c>
      <c r="E109" s="80">
        <f>E95</f>
        <v>1813</v>
      </c>
      <c r="F109" s="80">
        <f>E109*12</f>
        <v>21756</v>
      </c>
      <c r="G109" s="69" t="s">
        <v>71</v>
      </c>
      <c r="H109" s="80">
        <f>H95</f>
        <v>1503</v>
      </c>
      <c r="I109" s="80">
        <f>H109*12</f>
        <v>18036</v>
      </c>
      <c r="J109" s="69" t="s">
        <v>71</v>
      </c>
      <c r="K109" s="80">
        <f>K95</f>
        <v>1409</v>
      </c>
      <c r="L109" s="80">
        <f>K109*12</f>
        <v>16908</v>
      </c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s="68" customFormat="1" ht="15.75" customHeight="1">
      <c r="A110" s="66"/>
      <c r="B110" s="66"/>
      <c r="C110" s="66"/>
      <c r="D110" s="107" t="s">
        <v>72</v>
      </c>
      <c r="E110" s="66"/>
      <c r="F110" s="66"/>
      <c r="G110" s="107" t="s">
        <v>72</v>
      </c>
      <c r="H110" s="66"/>
      <c r="I110" s="66"/>
      <c r="J110" s="107" t="s">
        <v>72</v>
      </c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s="68" customFormat="1" ht="15.75" customHeight="1">
      <c r="A111" s="66"/>
      <c r="B111" s="66"/>
      <c r="C111" s="66"/>
      <c r="D111" s="69"/>
      <c r="E111" s="66"/>
      <c r="F111" s="66"/>
      <c r="G111" s="69"/>
      <c r="H111" s="66"/>
      <c r="I111" s="66"/>
      <c r="J111" s="69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s="68" customFormat="1" ht="15.75" customHeight="1" thickBot="1">
      <c r="A112" s="66"/>
      <c r="B112" s="66"/>
      <c r="C112" s="66"/>
      <c r="D112" s="155" t="s">
        <v>73</v>
      </c>
      <c r="E112" s="102">
        <f t="shared" ref="E112:F112" si="14">E105-E106-E109</f>
        <v>132.16666666666652</v>
      </c>
      <c r="F112" s="102">
        <f t="shared" si="14"/>
        <v>1786</v>
      </c>
      <c r="G112" s="81" t="s">
        <v>73</v>
      </c>
      <c r="H112" s="102">
        <f t="shared" ref="H112:I112" si="15">H105-H106-H109</f>
        <v>442.16666666666652</v>
      </c>
      <c r="I112" s="102">
        <f t="shared" si="15"/>
        <v>5306</v>
      </c>
      <c r="J112" s="81" t="s">
        <v>73</v>
      </c>
      <c r="K112" s="102">
        <f t="shared" ref="K112:L112" si="16">K105-K106-K109</f>
        <v>536.16666666666652</v>
      </c>
      <c r="L112" s="102">
        <f t="shared" si="16"/>
        <v>6434</v>
      </c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s="68" customFormat="1" ht="28.5" thickBot="1">
      <c r="A113" s="66"/>
      <c r="B113" s="66"/>
      <c r="C113" s="66"/>
      <c r="D113" s="249" t="s">
        <v>188</v>
      </c>
      <c r="E113" s="250"/>
      <c r="F113" s="111">
        <f>F112/E103</f>
        <v>0.14579591836734693</v>
      </c>
      <c r="G113" s="252" t="s">
        <v>188</v>
      </c>
      <c r="H113" s="253"/>
      <c r="I113" s="111">
        <f>I112/H103</f>
        <v>7.5800000000000006E-2</v>
      </c>
      <c r="J113" s="252" t="s">
        <v>188</v>
      </c>
      <c r="K113" s="253"/>
      <c r="L113" s="111">
        <f>L112/K103</f>
        <v>7.3531428571428567E-2</v>
      </c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s="68" customFormat="1" ht="15.75" customHeight="1" thickBot="1">
      <c r="A114" s="66"/>
      <c r="B114" s="66"/>
      <c r="C114" s="66"/>
      <c r="D114" s="67"/>
      <c r="E114" s="66"/>
      <c r="F114" s="66"/>
      <c r="G114" s="67"/>
      <c r="H114" s="66"/>
      <c r="I114" s="66"/>
      <c r="J114" s="67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s="68" customFormat="1" ht="15.75" customHeight="1" thickTop="1">
      <c r="A115" s="76"/>
      <c r="B115" s="76"/>
      <c r="C115" s="76"/>
      <c r="D115" s="77"/>
      <c r="E115" s="76"/>
      <c r="F115" s="76"/>
      <c r="G115" s="119"/>
      <c r="H115" s="120"/>
      <c r="I115" s="120"/>
      <c r="J115" s="119"/>
      <c r="K115" s="120"/>
      <c r="L115" s="120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s="68" customFormat="1" ht="15.75" customHeight="1">
      <c r="A116" s="255" t="s">
        <v>75</v>
      </c>
      <c r="B116" s="255"/>
      <c r="C116" s="255"/>
      <c r="D116" s="67"/>
      <c r="E116" s="66"/>
      <c r="F116" s="66"/>
      <c r="G116" s="113"/>
      <c r="H116" s="93"/>
      <c r="I116" s="93"/>
      <c r="J116" s="113"/>
      <c r="K116" s="93"/>
      <c r="L116" s="93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s="68" customFormat="1">
      <c r="A117" s="255"/>
      <c r="B117" s="255"/>
      <c r="C117" s="255"/>
      <c r="D117" s="69" t="s">
        <v>67</v>
      </c>
      <c r="E117" s="80">
        <f>$D$9</f>
        <v>350000</v>
      </c>
      <c r="F117" s="66"/>
      <c r="G117" s="114"/>
      <c r="H117" s="115"/>
      <c r="I117" s="93"/>
      <c r="J117" s="114"/>
      <c r="K117" s="115"/>
      <c r="L117" s="93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s="68" customFormat="1" ht="15.75" customHeight="1">
      <c r="A118" s="66"/>
      <c r="B118" s="66"/>
      <c r="C118" s="66"/>
      <c r="D118" s="69"/>
      <c r="E118" s="157" t="s">
        <v>15</v>
      </c>
      <c r="F118" s="157" t="s">
        <v>68</v>
      </c>
      <c r="G118" s="114"/>
      <c r="H118" s="116"/>
      <c r="I118" s="116"/>
      <c r="J118" s="114"/>
      <c r="K118" s="116"/>
      <c r="L118" s="11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s="68" customFormat="1" ht="15.75" customHeight="1">
      <c r="A119" s="66"/>
      <c r="B119" s="66"/>
      <c r="C119" s="66"/>
      <c r="D119" s="69" t="s">
        <v>20</v>
      </c>
      <c r="E119" s="80">
        <f>$E$31</f>
        <v>3420</v>
      </c>
      <c r="F119" s="80">
        <f>E119*12</f>
        <v>41040</v>
      </c>
      <c r="G119" s="114"/>
      <c r="H119" s="115"/>
      <c r="I119" s="115"/>
      <c r="J119" s="114"/>
      <c r="K119" s="115"/>
      <c r="L119" s="115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s="68" customFormat="1" ht="15.75" customHeight="1">
      <c r="A120" s="66"/>
      <c r="B120" s="66"/>
      <c r="C120" s="66"/>
      <c r="D120" s="69" t="s">
        <v>69</v>
      </c>
      <c r="E120" s="82">
        <f>$E$61</f>
        <v>1474.8333333333335</v>
      </c>
      <c r="F120" s="82">
        <f t="shared" ref="F120" si="17">F61</f>
        <v>17498</v>
      </c>
      <c r="G120" s="114"/>
      <c r="H120" s="115"/>
      <c r="I120" s="115"/>
      <c r="J120" s="114"/>
      <c r="K120" s="115"/>
      <c r="L120" s="115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s="68" customFormat="1" ht="15.75" customHeight="1">
      <c r="A121" s="66"/>
      <c r="B121" s="66"/>
      <c r="C121" s="66"/>
      <c r="D121" s="69" t="s">
        <v>70</v>
      </c>
      <c r="E121" s="82">
        <f>$E$63</f>
        <v>1945.1666666666665</v>
      </c>
      <c r="F121" s="82">
        <f t="shared" ref="F121" si="18">F63</f>
        <v>23542</v>
      </c>
      <c r="G121" s="114"/>
      <c r="H121" s="115"/>
      <c r="I121" s="115"/>
      <c r="J121" s="114"/>
      <c r="K121" s="115"/>
      <c r="L121" s="115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s="68" customFormat="1" ht="15.75" customHeight="1">
      <c r="A122" s="66"/>
      <c r="B122" s="66"/>
      <c r="C122" s="66"/>
      <c r="D122" s="69"/>
      <c r="E122" s="66"/>
      <c r="F122" s="66"/>
      <c r="G122" s="114"/>
      <c r="H122" s="93"/>
      <c r="I122" s="93"/>
      <c r="J122" s="114"/>
      <c r="K122" s="93"/>
      <c r="L122" s="93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s="68" customFormat="1" ht="15.75" customHeight="1">
      <c r="A123" s="66"/>
      <c r="B123" s="66"/>
      <c r="C123" s="66"/>
      <c r="D123" s="69"/>
      <c r="E123" s="80"/>
      <c r="F123" s="80"/>
      <c r="G123" s="114"/>
      <c r="H123" s="115"/>
      <c r="I123" s="115"/>
      <c r="J123" s="114"/>
      <c r="K123" s="115"/>
      <c r="L123" s="115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s="68" customFormat="1" ht="15.75" customHeight="1">
      <c r="A124" s="66"/>
      <c r="B124" s="66"/>
      <c r="C124" s="66"/>
      <c r="D124" s="107" t="s">
        <v>72</v>
      </c>
      <c r="E124" s="66"/>
      <c r="F124" s="66"/>
      <c r="G124" s="117"/>
      <c r="H124" s="93"/>
      <c r="I124" s="93"/>
      <c r="J124" s="117"/>
      <c r="K124" s="93"/>
      <c r="L124" s="93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s="68" customFormat="1" ht="15.75" customHeight="1">
      <c r="A125" s="66"/>
      <c r="B125" s="66"/>
      <c r="C125" s="66"/>
      <c r="D125" s="69"/>
      <c r="E125" s="66"/>
      <c r="F125" s="66"/>
      <c r="G125" s="114"/>
      <c r="H125" s="93"/>
      <c r="I125" s="93"/>
      <c r="J125" s="114"/>
      <c r="K125" s="93"/>
      <c r="L125" s="93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s="68" customFormat="1" ht="15.75" customHeight="1" thickBot="1">
      <c r="A126" s="66"/>
      <c r="B126" s="66"/>
      <c r="C126" s="66"/>
      <c r="D126" s="155" t="s">
        <v>73</v>
      </c>
      <c r="E126" s="102">
        <f t="shared" ref="E126:F126" si="19">E119-E120-E123</f>
        <v>1945.1666666666665</v>
      </c>
      <c r="F126" s="102">
        <f t="shared" si="19"/>
        <v>23542</v>
      </c>
      <c r="G126" s="118"/>
      <c r="H126" s="115"/>
      <c r="I126" s="115"/>
      <c r="J126" s="118"/>
      <c r="K126" s="115"/>
      <c r="L126" s="115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s="68" customFormat="1" ht="28.5" thickBot="1">
      <c r="A127" s="66"/>
      <c r="B127" s="66"/>
      <c r="C127" s="66"/>
      <c r="D127" s="249" t="s">
        <v>188</v>
      </c>
      <c r="E127" s="250"/>
      <c r="F127" s="111">
        <f>F126/E117</f>
        <v>6.7262857142857138E-2</v>
      </c>
      <c r="G127" s="254"/>
      <c r="H127" s="254"/>
      <c r="I127" s="112"/>
      <c r="J127" s="254"/>
      <c r="K127" s="254"/>
      <c r="L127" s="112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s="68" customFormat="1" ht="15.75" customHeight="1">
      <c r="A128" s="66"/>
      <c r="B128" s="66"/>
      <c r="C128" s="66"/>
      <c r="D128" s="67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s="68" customFormat="1" ht="15.75" customHeight="1" thickBot="1">
      <c r="B129" s="66"/>
      <c r="C129" s="66"/>
      <c r="D129" s="67"/>
      <c r="E129" s="108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s="78" customFormat="1" ht="18.75" thickBot="1">
      <c r="A130" s="158" t="s">
        <v>76</v>
      </c>
      <c r="B130" s="159" t="s">
        <v>77</v>
      </c>
      <c r="C130" s="159" t="s">
        <v>78</v>
      </c>
      <c r="D130" s="159" t="s">
        <v>79</v>
      </c>
      <c r="E130" s="159" t="s">
        <v>80</v>
      </c>
      <c r="F130" s="159" t="s">
        <v>81</v>
      </c>
      <c r="G130" s="151" t="s">
        <v>82</v>
      </c>
      <c r="H130" s="151" t="s">
        <v>83</v>
      </c>
      <c r="I130" s="151" t="s">
        <v>84</v>
      </c>
      <c r="J130" s="151" t="s">
        <v>85</v>
      </c>
      <c r="K130" s="151" t="s">
        <v>86</v>
      </c>
      <c r="L130" s="152" t="s">
        <v>87</v>
      </c>
    </row>
    <row r="131" spans="1:26" s="68" customFormat="1" ht="15.75" customHeight="1">
      <c r="A131" s="141" t="s">
        <v>189</v>
      </c>
      <c r="B131" s="142">
        <f>D9+B138</f>
        <v>360000</v>
      </c>
      <c r="C131" s="142">
        <f>B131*(1+VLOOKUP('Deal Info'!$C$9,'Deal Info'!$M$51:$N$72,2,FALSE))</f>
        <v>371520</v>
      </c>
      <c r="D131" s="142">
        <f>C131*(1+VLOOKUP('Deal Info'!$C$9,'Deal Info'!$M$51:$N$72,2,FALSE))</f>
        <v>383408.64000000001</v>
      </c>
      <c r="E131" s="142">
        <f>D131*(1+VLOOKUP('Deal Info'!$C$9,'Deal Info'!$M$51:$N$72,2,FALSE))</f>
        <v>395677.71648</v>
      </c>
      <c r="F131" s="142">
        <f>E131*(1+VLOOKUP('Deal Info'!$C$9,'Deal Info'!$M$51:$N$72,2,FALSE))</f>
        <v>408339.40340736002</v>
      </c>
      <c r="G131" s="142">
        <f>F131*(1+VLOOKUP('Deal Info'!$C$9,'Deal Info'!$M$51:$N$72,2,FALSE))</f>
        <v>421406.26431639557</v>
      </c>
      <c r="H131" s="142">
        <f>G131*(1+VLOOKUP('Deal Info'!$C$9,'Deal Info'!$M$51:$N$72,2,FALSE))</f>
        <v>434891.26477452024</v>
      </c>
      <c r="I131" s="142">
        <f>H131*(1+VLOOKUP('Deal Info'!$C$9,'Deal Info'!$M$51:$N$72,2,FALSE))</f>
        <v>448807.78524730488</v>
      </c>
      <c r="J131" s="142">
        <f>I131*(1+VLOOKUP('Deal Info'!$C$9,'Deal Info'!$M$51:$N$72,2,FALSE))</f>
        <v>463169.63437521865</v>
      </c>
      <c r="K131" s="142">
        <f>J131*(1+VLOOKUP('Deal Info'!$C$9,'Deal Info'!$M$51:$N$72,2,FALSE))</f>
        <v>477991.06267522566</v>
      </c>
      <c r="L131" s="143">
        <f>K131-B131</f>
        <v>117991.06267522566</v>
      </c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spans="1:26" s="68" customFormat="1" ht="15.75" customHeight="1">
      <c r="A132" s="144" t="s">
        <v>88</v>
      </c>
      <c r="B132" s="142">
        <f>B131-B131</f>
        <v>0</v>
      </c>
      <c r="C132" s="142">
        <f>C131-$B$131</f>
        <v>11520</v>
      </c>
      <c r="D132" s="142">
        <f>D131-C131</f>
        <v>11888.640000000014</v>
      </c>
      <c r="E132" s="142">
        <f t="shared" ref="E132:K132" si="20">E131-D131</f>
        <v>12269.076479999989</v>
      </c>
      <c r="F132" s="142">
        <f t="shared" si="20"/>
        <v>12661.686927360017</v>
      </c>
      <c r="G132" s="142">
        <f>G131-F131</f>
        <v>13066.860909035546</v>
      </c>
      <c r="H132" s="142">
        <f t="shared" si="20"/>
        <v>13485.000458124676</v>
      </c>
      <c r="I132" s="142">
        <f t="shared" si="20"/>
        <v>13916.520472784643</v>
      </c>
      <c r="J132" s="142">
        <f t="shared" si="20"/>
        <v>14361.849127913767</v>
      </c>
      <c r="K132" s="142">
        <f t="shared" si="20"/>
        <v>14821.428300007014</v>
      </c>
      <c r="L132" s="143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s="68" customFormat="1" ht="15.75" customHeight="1">
      <c r="A133" s="141" t="s">
        <v>89</v>
      </c>
      <c r="B133" s="142">
        <f>F31</f>
        <v>41040</v>
      </c>
      <c r="C133" s="142">
        <f t="shared" ref="C133:K133" si="21">B133*1.022</f>
        <v>41942.879999999997</v>
      </c>
      <c r="D133" s="142">
        <f t="shared" si="21"/>
        <v>42865.623359999998</v>
      </c>
      <c r="E133" s="142">
        <f t="shared" si="21"/>
        <v>43808.667073919998</v>
      </c>
      <c r="F133" s="142">
        <f t="shared" si="21"/>
        <v>44772.457749546236</v>
      </c>
      <c r="G133" s="142">
        <f t="shared" si="21"/>
        <v>45757.451820036251</v>
      </c>
      <c r="H133" s="142">
        <f t="shared" si="21"/>
        <v>46764.115760077046</v>
      </c>
      <c r="I133" s="142">
        <f t="shared" si="21"/>
        <v>47792.926306798741</v>
      </c>
      <c r="J133" s="142">
        <f t="shared" si="21"/>
        <v>48844.370685548318</v>
      </c>
      <c r="K133" s="142">
        <f t="shared" si="21"/>
        <v>49918.946840630379</v>
      </c>
      <c r="L133" s="143">
        <f t="shared" ref="L133" si="22">SUM(B133:K133)</f>
        <v>453507.43959655694</v>
      </c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s="68" customFormat="1" ht="15.75" customHeight="1">
      <c r="A134" s="141" t="s">
        <v>90</v>
      </c>
      <c r="B134" s="142">
        <f>F56</f>
        <v>6138</v>
      </c>
      <c r="C134" s="142">
        <f t="shared" ref="C134:K134" si="23">B134*1.03</f>
        <v>6322.14</v>
      </c>
      <c r="D134" s="142">
        <f t="shared" si="23"/>
        <v>6511.8042000000005</v>
      </c>
      <c r="E134" s="142">
        <f t="shared" si="23"/>
        <v>6707.1583260000007</v>
      </c>
      <c r="F134" s="142">
        <f t="shared" si="23"/>
        <v>6908.3730757800013</v>
      </c>
      <c r="G134" s="142">
        <f t="shared" si="23"/>
        <v>7115.6242680534015</v>
      </c>
      <c r="H134" s="142">
        <f t="shared" si="23"/>
        <v>7329.0929960950034</v>
      </c>
      <c r="I134" s="142">
        <f t="shared" si="23"/>
        <v>7548.9657859778536</v>
      </c>
      <c r="J134" s="142">
        <f t="shared" si="23"/>
        <v>7775.434759557189</v>
      </c>
      <c r="K134" s="142">
        <f t="shared" si="23"/>
        <v>8008.6978023439051</v>
      </c>
      <c r="L134" s="143">
        <f>SUM(B134:K134)</f>
        <v>70365.291213807344</v>
      </c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s="68" customFormat="1" ht="15.75" customHeight="1">
      <c r="A135" s="141" t="s">
        <v>91</v>
      </c>
      <c r="B135" s="142">
        <f>F45+F54</f>
        <v>4000</v>
      </c>
      <c r="C135" s="142">
        <f t="shared" ref="C135:K135" si="24">B135*1.1</f>
        <v>4400</v>
      </c>
      <c r="D135" s="142">
        <f t="shared" si="24"/>
        <v>4840</v>
      </c>
      <c r="E135" s="142">
        <f t="shared" si="24"/>
        <v>5324</v>
      </c>
      <c r="F135" s="142">
        <f t="shared" si="24"/>
        <v>5856.4000000000005</v>
      </c>
      <c r="G135" s="142">
        <f t="shared" si="24"/>
        <v>6442.0400000000009</v>
      </c>
      <c r="H135" s="142">
        <f t="shared" si="24"/>
        <v>7086.2440000000015</v>
      </c>
      <c r="I135" s="142">
        <f t="shared" si="24"/>
        <v>7794.8684000000021</v>
      </c>
      <c r="J135" s="142">
        <f t="shared" si="24"/>
        <v>8574.3552400000026</v>
      </c>
      <c r="K135" s="142">
        <f t="shared" si="24"/>
        <v>9431.790764000003</v>
      </c>
      <c r="L135" s="143">
        <f>SUM(B135:K135)</f>
        <v>63749.69840400001</v>
      </c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s="68" customFormat="1" ht="15.75" customHeight="1">
      <c r="A136" s="141" t="s">
        <v>92</v>
      </c>
      <c r="B136" s="142">
        <f>F61-B135-B134</f>
        <v>7360</v>
      </c>
      <c r="C136" s="142">
        <f t="shared" ref="C136:K136" si="25">B136*1.02</f>
        <v>7507.2</v>
      </c>
      <c r="D136" s="142">
        <f t="shared" si="25"/>
        <v>7657.3440000000001</v>
      </c>
      <c r="E136" s="142">
        <f t="shared" si="25"/>
        <v>7810.4908800000003</v>
      </c>
      <c r="F136" s="142">
        <f t="shared" si="25"/>
        <v>7966.7006976000002</v>
      </c>
      <c r="G136" s="142">
        <f t="shared" si="25"/>
        <v>8126.0347115520008</v>
      </c>
      <c r="H136" s="142">
        <f t="shared" si="25"/>
        <v>8288.5554057830414</v>
      </c>
      <c r="I136" s="142">
        <f t="shared" si="25"/>
        <v>8454.3265138987026</v>
      </c>
      <c r="J136" s="142">
        <f t="shared" si="25"/>
        <v>8623.4130441766774</v>
      </c>
      <c r="K136" s="142">
        <f t="shared" si="25"/>
        <v>8795.8813050602112</v>
      </c>
      <c r="L136" s="143">
        <f>SUM(B136:K136)</f>
        <v>80589.946558070631</v>
      </c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s="68" customFormat="1" ht="15.75" customHeight="1">
      <c r="A137" s="141" t="s">
        <v>93</v>
      </c>
      <c r="B137" s="142">
        <f>-B138-B139-B140</f>
        <v>-16200</v>
      </c>
      <c r="C137" s="142" t="s">
        <v>94</v>
      </c>
      <c r="D137" s="145" t="s">
        <v>94</v>
      </c>
      <c r="E137" s="142" t="s">
        <v>94</v>
      </c>
      <c r="F137" s="142" t="s">
        <v>94</v>
      </c>
      <c r="G137" s="142" t="s">
        <v>94</v>
      </c>
      <c r="H137" s="142" t="s">
        <v>94</v>
      </c>
      <c r="I137" s="142" t="s">
        <v>94</v>
      </c>
      <c r="J137" s="142" t="s">
        <v>94</v>
      </c>
      <c r="K137" s="142" t="s">
        <v>94</v>
      </c>
      <c r="L137" s="143">
        <f>SUM(B137:K137)</f>
        <v>-16200</v>
      </c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s="68" customFormat="1" ht="15.75" customHeight="1">
      <c r="A138" s="146" t="s">
        <v>95</v>
      </c>
      <c r="B138" s="142">
        <f>'Deal Info'!C28</f>
        <v>10000</v>
      </c>
      <c r="C138" s="92"/>
      <c r="D138" s="92"/>
      <c r="E138" s="92"/>
      <c r="F138" s="92"/>
      <c r="G138" s="92"/>
      <c r="H138" s="92"/>
      <c r="I138" s="92"/>
      <c r="J138" s="92"/>
      <c r="K138" s="92"/>
      <c r="L138" s="95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s="68" customFormat="1" ht="15.75" customHeight="1">
      <c r="A139" s="146" t="s">
        <v>96</v>
      </c>
      <c r="B139" s="142">
        <f>'Deal Info'!C29</f>
        <v>5000</v>
      </c>
      <c r="C139" s="142"/>
      <c r="D139" s="142"/>
      <c r="E139" s="142"/>
      <c r="F139" s="142"/>
      <c r="G139" s="142"/>
      <c r="H139" s="142"/>
      <c r="I139" s="142"/>
      <c r="J139" s="142"/>
      <c r="K139" s="142"/>
      <c r="L139" s="147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s="68" customFormat="1" ht="15.75" customHeight="1">
      <c r="A140" s="146" t="s">
        <v>97</v>
      </c>
      <c r="B140" s="142">
        <f>'Deal Info'!J20</f>
        <v>1200</v>
      </c>
      <c r="C140" s="142"/>
      <c r="D140" s="142"/>
      <c r="E140" s="142"/>
      <c r="F140" s="142"/>
      <c r="G140" s="142"/>
      <c r="H140" s="142"/>
      <c r="I140" s="142"/>
      <c r="J140" s="142"/>
      <c r="K140" s="142"/>
      <c r="L140" s="147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s="68" customFormat="1" ht="15.75" customHeight="1">
      <c r="A141" s="146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7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s="68" customFormat="1" ht="15.75" customHeight="1" thickBot="1">
      <c r="A142" s="148" t="s">
        <v>98</v>
      </c>
      <c r="B142" s="149">
        <f>(B131-B131)+B133-B134-B135-B136-B138-B139-B140</f>
        <v>7342</v>
      </c>
      <c r="C142" s="149">
        <f t="shared" ref="C142:K142" si="26">C132+C133-C134-C135-C136</f>
        <v>35233.54</v>
      </c>
      <c r="D142" s="149">
        <f t="shared" si="26"/>
        <v>35745.115160000016</v>
      </c>
      <c r="E142" s="149">
        <f t="shared" si="26"/>
        <v>36236.094347919992</v>
      </c>
      <c r="F142" s="149">
        <f t="shared" si="26"/>
        <v>36702.670903526254</v>
      </c>
      <c r="G142" s="149">
        <f t="shared" si="26"/>
        <v>37140.613749466393</v>
      </c>
      <c r="H142" s="149">
        <f t="shared" si="26"/>
        <v>37545.223816323676</v>
      </c>
      <c r="I142" s="149">
        <f t="shared" si="26"/>
        <v>37911.286079706828</v>
      </c>
      <c r="J142" s="149">
        <f t="shared" si="26"/>
        <v>38233.016769728216</v>
      </c>
      <c r="K142" s="149">
        <f t="shared" si="26"/>
        <v>38504.005269233268</v>
      </c>
      <c r="L142" s="150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s="68" customFormat="1" ht="15.75" customHeight="1" thickBot="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45" customHeight="1" thickBot="1">
      <c r="C144" s="249" t="s">
        <v>191</v>
      </c>
      <c r="D144" s="250"/>
      <c r="E144" s="251"/>
      <c r="F144" s="160">
        <f>(F131-B131)+SUM(B133:F133)-SUM(B134:F134)-SUM(B135:F135)-SUM(B136:F136)</f>
        <v>167459.42041144625</v>
      </c>
      <c r="I144" s="252" t="s">
        <v>190</v>
      </c>
      <c r="J144" s="253"/>
      <c r="K144" s="273"/>
      <c r="L144" s="131">
        <f>L131+L133-L134-L135-L136-L137</f>
        <v>372993.56609590456</v>
      </c>
    </row>
    <row r="145" spans="1:26" s="68" customFormat="1" ht="15.75" customHeight="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10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s="68" customFormat="1" ht="15.75" customHeight="1" thickBot="1">
      <c r="A146" s="66"/>
      <c r="B146" s="66"/>
      <c r="C146" s="66"/>
      <c r="D146" s="67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s="68" customFormat="1" ht="18.75" thickBot="1">
      <c r="A147" s="278" t="s">
        <v>158</v>
      </c>
      <c r="B147" s="279"/>
      <c r="C147" s="136"/>
      <c r="D147" s="259" t="s">
        <v>99</v>
      </c>
      <c r="E147" s="259"/>
      <c r="F147" s="259"/>
      <c r="G147" s="261" t="s">
        <v>100</v>
      </c>
      <c r="H147" s="262"/>
      <c r="I147" s="263"/>
      <c r="J147" s="262" t="s">
        <v>101</v>
      </c>
      <c r="K147" s="262"/>
      <c r="L147" s="263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s="68" customFormat="1" ht="15.75" customHeight="1">
      <c r="A148" s="134"/>
      <c r="B148" s="92"/>
      <c r="C148" s="137" t="s">
        <v>159</v>
      </c>
      <c r="D148" s="270">
        <f>D85/F79</f>
        <v>7.9794482296436944E-2</v>
      </c>
      <c r="E148" s="270"/>
      <c r="F148" s="270"/>
      <c r="G148" s="271">
        <f>G85/I79</f>
        <v>7.0229591836734689E-2</v>
      </c>
      <c r="H148" s="270"/>
      <c r="I148" s="272"/>
      <c r="J148" s="270">
        <f>J85/L79</f>
        <v>6.955701179554391E-2</v>
      </c>
      <c r="K148" s="270"/>
      <c r="L148" s="272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>
      <c r="A149" s="135"/>
      <c r="B149" s="92"/>
      <c r="C149" s="95" t="s">
        <v>160</v>
      </c>
      <c r="D149" s="274">
        <f>VLOOKUP('Deal Info'!$C$9,'Deal Info'!$M$51:$N$72,2,FALSE)</f>
        <v>3.2000000000000001E-2</v>
      </c>
      <c r="E149" s="274"/>
      <c r="F149" s="274"/>
      <c r="G149" s="287">
        <f>VLOOKUP('Deal Info'!$C$9,'Deal Info'!$M$51:$N$72,2,FALSE)</f>
        <v>3.2000000000000001E-2</v>
      </c>
      <c r="H149" s="274"/>
      <c r="I149" s="288"/>
      <c r="J149" s="274">
        <f>VLOOKUP('Deal Info'!$C$9,'Deal Info'!$M$51:$N$72,2,FALSE)</f>
        <v>3.2000000000000001E-2</v>
      </c>
      <c r="K149" s="274"/>
      <c r="L149" s="288"/>
    </row>
    <row r="150" spans="1:26">
      <c r="A150" s="135"/>
      <c r="B150" s="92"/>
      <c r="C150" s="95" t="s">
        <v>195</v>
      </c>
      <c r="D150" s="274">
        <f>0.081714286*$D$9/F79/5</f>
        <v>0.25555679749804533</v>
      </c>
      <c r="E150" s="274"/>
      <c r="F150" s="274"/>
      <c r="G150" s="287">
        <f>0.081714286*$D$9/I79/5</f>
        <v>7.2959183928571425E-2</v>
      </c>
      <c r="H150" s="274"/>
      <c r="I150" s="288"/>
      <c r="J150" s="274">
        <f>0.081714286*$D$9/L79/5</f>
        <v>5.9973787889908245E-2</v>
      </c>
      <c r="K150" s="274"/>
      <c r="L150" s="288"/>
    </row>
    <row r="151" spans="1:26">
      <c r="A151" s="135"/>
      <c r="B151" s="92"/>
      <c r="C151" s="95" t="s">
        <v>161</v>
      </c>
      <c r="D151" s="274">
        <f>(($F$61-$F$56)/$F$79)*0.3</f>
        <v>0.15226181168323469</v>
      </c>
      <c r="E151" s="274"/>
      <c r="F151" s="274"/>
      <c r="G151" s="287">
        <f>(($F$61-$F$56)/$I$79)*0.3</f>
        <v>4.3469387755102035E-2</v>
      </c>
      <c r="H151" s="274"/>
      <c r="I151" s="288"/>
      <c r="J151" s="274">
        <f>(($F$61-$F$56)/$L$79)*0.3</f>
        <v>3.5732634338138926E-2</v>
      </c>
      <c r="K151" s="274"/>
      <c r="L151" s="288"/>
    </row>
    <row r="152" spans="1:26" ht="15" thickBot="1">
      <c r="A152" s="138"/>
      <c r="B152" s="139"/>
      <c r="C152" s="140"/>
      <c r="D152" s="92"/>
      <c r="E152" s="92"/>
      <c r="F152" s="92"/>
      <c r="G152" s="138"/>
      <c r="H152" s="139"/>
      <c r="I152" s="140"/>
      <c r="J152" s="92"/>
      <c r="K152" s="92"/>
      <c r="L152" s="95"/>
    </row>
    <row r="153" spans="1:26" ht="39" customHeight="1" thickBot="1">
      <c r="A153" s="284" t="s">
        <v>186</v>
      </c>
      <c r="B153" s="285"/>
      <c r="C153" s="286"/>
      <c r="D153" s="275">
        <f>SUM(D148:D151)</f>
        <v>0.51961309147771695</v>
      </c>
      <c r="E153" s="276"/>
      <c r="F153" s="277"/>
      <c r="G153" s="275">
        <f>SUM(G148:G151)</f>
        <v>0.21865816352040815</v>
      </c>
      <c r="H153" s="276"/>
      <c r="I153" s="277"/>
      <c r="J153" s="275">
        <f>SUM(J148:J151)</f>
        <v>0.19726343402359106</v>
      </c>
      <c r="K153" s="276"/>
      <c r="L153" s="277"/>
    </row>
    <row r="154" spans="1:26" ht="39" customHeight="1" thickBot="1">
      <c r="A154" s="284" t="s">
        <v>187</v>
      </c>
      <c r="B154" s="285"/>
      <c r="C154" s="286"/>
      <c r="D154" s="281">
        <f>100%/D153</f>
        <v>1.9245088632315261</v>
      </c>
      <c r="E154" s="282"/>
      <c r="F154" s="283"/>
      <c r="G154" s="281">
        <f>100%/G153</f>
        <v>4.5733485724930016</v>
      </c>
      <c r="H154" s="282"/>
      <c r="I154" s="283"/>
      <c r="J154" s="281">
        <f>100%/J153</f>
        <v>5.0693632347513953</v>
      </c>
      <c r="K154" s="282"/>
      <c r="L154" s="283"/>
    </row>
    <row r="155" spans="1:26">
      <c r="A155" s="68"/>
      <c r="B155" s="68"/>
      <c r="C155" s="68"/>
    </row>
    <row r="161" spans="4:8" ht="15">
      <c r="F161" s="161"/>
      <c r="H161" s="122"/>
    </row>
    <row r="163" spans="4:8">
      <c r="F163" s="123"/>
      <c r="H163" s="123"/>
    </row>
    <row r="164" spans="4:8">
      <c r="D164" s="121"/>
    </row>
  </sheetData>
  <mergeCells count="50">
    <mergeCell ref="A1:D2"/>
    <mergeCell ref="D154:F154"/>
    <mergeCell ref="G154:I154"/>
    <mergeCell ref="J154:L154"/>
    <mergeCell ref="A154:C154"/>
    <mergeCell ref="J153:L153"/>
    <mergeCell ref="G153:I153"/>
    <mergeCell ref="A153:C153"/>
    <mergeCell ref="G149:I149"/>
    <mergeCell ref="G150:I150"/>
    <mergeCell ref="G151:I151"/>
    <mergeCell ref="J148:L148"/>
    <mergeCell ref="J149:L149"/>
    <mergeCell ref="J150:L150"/>
    <mergeCell ref="J151:L151"/>
    <mergeCell ref="D149:F149"/>
    <mergeCell ref="D150:F150"/>
    <mergeCell ref="D151:F151"/>
    <mergeCell ref="D153:F153"/>
    <mergeCell ref="A88:C89"/>
    <mergeCell ref="D147:F147"/>
    <mergeCell ref="A147:B147"/>
    <mergeCell ref="G147:I147"/>
    <mergeCell ref="J147:L147"/>
    <mergeCell ref="D148:F148"/>
    <mergeCell ref="G148:I148"/>
    <mergeCell ref="I144:K144"/>
    <mergeCell ref="B11:B12"/>
    <mergeCell ref="D67:F67"/>
    <mergeCell ref="G67:I67"/>
    <mergeCell ref="J67:L67"/>
    <mergeCell ref="D84:F84"/>
    <mergeCell ref="G84:I84"/>
    <mergeCell ref="J84:L84"/>
    <mergeCell ref="D85:F85"/>
    <mergeCell ref="G85:I85"/>
    <mergeCell ref="J85:L85"/>
    <mergeCell ref="D65:E65"/>
    <mergeCell ref="C144:E144"/>
    <mergeCell ref="J99:K99"/>
    <mergeCell ref="J113:K113"/>
    <mergeCell ref="J127:K127"/>
    <mergeCell ref="A116:C117"/>
    <mergeCell ref="A102:C103"/>
    <mergeCell ref="D99:E99"/>
    <mergeCell ref="D113:E113"/>
    <mergeCell ref="D127:E127"/>
    <mergeCell ref="G99:H99"/>
    <mergeCell ref="G113:H113"/>
    <mergeCell ref="G127:H127"/>
  </mergeCells>
  <conditionalFormatting sqref="D153:L153 D85:L85 F65 F99 F113 F127 I99 I113 L99 L113">
    <cfRule type="cellIs" dxfId="2" priority="11" operator="lessThan">
      <formula>0</formula>
    </cfRule>
    <cfRule type="cellIs" dxfId="1" priority="12" operator="greaterThan">
      <formula>0</formula>
    </cfRule>
  </conditionalFormatting>
  <conditionalFormatting sqref="L144 F144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F56 F4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5.7109375" customWidth="1"/>
    <col min="2" max="2" width="16.7109375" style="163" customWidth="1"/>
    <col min="4" max="4" width="12.85546875" style="132" customWidth="1"/>
    <col min="5" max="5" width="16.7109375" style="163" bestFit="1" customWidth="1"/>
    <col min="6" max="6" width="13.140625" style="162" bestFit="1" customWidth="1"/>
    <col min="7" max="7" width="16.85546875" style="173" bestFit="1" customWidth="1"/>
    <col min="8" max="8" width="15" style="162" customWidth="1"/>
    <col min="13" max="16384" width="9.140625" style="62"/>
  </cols>
  <sheetData>
    <row r="1" spans="1:15" s="297" customFormat="1" ht="73.5" customHeight="1">
      <c r="A1" s="174" t="s">
        <v>192</v>
      </c>
      <c r="B1" s="175" t="s">
        <v>103</v>
      </c>
      <c r="C1" s="176" t="s">
        <v>102</v>
      </c>
      <c r="D1" s="177" t="s">
        <v>51</v>
      </c>
      <c r="E1" s="178" t="s">
        <v>193</v>
      </c>
      <c r="F1" s="179" t="s">
        <v>104</v>
      </c>
      <c r="G1" s="180" t="s">
        <v>200</v>
      </c>
      <c r="H1" s="179" t="s">
        <v>105</v>
      </c>
      <c r="I1" s="179" t="s">
        <v>211</v>
      </c>
      <c r="J1" s="179" t="s">
        <v>212</v>
      </c>
      <c r="K1" s="179"/>
      <c r="L1" s="179" t="s">
        <v>210</v>
      </c>
      <c r="M1" s="295"/>
      <c r="N1" s="296"/>
      <c r="O1" s="296"/>
    </row>
    <row r="2" spans="1:15">
      <c r="A2" s="290" t="s">
        <v>204</v>
      </c>
      <c r="B2" s="291">
        <v>419000</v>
      </c>
      <c r="C2" s="290">
        <v>2000</v>
      </c>
      <c r="D2" s="292">
        <v>8.1673221894460829E-2</v>
      </c>
      <c r="E2" s="291">
        <v>28249</v>
      </c>
      <c r="F2" s="293">
        <v>0.3009823559495397</v>
      </c>
      <c r="G2" s="294">
        <v>1.9094734627620595</v>
      </c>
      <c r="H2" s="293">
        <v>0.52370458113279916</v>
      </c>
      <c r="I2" s="290">
        <v>7</v>
      </c>
      <c r="J2" s="290">
        <v>3</v>
      </c>
      <c r="K2" s="290"/>
      <c r="L2" s="290">
        <v>190001135</v>
      </c>
    </row>
    <row r="3" spans="1:15">
      <c r="A3" s="290" t="s">
        <v>205</v>
      </c>
      <c r="B3" s="291">
        <v>335000</v>
      </c>
      <c r="C3" s="290">
        <v>2000</v>
      </c>
      <c r="D3" s="292">
        <v>0.11687388459250446</v>
      </c>
      <c r="E3" s="291">
        <v>22025</v>
      </c>
      <c r="F3" s="293">
        <v>0.29084488272921111</v>
      </c>
      <c r="G3" s="294">
        <v>2.0916946554259299</v>
      </c>
      <c r="H3" s="293">
        <v>0.47808125215884861</v>
      </c>
      <c r="I3" s="290">
        <v>8</v>
      </c>
      <c r="J3" s="290">
        <v>2</v>
      </c>
      <c r="K3" s="290"/>
      <c r="L3" s="290">
        <v>190001452</v>
      </c>
    </row>
    <row r="4" spans="1:15">
      <c r="A4" s="290" t="s">
        <v>207</v>
      </c>
      <c r="B4" s="291">
        <v>325000</v>
      </c>
      <c r="C4" s="290">
        <v>2000</v>
      </c>
      <c r="D4" s="292">
        <v>9.9417535254445119E-2</v>
      </c>
      <c r="E4" s="291">
        <v>15678</v>
      </c>
      <c r="F4" s="293">
        <v>0.21260989010989012</v>
      </c>
      <c r="G4" s="294">
        <v>2.4741178899617848</v>
      </c>
      <c r="H4" s="293">
        <v>0.40418445865384611</v>
      </c>
      <c r="I4" s="290">
        <v>9</v>
      </c>
      <c r="J4" s="290">
        <v>5</v>
      </c>
      <c r="K4" s="290"/>
      <c r="L4" s="290">
        <v>180018100</v>
      </c>
    </row>
    <row r="5" spans="1:15">
      <c r="A5" s="290" t="s">
        <v>198</v>
      </c>
      <c r="B5" s="291">
        <v>290000</v>
      </c>
      <c r="C5" s="290">
        <v>2000</v>
      </c>
      <c r="D5" s="292">
        <v>7.6332503113325026E-2</v>
      </c>
      <c r="E5" s="291">
        <v>9578</v>
      </c>
      <c r="F5" s="293">
        <v>0.14744458128078819</v>
      </c>
      <c r="G5" s="294">
        <v>2.5395804135609339</v>
      </c>
      <c r="H5" s="293">
        <v>0.39376583417487687</v>
      </c>
      <c r="I5" s="290">
        <v>8</v>
      </c>
      <c r="J5" s="290">
        <v>3</v>
      </c>
      <c r="K5" s="290"/>
      <c r="L5" s="290">
        <v>180017277</v>
      </c>
    </row>
    <row r="6" spans="1:15">
      <c r="A6" s="290" t="s">
        <v>209</v>
      </c>
      <c r="B6" s="291">
        <v>550000</v>
      </c>
      <c r="C6" s="290">
        <v>2000</v>
      </c>
      <c r="D6" s="292">
        <v>8.8100507982583454E-2</v>
      </c>
      <c r="E6" s="291">
        <v>20217</v>
      </c>
      <c r="F6" s="293">
        <v>0.16247564935064934</v>
      </c>
      <c r="G6" s="294">
        <v>2.5970975369994207</v>
      </c>
      <c r="H6" s="293">
        <v>0.38504522288961035</v>
      </c>
      <c r="I6" s="290">
        <v>9</v>
      </c>
      <c r="J6" s="290">
        <v>3</v>
      </c>
      <c r="K6" s="290"/>
      <c r="L6" s="290">
        <v>180021280</v>
      </c>
    </row>
    <row r="7" spans="1:15">
      <c r="A7" s="290" t="s">
        <v>206</v>
      </c>
      <c r="B7" s="291">
        <v>265000</v>
      </c>
      <c r="C7" s="290">
        <v>2000</v>
      </c>
      <c r="D7" s="292">
        <v>9.1190833959429007E-2</v>
      </c>
      <c r="E7" s="291">
        <v>10619</v>
      </c>
      <c r="F7" s="293">
        <v>0.17552223719676549</v>
      </c>
      <c r="G7" s="294">
        <v>2.6613944325788967</v>
      </c>
      <c r="H7" s="293">
        <v>0.37574287665094341</v>
      </c>
      <c r="I7" s="290">
        <v>8</v>
      </c>
      <c r="J7" s="290">
        <v>2</v>
      </c>
      <c r="K7" s="290"/>
      <c r="L7" s="290">
        <v>180023513</v>
      </c>
    </row>
    <row r="8" spans="1:15">
      <c r="A8" s="62" t="s">
        <v>202</v>
      </c>
      <c r="B8" s="298">
        <v>350000</v>
      </c>
      <c r="C8" s="62">
        <v>2000</v>
      </c>
      <c r="D8" s="299">
        <v>6.4287274713271433E-2</v>
      </c>
      <c r="E8" s="298">
        <v>5506</v>
      </c>
      <c r="F8" s="300">
        <v>6.7678571428571435E-2</v>
      </c>
      <c r="G8" s="301">
        <v>4.5733485724930016</v>
      </c>
      <c r="H8" s="300">
        <v>0.21865816352040815</v>
      </c>
      <c r="I8" s="62">
        <v>8</v>
      </c>
      <c r="J8" s="62">
        <v>4</v>
      </c>
      <c r="K8" s="62"/>
      <c r="L8" s="62">
        <v>1849324</v>
      </c>
    </row>
    <row r="9" spans="1:15">
      <c r="A9" t="s">
        <v>199</v>
      </c>
      <c r="B9" s="163">
        <v>550000</v>
      </c>
      <c r="C9">
        <v>2000</v>
      </c>
      <c r="D9" s="132">
        <v>5.1898984593837537E-2</v>
      </c>
      <c r="E9" s="163">
        <v>15988.7</v>
      </c>
      <c r="F9" s="162">
        <v>0.12977840909090904</v>
      </c>
      <c r="G9" s="173">
        <v>2.8733399477276866</v>
      </c>
      <c r="H9" s="162">
        <v>0.34802704107142857</v>
      </c>
    </row>
    <row r="10" spans="1:15">
      <c r="A10" t="s">
        <v>208</v>
      </c>
      <c r="B10" s="163">
        <v>399000</v>
      </c>
      <c r="C10">
        <v>2000</v>
      </c>
      <c r="D10" s="132">
        <v>7.3948025987006491E-2</v>
      </c>
      <c r="E10" s="163">
        <v>9026</v>
      </c>
      <c r="F10" s="162">
        <v>9.8751342642320092E-2</v>
      </c>
      <c r="G10" s="173">
        <v>3.6010273144745928</v>
      </c>
      <c r="H10" s="162">
        <v>0.27769853229949876</v>
      </c>
      <c r="I10">
        <v>7</v>
      </c>
      <c r="J10">
        <v>4</v>
      </c>
    </row>
    <row r="11" spans="1:15">
      <c r="A11" t="s">
        <v>203</v>
      </c>
      <c r="B11" s="163">
        <v>995000</v>
      </c>
      <c r="C11">
        <v>2000</v>
      </c>
      <c r="D11" s="132">
        <v>5.9628445864962049E-2</v>
      </c>
      <c r="E11" s="163">
        <v>8424</v>
      </c>
      <c r="F11" s="162">
        <v>3.7796123474515435E-2</v>
      </c>
      <c r="G11" s="173">
        <v>4.1764463968935095</v>
      </c>
      <c r="H11" s="162">
        <v>0.23943800661342426</v>
      </c>
    </row>
  </sheetData>
  <sortState ref="A2:L11">
    <sortCondition descending="1" ref="H2:H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 Info</vt:lpstr>
      <vt:lpstr>Calculator</vt:lpstr>
      <vt:lpstr>Notes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2018-12-02T23:51:26Z</dcterms:created>
  <dcterms:modified xsi:type="dcterms:W3CDTF">2019-01-28T16:46:17Z</dcterms:modified>
</cp:coreProperties>
</file>