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18"/>
  <workbookPr filterPrivacy="1" codeName="ThisWorkbook"/>
  <xr:revisionPtr revIDLastSave="2" documentId="13_ncr:1_{3E5E5F32-FB20-4D12-8FFE-3AD41AE29880}" xr6:coauthVersionLast="47" xr6:coauthVersionMax="47" xr10:uidLastSave="{8E3ECDB1-4D16-429E-9CFC-505393D42091}"/>
  <bookViews>
    <workbookView xWindow="-96" yWindow="-96" windowWidth="23232" windowHeight="12432" firstSheet="1" activeTab="1" xr2:uid="{00000000-000D-0000-FFFF-FFFF00000000}"/>
  </bookViews>
  <sheets>
    <sheet name="Cover Page" sheetId="7" state="hidden" r:id="rId1"/>
    <sheet name="Overview" sheetId="23" r:id="rId2"/>
    <sheet name="FINANCIAL STATEMENTS" sheetId="12" r:id="rId3"/>
    <sheet name="Beta" sheetId="13" r:id="rId4"/>
    <sheet name="WACC" sheetId="18" r:id="rId5"/>
    <sheet name="DCF" sheetId="11" r:id="rId6"/>
    <sheet name="Explanations" sheetId="20" r:id="rId7"/>
    <sheet name="Multiple Valuation" sheetId="21" r:id="rId8"/>
    <sheet name="Comparable Company A" sheetId="24" r:id="rId9"/>
    <sheet name="Comparable Company B" sheetId="26" r:id="rId10"/>
  </sheets>
  <definedNames>
    <definedName name="_bdm.2ce96c87f19a450da146a0c4aa3f4f37.edm" hidden="1">#REF!</definedName>
    <definedName name="_bdm.fcdcb85f66d84a7aac098aaed3657232.edm" hidden="1">#REF!</definedName>
    <definedName name="CIQWBGuid" hidden="1">"2cd8126d-26c3-430c-b7fa-a069e3a1fc62"</definedName>
    <definedName name="_xlnm.database">#REF!</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"10/01/2018 15:52:08"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0">'Cover Page'!$B$4:$N$27</definedName>
  </definedNam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9" i="11" l="1"/>
  <c r="I100" i="11"/>
  <c r="I101" i="11"/>
  <c r="I102" i="11"/>
  <c r="I98" i="11"/>
  <c r="H99" i="11"/>
  <c r="H100" i="11"/>
  <c r="H101" i="11"/>
  <c r="H102" i="11"/>
  <c r="H98" i="11"/>
  <c r="G99" i="11"/>
  <c r="G100" i="11"/>
  <c r="G101" i="11"/>
  <c r="G102" i="11"/>
  <c r="G98" i="11"/>
  <c r="F98" i="11"/>
  <c r="F99" i="11"/>
  <c r="F100" i="11"/>
  <c r="F101" i="11"/>
  <c r="F102" i="11"/>
  <c r="E98" i="11"/>
  <c r="E99" i="11"/>
  <c r="E100" i="11"/>
  <c r="E101" i="11"/>
  <c r="E102" i="11"/>
  <c r="E78" i="11"/>
  <c r="E79" i="11" s="1"/>
  <c r="F78" i="11"/>
  <c r="F79" i="11" s="1"/>
  <c r="G78" i="11"/>
  <c r="G79" i="11" s="1"/>
  <c r="H78" i="11"/>
  <c r="D78" i="11"/>
  <c r="I78" i="11"/>
  <c r="I20" i="21"/>
  <c r="D11" i="21" a="1"/>
  <c r="D11" i="21" s="1"/>
  <c r="D65" i="11" a="1"/>
  <c r="D65" i="11" s="1"/>
  <c r="L71" i="11"/>
  <c r="E29" i="18"/>
  <c r="D84" i="11"/>
  <c r="G12" i="21"/>
  <c r="G11" i="21"/>
  <c r="E12" i="21"/>
  <c r="D12" i="21" a="1"/>
  <c r="D12" i="21" s="1"/>
  <c r="E63" i="26"/>
  <c r="F58" i="26"/>
  <c r="E43" i="26"/>
  <c r="E25" i="26"/>
  <c r="F79" i="26"/>
  <c r="F80" i="26"/>
  <c r="G34" i="24"/>
  <c r="F72" i="26"/>
  <c r="E72" i="26"/>
  <c r="G29" i="26"/>
  <c r="G27" i="26"/>
  <c r="G24" i="26"/>
  <c r="G23" i="26"/>
  <c r="G18" i="26"/>
  <c r="G19" i="26"/>
  <c r="G17" i="26"/>
  <c r="G14" i="26"/>
  <c r="G13" i="26"/>
  <c r="G14" i="24"/>
  <c r="G17" i="24"/>
  <c r="G18" i="24"/>
  <c r="G19" i="24"/>
  <c r="G20" i="24"/>
  <c r="G23" i="24"/>
  <c r="G24" i="24"/>
  <c r="G27" i="24"/>
  <c r="G28" i="24"/>
  <c r="G29" i="24"/>
  <c r="G31" i="24"/>
  <c r="G13" i="24"/>
  <c r="F20" i="26"/>
  <c r="F15" i="26"/>
  <c r="F21" i="26" s="1"/>
  <c r="F25" i="26" s="1"/>
  <c r="E20" i="26"/>
  <c r="E15" i="26"/>
  <c r="E21" i="26" s="1"/>
  <c r="D21" i="26"/>
  <c r="D20" i="26"/>
  <c r="D72" i="26"/>
  <c r="D74" i="26"/>
  <c r="D15" i="26"/>
  <c r="D74" i="24"/>
  <c r="D76" i="24"/>
  <c r="F15" i="24"/>
  <c r="F21" i="24" s="1"/>
  <c r="F25" i="24" s="1"/>
  <c r="F30" i="24" s="1"/>
  <c r="F32" i="24" s="1"/>
  <c r="F81" i="24" s="1"/>
  <c r="E15" i="24"/>
  <c r="E21" i="24" s="1"/>
  <c r="E25" i="24" s="1"/>
  <c r="E30" i="24" s="1"/>
  <c r="E32" i="24" s="1"/>
  <c r="E74" i="26"/>
  <c r="F74" i="26"/>
  <c r="F61" i="26"/>
  <c r="D61" i="26"/>
  <c r="D58" i="26"/>
  <c r="F43" i="26"/>
  <c r="F49" i="26" s="1"/>
  <c r="E49" i="26"/>
  <c r="D43" i="26"/>
  <c r="D49" i="26" s="1"/>
  <c r="F66" i="24"/>
  <c r="D66" i="24"/>
  <c r="E76" i="24"/>
  <c r="F76" i="24"/>
  <c r="F74" i="24"/>
  <c r="E74" i="24"/>
  <c r="F64" i="24"/>
  <c r="D64" i="24"/>
  <c r="F58" i="24"/>
  <c r="F82" i="24" s="1"/>
  <c r="D58" i="24"/>
  <c r="F51" i="24"/>
  <c r="D51" i="24"/>
  <c r="F42" i="24"/>
  <c r="D42" i="24"/>
  <c r="D4" i="26" a="1"/>
  <c r="D4" i="26" s="1"/>
  <c r="F86" i="26" s="1"/>
  <c r="F12" i="21" s="1"/>
  <c r="D15" i="24"/>
  <c r="D21" i="24" s="1"/>
  <c r="D25" i="24" s="1"/>
  <c r="D30" i="24" s="1"/>
  <c r="D32" i="24" s="1"/>
  <c r="D4" i="24" a="1"/>
  <c r="D4" i="24" s="1"/>
  <c r="F89" i="24" s="1"/>
  <c r="H79" i="11" l="1"/>
  <c r="D36" i="24"/>
  <c r="G30" i="24"/>
  <c r="G21" i="26"/>
  <c r="F81" i="26"/>
  <c r="F36" i="24"/>
  <c r="E36" i="24"/>
  <c r="F83" i="24"/>
  <c r="F84" i="24" s="1"/>
  <c r="H11" i="21" s="1"/>
  <c r="I11" i="21" s="1"/>
  <c r="F34" i="26"/>
  <c r="E34" i="26"/>
  <c r="E75" i="26"/>
  <c r="E77" i="26" s="1"/>
  <c r="G15" i="26"/>
  <c r="D34" i="26"/>
  <c r="F63" i="26"/>
  <c r="F75" i="26" s="1"/>
  <c r="F77" i="26" s="1"/>
  <c r="G20" i="26"/>
  <c r="G32" i="24"/>
  <c r="F85" i="24" s="1"/>
  <c r="E11" i="21" s="1"/>
  <c r="F54" i="24"/>
  <c r="G25" i="24"/>
  <c r="G15" i="24"/>
  <c r="D54" i="24"/>
  <c r="G21" i="24"/>
  <c r="D63" i="26"/>
  <c r="D75" i="26" s="1"/>
  <c r="E28" i="26"/>
  <c r="E30" i="26" s="1"/>
  <c r="F28" i="26"/>
  <c r="F30" i="26" s="1"/>
  <c r="D25" i="26"/>
  <c r="E54" i="24"/>
  <c r="E67" i="24"/>
  <c r="E77" i="24" s="1"/>
  <c r="F67" i="24"/>
  <c r="F77" i="24" s="1"/>
  <c r="D67" i="24"/>
  <c r="D77" i="24" s="1"/>
  <c r="F82" i="26" l="1"/>
  <c r="H12" i="21" s="1"/>
  <c r="I12" i="21" s="1"/>
  <c r="D18" i="21" s="1"/>
  <c r="D20" i="21" s="1"/>
  <c r="F87" i="26"/>
  <c r="E79" i="24"/>
  <c r="F88" i="24"/>
  <c r="F11" i="21" s="1"/>
  <c r="I18" i="21" s="1"/>
  <c r="I21" i="21" s="1"/>
  <c r="F79" i="24"/>
  <c r="F91" i="24"/>
  <c r="G34" i="26"/>
  <c r="G36" i="24"/>
  <c r="F90" i="24" s="1"/>
  <c r="D79" i="24"/>
  <c r="D77" i="26"/>
  <c r="D28" i="26"/>
  <c r="G25" i="26"/>
  <c r="D21" i="21" l="1"/>
  <c r="D23" i="21" s="1"/>
  <c r="F89" i="26"/>
  <c r="F88" i="26"/>
  <c r="D30" i="26"/>
  <c r="G30" i="26" s="1"/>
  <c r="F83" i="26" s="1"/>
  <c r="G28" i="26"/>
  <c r="D18" i="11" l="1"/>
  <c r="E18" i="11" s="1"/>
  <c r="F18" i="11" s="1"/>
  <c r="G18" i="11" s="1"/>
  <c r="H18" i="11" s="1"/>
  <c r="B12" i="21"/>
  <c r="B11" i="21"/>
  <c r="C4" i="21"/>
  <c r="D76" i="11"/>
  <c r="D83" i="11"/>
  <c r="E32" i="18"/>
  <c r="E30" i="18"/>
  <c r="L61" i="12"/>
  <c r="L60" i="12"/>
  <c r="L59" i="12"/>
  <c r="E18" i="18"/>
  <c r="H67" i="12"/>
  <c r="F7" i="18"/>
  <c r="F8" i="18"/>
  <c r="F9" i="18"/>
  <c r="F10" i="18"/>
  <c r="F11" i="18"/>
  <c r="F12" i="18"/>
  <c r="F13" i="18"/>
  <c r="F14" i="18"/>
  <c r="F15" i="18"/>
  <c r="F16" i="18"/>
  <c r="F17" i="18"/>
  <c r="F6" i="18"/>
  <c r="H7" i="13"/>
  <c r="K37" i="12"/>
  <c r="K26" i="12"/>
  <c r="J15" i="12"/>
  <c r="L15" i="12"/>
  <c r="K13" i="12"/>
  <c r="K39" i="12"/>
  <c r="O39" i="12"/>
  <c r="P39" i="12" s="1"/>
  <c r="L39" i="12"/>
  <c r="M39" i="12"/>
  <c r="N39" i="12"/>
  <c r="K38" i="12"/>
  <c r="D69" i="11"/>
  <c r="K23" i="12"/>
  <c r="L23" i="12"/>
  <c r="M23" i="12"/>
  <c r="K22" i="12"/>
  <c r="L22" i="12"/>
  <c r="M22" i="12"/>
  <c r="H6" i="13" a="1"/>
  <c r="H6" i="13" s="1"/>
  <c r="D4" i="12" a="1"/>
  <c r="D4" i="12" s="1"/>
  <c r="F18" i="18" l="1"/>
  <c r="E21" i="11"/>
  <c r="G21" i="11"/>
  <c r="H21" i="11"/>
  <c r="F21" i="11"/>
  <c r="D21" i="11"/>
  <c r="E76" i="11" l="1"/>
  <c r="E21" i="18"/>
  <c r="F76" i="11" l="1"/>
  <c r="H76" i="11" l="1"/>
  <c r="G76" i="11"/>
  <c r="L38" i="12" l="1"/>
  <c r="L37" i="12"/>
  <c r="L13" i="12"/>
  <c r="J14" i="12"/>
  <c r="K14" i="12"/>
  <c r="J17" i="12"/>
  <c r="K17" i="12"/>
  <c r="J18" i="12"/>
  <c r="K18" i="12"/>
  <c r="J19" i="12"/>
  <c r="K19" i="12"/>
  <c r="M14" i="12"/>
  <c r="L14" i="12"/>
  <c r="D120" i="12"/>
  <c r="D122" i="12" s="1"/>
  <c r="E120" i="12"/>
  <c r="E122" i="12" s="1"/>
  <c r="D104" i="12"/>
  <c r="D105" i="12" s="1"/>
  <c r="E104" i="12"/>
  <c r="E105" i="12" s="1"/>
  <c r="D115" i="12"/>
  <c r="E115" i="12"/>
  <c r="D98" i="12"/>
  <c r="E98" i="12"/>
  <c r="E58" i="12"/>
  <c r="E46" i="12"/>
  <c r="D67" i="12"/>
  <c r="D69" i="12" s="1"/>
  <c r="E67" i="12"/>
  <c r="E69" i="12" s="1"/>
  <c r="D58" i="12"/>
  <c r="D46" i="12"/>
  <c r="D15" i="12"/>
  <c r="D20" i="12" s="1"/>
  <c r="E15" i="12"/>
  <c r="E20" i="12" s="1"/>
  <c r="E24" i="12" s="1"/>
  <c r="E27" i="12" s="1"/>
  <c r="E29" i="12" s="1"/>
  <c r="K29" i="12" s="1"/>
  <c r="D24" i="12" l="1"/>
  <c r="J23" i="12"/>
  <c r="J22" i="12"/>
  <c r="K15" i="12"/>
  <c r="K20" i="12"/>
  <c r="J20" i="12"/>
  <c r="K24" i="12"/>
  <c r="J24" i="12"/>
  <c r="E70" i="12"/>
  <c r="E72" i="12" s="1"/>
  <c r="D70" i="12"/>
  <c r="D72" i="12" s="1"/>
  <c r="D27" i="12" l="1"/>
  <c r="D29" i="12" s="1"/>
  <c r="J29" i="12" s="1"/>
  <c r="J26" i="12"/>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70" i="13"/>
  <c r="D71" i="13"/>
  <c r="D72" i="13"/>
  <c r="D73" i="13"/>
  <c r="D74" i="13"/>
  <c r="D75" i="13"/>
  <c r="D76" i="13"/>
  <c r="D77" i="13"/>
  <c r="D78" i="13"/>
  <c r="D79" i="13"/>
  <c r="D80" i="13"/>
  <c r="D81" i="13"/>
  <c r="D82" i="13"/>
  <c r="D83" i="13"/>
  <c r="D84" i="13"/>
  <c r="D85" i="13"/>
  <c r="D86" i="13"/>
  <c r="D87" i="13"/>
  <c r="D88" i="13"/>
  <c r="D89" i="13"/>
  <c r="D90" i="13"/>
  <c r="D91" i="13"/>
  <c r="D92" i="13"/>
  <c r="D93" i="13"/>
  <c r="D94" i="13"/>
  <c r="D95" i="13"/>
  <c r="D96" i="13"/>
  <c r="D97" i="13"/>
  <c r="D98" i="13"/>
  <c r="D99" i="13"/>
  <c r="D100" i="13"/>
  <c r="D101" i="13"/>
  <c r="D102" i="13"/>
  <c r="D103" i="13"/>
  <c r="D104" i="13"/>
  <c r="D105" i="13"/>
  <c r="D106" i="13"/>
  <c r="D107" i="13"/>
  <c r="D108" i="13"/>
  <c r="D109" i="13"/>
  <c r="D110" i="13"/>
  <c r="D111" i="13"/>
  <c r="D112" i="13"/>
  <c r="D113" i="13"/>
  <c r="D114" i="13"/>
  <c r="D115" i="13"/>
  <c r="D116" i="13"/>
  <c r="D117" i="13"/>
  <c r="D118" i="13"/>
  <c r="D119" i="13"/>
  <c r="D120" i="13"/>
  <c r="D121" i="13"/>
  <c r="D122" i="13"/>
  <c r="D123" i="13"/>
  <c r="D124" i="13"/>
  <c r="D125" i="13"/>
  <c r="D126" i="13"/>
  <c r="D127" i="13"/>
  <c r="D128" i="13"/>
  <c r="D129" i="13"/>
  <c r="D130" i="13"/>
  <c r="D131" i="13"/>
  <c r="D132" i="13"/>
  <c r="D133" i="13"/>
  <c r="D134" i="13"/>
  <c r="D135" i="13"/>
  <c r="D136" i="13"/>
  <c r="D137" i="13"/>
  <c r="D138" i="13"/>
  <c r="D139" i="13"/>
  <c r="D140" i="13"/>
  <c r="D141" i="13"/>
  <c r="D142" i="13"/>
  <c r="D143" i="13"/>
  <c r="D144" i="13"/>
  <c r="D145" i="13"/>
  <c r="D146" i="13"/>
  <c r="D147" i="13"/>
  <c r="D148" i="13"/>
  <c r="D149" i="13"/>
  <c r="D150" i="13"/>
  <c r="D151" i="13"/>
  <c r="D152" i="13"/>
  <c r="D153" i="13"/>
  <c r="D154" i="13"/>
  <c r="D155" i="13"/>
  <c r="D156" i="13"/>
  <c r="D157" i="13"/>
  <c r="D158" i="13"/>
  <c r="D159" i="13"/>
  <c r="D160" i="13"/>
  <c r="D161" i="13"/>
  <c r="D162" i="13"/>
  <c r="D163" i="13"/>
  <c r="D164" i="13"/>
  <c r="D165" i="13"/>
  <c r="D166" i="13"/>
  <c r="D167" i="13"/>
  <c r="D168" i="13"/>
  <c r="D169" i="13"/>
  <c r="D170" i="13"/>
  <c r="D171" i="13"/>
  <c r="D172" i="13"/>
  <c r="D173" i="13"/>
  <c r="D174" i="13"/>
  <c r="D175" i="13"/>
  <c r="D176" i="13"/>
  <c r="D177" i="13"/>
  <c r="D178" i="13"/>
  <c r="D179" i="13"/>
  <c r="D180" i="13"/>
  <c r="D181" i="13"/>
  <c r="D182" i="13"/>
  <c r="D183" i="13"/>
  <c r="D184" i="13"/>
  <c r="D185" i="13"/>
  <c r="D186" i="13"/>
  <c r="D187" i="13"/>
  <c r="D188" i="13"/>
  <c r="D189" i="13"/>
  <c r="D190" i="13"/>
  <c r="D191" i="13"/>
  <c r="D192" i="13"/>
  <c r="D193" i="13"/>
  <c r="D194" i="13"/>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B16" i="13"/>
  <c r="B17" i="13"/>
  <c r="B18" i="13"/>
  <c r="B19" i="13"/>
  <c r="B20" i="13"/>
  <c r="B21" i="13"/>
  <c r="B22" i="13"/>
  <c r="B23" i="13"/>
  <c r="B24" i="13"/>
  <c r="B25" i="13"/>
  <c r="B26" i="13"/>
  <c r="B27" i="13"/>
  <c r="B28" i="13"/>
  <c r="B29" i="13"/>
  <c r="B30" i="13"/>
  <c r="B31" i="13"/>
  <c r="B32" i="13"/>
  <c r="B33" i="13"/>
  <c r="B34" i="13"/>
  <c r="B35" i="13"/>
  <c r="B36" i="13"/>
  <c r="B37" i="13"/>
  <c r="B38" i="13"/>
  <c r="B39" i="13"/>
  <c r="B40" i="13"/>
  <c r="B41" i="13"/>
  <c r="B42" i="13"/>
  <c r="B43" i="13"/>
  <c r="B44" i="13"/>
  <c r="B45" i="13"/>
  <c r="B46" i="13"/>
  <c r="B47" i="13"/>
  <c r="B48" i="13"/>
  <c r="B49" i="13"/>
  <c r="B50" i="13"/>
  <c r="B51" i="13"/>
  <c r="B52" i="13"/>
  <c r="B53" i="13"/>
  <c r="B54" i="13"/>
  <c r="B55" i="13"/>
  <c r="B56" i="13"/>
  <c r="B57" i="13"/>
  <c r="B58" i="13"/>
  <c r="B59" i="13"/>
  <c r="B60" i="13"/>
  <c r="B61" i="13"/>
  <c r="B62" i="13"/>
  <c r="B63" i="13"/>
  <c r="B64" i="13"/>
  <c r="B65" i="13"/>
  <c r="B66" i="13"/>
  <c r="B67" i="13"/>
  <c r="B68" i="13"/>
  <c r="B69" i="13"/>
  <c r="B70" i="13"/>
  <c r="B71" i="13"/>
  <c r="B72" i="13"/>
  <c r="B73" i="13"/>
  <c r="B74" i="13"/>
  <c r="B75" i="13"/>
  <c r="B76" i="13"/>
  <c r="B77" i="13"/>
  <c r="B78" i="13"/>
  <c r="B79" i="13"/>
  <c r="B80" i="13"/>
  <c r="B81" i="13"/>
  <c r="B82" i="13"/>
  <c r="B83" i="13"/>
  <c r="B84" i="13"/>
  <c r="B85" i="13"/>
  <c r="B86" i="13"/>
  <c r="B87" i="13"/>
  <c r="B88" i="13"/>
  <c r="B89" i="13"/>
  <c r="B90" i="13"/>
  <c r="B91" i="13"/>
  <c r="B92" i="13"/>
  <c r="B93" i="13"/>
  <c r="B94" i="13"/>
  <c r="B95" i="13"/>
  <c r="B96" i="13"/>
  <c r="B97" i="13"/>
  <c r="B98" i="13"/>
  <c r="B99" i="13"/>
  <c r="B100" i="13"/>
  <c r="B101" i="13"/>
  <c r="B102" i="13"/>
  <c r="B103" i="13"/>
  <c r="B104" i="13"/>
  <c r="B105" i="13"/>
  <c r="B106" i="13"/>
  <c r="B107" i="13"/>
  <c r="B108" i="13"/>
  <c r="B109" i="13"/>
  <c r="B110" i="13"/>
  <c r="B111" i="13"/>
  <c r="B112" i="13"/>
  <c r="B113" i="13"/>
  <c r="B114" i="13"/>
  <c r="B115" i="13"/>
  <c r="B116" i="13"/>
  <c r="B117" i="13"/>
  <c r="B118" i="13"/>
  <c r="B119" i="13"/>
  <c r="B120" i="13"/>
  <c r="B121" i="13"/>
  <c r="B122" i="13"/>
  <c r="B123" i="13"/>
  <c r="B124" i="13"/>
  <c r="B125" i="13"/>
  <c r="B126" i="13"/>
  <c r="B127" i="13"/>
  <c r="B128" i="13"/>
  <c r="B129" i="13"/>
  <c r="B130" i="13"/>
  <c r="B131" i="13"/>
  <c r="B132" i="13"/>
  <c r="B133" i="13"/>
  <c r="B134" i="13"/>
  <c r="B135" i="13"/>
  <c r="B136" i="13"/>
  <c r="B137" i="13"/>
  <c r="B138" i="13"/>
  <c r="B139" i="13"/>
  <c r="B140" i="13"/>
  <c r="B141" i="13"/>
  <c r="B142" i="13"/>
  <c r="B143" i="13"/>
  <c r="B144" i="13"/>
  <c r="B145" i="13"/>
  <c r="B146" i="13"/>
  <c r="B147" i="13"/>
  <c r="B148" i="13"/>
  <c r="B149" i="13"/>
  <c r="B150" i="13"/>
  <c r="B151" i="13"/>
  <c r="B152" i="13"/>
  <c r="B153" i="13"/>
  <c r="B154" i="13"/>
  <c r="B155" i="13"/>
  <c r="B156" i="13"/>
  <c r="B157" i="13"/>
  <c r="B158" i="13"/>
  <c r="B159" i="13"/>
  <c r="B160" i="13"/>
  <c r="B161" i="13"/>
  <c r="B162" i="13"/>
  <c r="B163" i="13"/>
  <c r="B164" i="13"/>
  <c r="B165" i="13"/>
  <c r="B166" i="13"/>
  <c r="B167" i="13"/>
  <c r="B168" i="13"/>
  <c r="B169" i="13"/>
  <c r="B170" i="13"/>
  <c r="B171" i="13"/>
  <c r="B172" i="13"/>
  <c r="B173" i="13"/>
  <c r="B174" i="13"/>
  <c r="B175" i="13"/>
  <c r="B176" i="13"/>
  <c r="B177" i="13"/>
  <c r="B178" i="13"/>
  <c r="B179" i="13"/>
  <c r="B180" i="13"/>
  <c r="B181" i="13"/>
  <c r="B182" i="13"/>
  <c r="B183" i="13"/>
  <c r="B184" i="13"/>
  <c r="B185" i="13"/>
  <c r="B186" i="13"/>
  <c r="B187" i="13"/>
  <c r="B188" i="13"/>
  <c r="B189" i="13"/>
  <c r="B190" i="13"/>
  <c r="B191" i="13"/>
  <c r="B192" i="13"/>
  <c r="B193" i="13"/>
  <c r="B194" i="13"/>
  <c r="B195" i="13"/>
  <c r="B196" i="13"/>
  <c r="B197" i="13"/>
  <c r="B198" i="13"/>
  <c r="B199" i="13"/>
  <c r="B200" i="13"/>
  <c r="B201" i="13"/>
  <c r="B202" i="13"/>
  <c r="B203" i="13"/>
  <c r="B204" i="13"/>
  <c r="B205" i="13"/>
  <c r="B206" i="13"/>
  <c r="B207" i="13"/>
  <c r="B208" i="13"/>
  <c r="B209" i="13"/>
  <c r="B210" i="13"/>
  <c r="B211" i="13"/>
  <c r="B212" i="13"/>
  <c r="B213" i="13"/>
  <c r="B214" i="13"/>
  <c r="B215" i="13"/>
  <c r="B216" i="13"/>
  <c r="B217" i="13"/>
  <c r="B218" i="13"/>
  <c r="B219" i="13"/>
  <c r="B220" i="13"/>
  <c r="B221" i="13"/>
  <c r="B222" i="13"/>
  <c r="B223" i="13"/>
  <c r="B224" i="13"/>
  <c r="B225" i="13"/>
  <c r="B226" i="13"/>
  <c r="B227" i="13"/>
  <c r="B228" i="13"/>
  <c r="B229" i="13"/>
  <c r="B230" i="13"/>
  <c r="B231" i="13"/>
  <c r="B232" i="13"/>
  <c r="B233" i="13"/>
  <c r="B234" i="13"/>
  <c r="B235" i="13"/>
  <c r="B236" i="13"/>
  <c r="B237" i="13"/>
  <c r="B238" i="13"/>
  <c r="B239" i="13"/>
  <c r="B240" i="13"/>
  <c r="B241" i="13"/>
  <c r="B242" i="13"/>
  <c r="B243" i="13"/>
  <c r="B244" i="13"/>
  <c r="B245" i="13"/>
  <c r="B246" i="13"/>
  <c r="B247" i="13"/>
  <c r="B248" i="13"/>
  <c r="B249" i="13"/>
  <c r="B250" i="13"/>
  <c r="B251" i="13"/>
  <c r="B252" i="13"/>
  <c r="B253" i="13"/>
  <c r="B254" i="13"/>
  <c r="B255" i="13"/>
  <c r="B10" i="13"/>
  <c r="B11" i="13"/>
  <c r="B12" i="13"/>
  <c r="B13" i="13"/>
  <c r="B14" i="13"/>
  <c r="B15" i="13"/>
  <c r="D6" i="13"/>
  <c r="D7" i="13"/>
  <c r="D5" i="13"/>
  <c r="B5" i="13"/>
  <c r="B6" i="13"/>
  <c r="B7" i="13"/>
  <c r="B8" i="13"/>
  <c r="B9" i="13"/>
  <c r="M13" i="12"/>
  <c r="N13" i="12"/>
  <c r="M38" i="12"/>
  <c r="N38" i="12"/>
  <c r="O38" i="12"/>
  <c r="P38" i="12" s="1"/>
  <c r="N37" i="12"/>
  <c r="O37" i="12"/>
  <c r="P37" i="12" s="1"/>
  <c r="M37" i="12"/>
  <c r="H20" i="11" l="1"/>
  <c r="G20" i="11"/>
  <c r="E20" i="11"/>
  <c r="F20" i="11"/>
  <c r="D20" i="11"/>
  <c r="H19" i="11"/>
  <c r="E19" i="11"/>
  <c r="F19" i="11"/>
  <c r="D19" i="11"/>
  <c r="G19" i="11"/>
  <c r="P13" i="12"/>
  <c r="H10" i="11" l="1"/>
  <c r="D10" i="11"/>
  <c r="D28" i="11" s="1"/>
  <c r="D53" i="11" s="1"/>
  <c r="F10" i="11"/>
  <c r="G10" i="11"/>
  <c r="E10" i="11"/>
  <c r="D51" i="11" l="1"/>
  <c r="D52" i="11"/>
  <c r="D54" i="11" l="1"/>
  <c r="D55" i="11" l="1"/>
  <c r="D77" i="11" s="1"/>
  <c r="N14" i="12" l="1"/>
  <c r="P14" i="12" s="1"/>
  <c r="M17" i="12"/>
  <c r="N17" i="12"/>
  <c r="M18" i="12"/>
  <c r="N18" i="12"/>
  <c r="M19" i="12"/>
  <c r="N19" i="12"/>
  <c r="L19" i="12"/>
  <c r="L18" i="12"/>
  <c r="L17" i="12"/>
  <c r="G120" i="12"/>
  <c r="G122" i="12" s="1"/>
  <c r="H120" i="12"/>
  <c r="H122" i="12" s="1"/>
  <c r="F120" i="12"/>
  <c r="F122" i="12" s="1"/>
  <c r="H6" i="12"/>
  <c r="F67" i="12"/>
  <c r="F69" i="12" s="1"/>
  <c r="F58" i="12"/>
  <c r="F46" i="12"/>
  <c r="G115" i="12"/>
  <c r="H115" i="12"/>
  <c r="G105" i="12"/>
  <c r="H105" i="12"/>
  <c r="G98" i="12"/>
  <c r="H98" i="12"/>
  <c r="F115" i="12"/>
  <c r="F105" i="12"/>
  <c r="F98" i="12"/>
  <c r="H69" i="12"/>
  <c r="G67" i="12"/>
  <c r="G69" i="12" s="1"/>
  <c r="G46" i="12"/>
  <c r="H46" i="12"/>
  <c r="I87" i="11"/>
  <c r="I82" i="11"/>
  <c r="I84" i="11"/>
  <c r="C91" i="11" l="1"/>
  <c r="H11" i="11"/>
  <c r="G11" i="11"/>
  <c r="F11" i="11"/>
  <c r="D11" i="11"/>
  <c r="E11" i="11"/>
  <c r="P18" i="12"/>
  <c r="P17" i="12"/>
  <c r="P19" i="12"/>
  <c r="F70" i="12"/>
  <c r="F72" i="12" s="1"/>
  <c r="E14" i="11" l="1"/>
  <c r="F14" i="11"/>
  <c r="G14" i="11"/>
  <c r="H14" i="11"/>
  <c r="D14" i="11"/>
  <c r="D34" i="11" s="1"/>
  <c r="E12" i="11"/>
  <c r="D12" i="11"/>
  <c r="D32" i="11" s="1"/>
  <c r="H12" i="11"/>
  <c r="F12" i="11"/>
  <c r="G12" i="11"/>
  <c r="H58" i="12"/>
  <c r="G58" i="12"/>
  <c r="G15" i="12"/>
  <c r="H15" i="12"/>
  <c r="F15" i="12"/>
  <c r="E3" i="11"/>
  <c r="F3" i="11" s="1"/>
  <c r="G3" i="11" s="1"/>
  <c r="H3" i="11" s="1"/>
  <c r="E69" i="11"/>
  <c r="F69" i="11" s="1"/>
  <c r="G69" i="11" s="1"/>
  <c r="H69" i="11" s="1"/>
  <c r="H20" i="12" l="1"/>
  <c r="N15" i="12"/>
  <c r="G20" i="12"/>
  <c r="M15" i="12"/>
  <c r="P15" i="12" s="1"/>
  <c r="F20" i="12"/>
  <c r="G70" i="12"/>
  <c r="G72" i="12" s="1"/>
  <c r="H70" i="12"/>
  <c r="H72" i="12" s="1"/>
  <c r="I83" i="11"/>
  <c r="N22" i="12" l="1"/>
  <c r="P22" i="12" s="1"/>
  <c r="N23" i="12"/>
  <c r="P23" i="12" s="1"/>
  <c r="F24" i="12"/>
  <c r="L20" i="12"/>
  <c r="G24" i="12"/>
  <c r="M20" i="12"/>
  <c r="H24" i="12"/>
  <c r="N20" i="12"/>
  <c r="D29" i="11"/>
  <c r="D30" i="11" s="1"/>
  <c r="E28" i="11"/>
  <c r="E53" i="11" s="1"/>
  <c r="H16" i="11" l="1"/>
  <c r="E16" i="11"/>
  <c r="F16" i="11"/>
  <c r="D16" i="11"/>
  <c r="G16" i="11"/>
  <c r="D15" i="11"/>
  <c r="G15" i="11"/>
  <c r="H15" i="11"/>
  <c r="E15" i="11"/>
  <c r="F15" i="11"/>
  <c r="E34" i="11"/>
  <c r="P20" i="12"/>
  <c r="G27" i="12"/>
  <c r="G29" i="12" s="1"/>
  <c r="M29" i="12" s="1"/>
  <c r="M24" i="12"/>
  <c r="M26" i="12"/>
  <c r="H27" i="12"/>
  <c r="H29" i="12" s="1"/>
  <c r="N29" i="12" s="1"/>
  <c r="N24" i="12"/>
  <c r="N26" i="12"/>
  <c r="F27" i="12"/>
  <c r="F29" i="12" s="1"/>
  <c r="L29" i="12" s="1"/>
  <c r="L26" i="12"/>
  <c r="L24" i="12"/>
  <c r="E52" i="11"/>
  <c r="F28" i="11"/>
  <c r="F53" i="11" s="1"/>
  <c r="E51" i="11"/>
  <c r="E29" i="11"/>
  <c r="E30" i="11" s="1"/>
  <c r="D33" i="11"/>
  <c r="D74" i="11" s="1"/>
  <c r="E33" i="11"/>
  <c r="E74" i="11" s="1"/>
  <c r="E32" i="11"/>
  <c r="E54" i="11" l="1"/>
  <c r="E55" i="11" s="1"/>
  <c r="E77" i="11" s="1"/>
  <c r="D35" i="11"/>
  <c r="D71" i="11" s="1"/>
  <c r="F32" i="11"/>
  <c r="F34" i="11"/>
  <c r="E35" i="11"/>
  <c r="E71" i="11" s="1"/>
  <c r="P29" i="12"/>
  <c r="P24" i="12"/>
  <c r="P26" i="12"/>
  <c r="F33" i="11"/>
  <c r="F74" i="11" s="1"/>
  <c r="F29" i="11"/>
  <c r="F30" i="11" s="1"/>
  <c r="G28" i="11"/>
  <c r="G53" i="11" s="1"/>
  <c r="F51" i="11"/>
  <c r="F52" i="11"/>
  <c r="D37" i="11" l="1"/>
  <c r="H17" i="11"/>
  <c r="D17" i="11"/>
  <c r="D62" i="11" s="1"/>
  <c r="D72" i="11" s="1"/>
  <c r="E17" i="11"/>
  <c r="F17" i="11"/>
  <c r="G17" i="11"/>
  <c r="D38" i="11"/>
  <c r="D39" i="11" s="1"/>
  <c r="F35" i="11"/>
  <c r="F71" i="11" s="1"/>
  <c r="E75" i="11"/>
  <c r="F54" i="11"/>
  <c r="F55" i="11" s="1"/>
  <c r="F77" i="11" s="1"/>
  <c r="E37" i="11"/>
  <c r="E38" i="11"/>
  <c r="G32" i="11"/>
  <c r="G34" i="11"/>
  <c r="G33" i="11"/>
  <c r="G74" i="11" s="1"/>
  <c r="H28" i="11"/>
  <c r="H53" i="11" s="1"/>
  <c r="G29" i="11"/>
  <c r="G30" i="11" s="1"/>
  <c r="G52" i="11"/>
  <c r="G51" i="11"/>
  <c r="F72" i="11" l="1"/>
  <c r="F73" i="11" s="1"/>
  <c r="D41" i="11"/>
  <c r="D43" i="11" s="1"/>
  <c r="E22" i="18"/>
  <c r="E31" i="18" s="1"/>
  <c r="F38" i="11"/>
  <c r="F75" i="11"/>
  <c r="F37" i="11"/>
  <c r="E39" i="11"/>
  <c r="G54" i="11"/>
  <c r="G55" i="11" s="1"/>
  <c r="G77" i="11" s="1"/>
  <c r="G35" i="11"/>
  <c r="G71" i="11" s="1"/>
  <c r="H34" i="11"/>
  <c r="H32" i="11"/>
  <c r="H51" i="11"/>
  <c r="H33" i="11"/>
  <c r="H74" i="11" s="1"/>
  <c r="H29" i="11"/>
  <c r="H30" i="11" s="1"/>
  <c r="H52" i="11"/>
  <c r="D75" i="11"/>
  <c r="F39" i="11" l="1"/>
  <c r="E34" i="18"/>
  <c r="D63" i="11" s="1"/>
  <c r="F41" i="11"/>
  <c r="F43" i="11" s="1"/>
  <c r="E72" i="11"/>
  <c r="E73" i="11" s="1"/>
  <c r="E41" i="11"/>
  <c r="E43" i="11" s="1"/>
  <c r="G75" i="11"/>
  <c r="G72" i="11"/>
  <c r="G73" i="11" s="1"/>
  <c r="H54" i="11"/>
  <c r="H55" i="11" s="1"/>
  <c r="H77" i="11" s="1"/>
  <c r="G37" i="11"/>
  <c r="G38" i="11"/>
  <c r="H35" i="11"/>
  <c r="H71" i="11" s="1"/>
  <c r="H72" i="11" s="1"/>
  <c r="H73" i="11" s="1"/>
  <c r="D73" i="11"/>
  <c r="G39" i="11" l="1"/>
  <c r="H75" i="11"/>
  <c r="H38" i="11"/>
  <c r="H37" i="11"/>
  <c r="I85" i="11"/>
  <c r="G41" i="11" l="1"/>
  <c r="G43" i="11" s="1"/>
  <c r="H39" i="11"/>
  <c r="H41" i="11" l="1"/>
  <c r="H43" i="11" s="1"/>
  <c r="D79" i="11" l="1"/>
  <c r="D82" i="11"/>
  <c r="D85" i="11" s="1"/>
  <c r="D87" i="11" s="1"/>
  <c r="C93" i="11" s="1"/>
  <c r="C92" i="11" s="1"/>
  <c r="K83" i="1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8"/>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<sst xmlns="http://schemas.openxmlformats.org/spreadsheetml/2006/main" count="497" uniqueCount="317">
  <si>
    <t>Valuation Model</t>
  </si>
  <si>
    <t>Table of Contents</t>
  </si>
  <si>
    <t>Strictly Confidential</t>
  </si>
  <si>
    <t>Comps</t>
  </si>
  <si>
    <t>Precedents</t>
  </si>
  <si>
    <t>DCF</t>
  </si>
  <si>
    <t>Summary - Football Field</t>
  </si>
  <si>
    <t>Notes</t>
  </si>
  <si>
    <t>This Excel model is for educational purposes only and should not be used for any other reason.</t>
  </si>
  <si>
    <t>All content is Copyright material of CFI Education Inc.</t>
  </si>
  <si>
    <t>https://corporatefinanceinstitute.com/</t>
  </si>
  <si>
    <t>© 2019 CFI Education Inc.</t>
  </si>
  <si>
    <t xml:space="preserve">All rights reserved.  The contents of this publication, including but not limited to all written material, content layout, images, formulas, and code, are protected under international copyright and trademark laws.  </t>
  </si>
  <si>
    <t xml:space="preserve">No part of this publication may be modified, manipulated, reproduced, distributed, or transmitted in any form by any means, including photocopying, recording, or other electronic or mechanical methods, </t>
  </si>
  <si>
    <t>without prior written permission of the publisher, except in the case of certain noncommercial uses permitted by copyright law.</t>
  </si>
  <si>
    <t>Analyst:</t>
  </si>
  <si>
    <t xml:space="preserve">ALI AMAAN </t>
  </si>
  <si>
    <t>MiM Finance - M1</t>
  </si>
  <si>
    <t>Financial Analysis &amp; Valuation</t>
  </si>
  <si>
    <t>Project</t>
  </si>
  <si>
    <t>Professor :</t>
  </si>
  <si>
    <t>BOUSTANIFAR Hamid; GIANFRATE Gianfranco</t>
  </si>
  <si>
    <t>TABLE OF CONTENTS</t>
  </si>
  <si>
    <t>FINANCIAL STATEMENTS</t>
  </si>
  <si>
    <t>BETA</t>
  </si>
  <si>
    <t>WACC</t>
  </si>
  <si>
    <t>EXPLANTIONS</t>
  </si>
  <si>
    <t>MULTIPLE VALUATION</t>
  </si>
  <si>
    <t>COMPARABLE COMPANY A</t>
  </si>
  <si>
    <t>COMPARABLE COMPANY B</t>
  </si>
  <si>
    <t>Ticker</t>
  </si>
  <si>
    <t>HSY</t>
  </si>
  <si>
    <t>Company</t>
  </si>
  <si>
    <t xml:space="preserve">Stock Price </t>
  </si>
  <si>
    <t>FINANCIAL STATEMENTS - USD ($) $ in Thousands</t>
  </si>
  <si>
    <t>From SEC Fillings</t>
  </si>
  <si>
    <t>Income Statement</t>
  </si>
  <si>
    <t>Vertical Analysis</t>
  </si>
  <si>
    <t>Average</t>
  </si>
  <si>
    <t>Net Sales</t>
  </si>
  <si>
    <t>Cost of Sales</t>
  </si>
  <si>
    <t>Gross Profit</t>
  </si>
  <si>
    <t>Expenses</t>
  </si>
  <si>
    <t>Selling, general and admistrative</t>
  </si>
  <si>
    <t>Long-lived and intangible asset impairment charges</t>
  </si>
  <si>
    <t>Business realignment costs</t>
  </si>
  <si>
    <t>Operating Profit</t>
  </si>
  <si>
    <t>Interest expense, net</t>
  </si>
  <si>
    <t>Other (income) expense, net</t>
  </si>
  <si>
    <t>Earnings Before Tax</t>
  </si>
  <si>
    <t>Provision for income taxes</t>
  </si>
  <si>
    <t>Net income including noncontrolling interest</t>
  </si>
  <si>
    <t>Net income (loss) attributable to noncontrolling interests</t>
  </si>
  <si>
    <t>Net income attributable to The Hershey Company</t>
  </si>
  <si>
    <t>Balance Sheet</t>
  </si>
  <si>
    <t>Historical Financial Ratios</t>
  </si>
  <si>
    <t>Current Assets</t>
  </si>
  <si>
    <t>Cash and cash equivalents</t>
  </si>
  <si>
    <t>Accounts receivable</t>
  </si>
  <si>
    <t xml:space="preserve">Receivables (days) </t>
  </si>
  <si>
    <t>Inventories</t>
  </si>
  <si>
    <t xml:space="preserve">Payables (days) </t>
  </si>
  <si>
    <t>Prepaid expenses and other</t>
  </si>
  <si>
    <t>Inventories (days)</t>
  </si>
  <si>
    <t>Non Current Assets</t>
  </si>
  <si>
    <t>Property, plant and equipment, net</t>
  </si>
  <si>
    <t>Goodwill</t>
  </si>
  <si>
    <t>Other intangibles</t>
  </si>
  <si>
    <t>Other non-current assets</t>
  </si>
  <si>
    <t>Deferred income taxes</t>
  </si>
  <si>
    <t>Total Assets</t>
  </si>
  <si>
    <t>Current Liabilities</t>
  </si>
  <si>
    <t>Accounts Payable</t>
  </si>
  <si>
    <t>Accrued liabilities</t>
  </si>
  <si>
    <t>Accrued income taxes</t>
  </si>
  <si>
    <t>Short-term debt</t>
  </si>
  <si>
    <t>Current portion of long-term debt</t>
  </si>
  <si>
    <t>Non- Current Liabilities</t>
  </si>
  <si>
    <t>Long-term debt</t>
  </si>
  <si>
    <t>Other long-term liabilities</t>
  </si>
  <si>
    <t>Total Liabilities</t>
  </si>
  <si>
    <t>Stockholders' equity</t>
  </si>
  <si>
    <t xml:space="preserve">Total long Term Capital </t>
  </si>
  <si>
    <t xml:space="preserve">Preferred stock </t>
  </si>
  <si>
    <t>share of equity</t>
  </si>
  <si>
    <t>Common stock, shares issued</t>
  </si>
  <si>
    <t>share of debt</t>
  </si>
  <si>
    <t>Class B common stock</t>
  </si>
  <si>
    <t>Additional paid-in capital</t>
  </si>
  <si>
    <t>Retained Earnings</t>
  </si>
  <si>
    <t>Treasury stock</t>
  </si>
  <si>
    <t>Accumulated other comprehensive loss</t>
  </si>
  <si>
    <t>Total—The Hershey Company stockholders’ equity</t>
  </si>
  <si>
    <t>Noncontrolling interest in subsidiary</t>
  </si>
  <si>
    <t>Total stockholders’ equity</t>
  </si>
  <si>
    <t>Total liabilities and stockholders’ equity</t>
  </si>
  <si>
    <t>Check</t>
  </si>
  <si>
    <t>Cash Flow Statement</t>
  </si>
  <si>
    <t>Operating Activities</t>
  </si>
  <si>
    <t>Adjustments to reconcile net income to net cash provided by operating activities</t>
  </si>
  <si>
    <t>Depreciation and amortization</t>
  </si>
  <si>
    <t>Stock-based compensation expense</t>
  </si>
  <si>
    <t xml:space="preserve">Impairment of long-lived and intangible assets </t>
  </si>
  <si>
    <t>Write-down of equity investments</t>
  </si>
  <si>
    <t>Other</t>
  </si>
  <si>
    <t>Changes in assets and liabilities, net of business acquisitions and divestitures</t>
  </si>
  <si>
    <t>Accounts receivable—trade, net</t>
  </si>
  <si>
    <t>Prepaid expenses and other current assets</t>
  </si>
  <si>
    <t>Accounts payable and accrued liabilities</t>
  </si>
  <si>
    <t>Contributions to pension and other benefit plans</t>
  </si>
  <si>
    <t>Other assets and liabilities</t>
  </si>
  <si>
    <t>Net cash provided by operating activities</t>
  </si>
  <si>
    <t>Investing Activities</t>
  </si>
  <si>
    <t>Capital additions (including software)</t>
  </si>
  <si>
    <t>Equity investments in tax credit qualifying partnerships</t>
  </si>
  <si>
    <t>Business acquisitions, net of cash and cash equivalents acquired</t>
  </si>
  <si>
    <t>Other investing activities</t>
  </si>
  <si>
    <t>Net cash used in investing activities</t>
  </si>
  <si>
    <t>Financing Activities</t>
  </si>
  <si>
    <t>Net increase (decrease) in short-term debt</t>
  </si>
  <si>
    <t>Long-term borrowings, net of debt issuance costs</t>
  </si>
  <si>
    <t>Repayment of long-term debt and finance leases</t>
  </si>
  <si>
    <t>Repayment of tax receivable obligation</t>
  </si>
  <si>
    <t>Cash dividends paid</t>
  </si>
  <si>
    <t>Repurchase of common stock</t>
  </si>
  <si>
    <t>Exercise of stock options</t>
  </si>
  <si>
    <t>Net cash used in financing activities</t>
  </si>
  <si>
    <t>Effect of exchange rate changes on cash and cash equivalents</t>
  </si>
  <si>
    <t>(Decrease) increase in cash and cash equivalents, including cash classified as held for sale</t>
  </si>
  <si>
    <t>Less: Decrease (increase) in cash and cash equivalents classified as held for sale</t>
  </si>
  <si>
    <t>Net (decrease) increase in cash and cash equivalents</t>
  </si>
  <si>
    <t>Cash and cash equivalents, beginning of period</t>
  </si>
  <si>
    <t>Cash and cash equivalents, end of period</t>
  </si>
  <si>
    <t>Supplemental Disclosure</t>
  </si>
  <si>
    <t>Interest paid</t>
  </si>
  <si>
    <t>Income taxes paid</t>
  </si>
  <si>
    <t>Beta Calculation</t>
  </si>
  <si>
    <t>HERSHEY</t>
  </si>
  <si>
    <t>S&amp;P</t>
  </si>
  <si>
    <t>Adjusted Close Price</t>
  </si>
  <si>
    <t xml:space="preserve">Returns </t>
  </si>
  <si>
    <t>Returns</t>
  </si>
  <si>
    <t>Beta</t>
  </si>
  <si>
    <t>MRP (expected return on a market portfolio and the risk-free rate)</t>
  </si>
  <si>
    <t>https://www.gurufocus.com/term/wacc/HSY/WACC-Percentage/HSY</t>
  </si>
  <si>
    <t>Risk free rate</t>
  </si>
  <si>
    <t>10 year treasury rate</t>
  </si>
  <si>
    <t>DEBT SCHEDULE</t>
  </si>
  <si>
    <t>from SEC fillings</t>
  </si>
  <si>
    <t>Long Term Debt Issued</t>
  </si>
  <si>
    <t>Maturity Date</t>
  </si>
  <si>
    <t>Value</t>
  </si>
  <si>
    <t>Interest ($)</t>
  </si>
  <si>
    <t>%</t>
  </si>
  <si>
    <t>Type</t>
  </si>
  <si>
    <t>May 1, 2023</t>
  </si>
  <si>
    <t>May 15, 2023</t>
  </si>
  <si>
    <t>November 15, 2024</t>
  </si>
  <si>
    <t>June 1, 2025</t>
  </si>
  <si>
    <t>August 21, 2025</t>
  </si>
  <si>
    <t>August 15, 2026</t>
  </si>
  <si>
    <t>Debentures</t>
  </si>
  <si>
    <t>August 15, 2027</t>
  </si>
  <si>
    <t>November 15, 2029</t>
  </si>
  <si>
    <t>June 1, 2030</t>
  </si>
  <si>
    <t>August 15, 2046</t>
  </si>
  <si>
    <t>November 15, 2049</t>
  </si>
  <si>
    <t>June 1, 2050</t>
  </si>
  <si>
    <t>Total</t>
  </si>
  <si>
    <t>Pre-Tax Cost of Debt</t>
  </si>
  <si>
    <t>Cost of Debt</t>
  </si>
  <si>
    <t>Cost of Equity</t>
  </si>
  <si>
    <t xml:space="preserve">% of Equity in Capital Structure </t>
  </si>
  <si>
    <t xml:space="preserve">% of Debt in Capital Structure </t>
  </si>
  <si>
    <t xml:space="preserve"> Forecast Period</t>
  </si>
  <si>
    <t>Assumptions</t>
  </si>
  <si>
    <t>Sales Growth (% Change)</t>
  </si>
  <si>
    <t>A</t>
  </si>
  <si>
    <t>Cost of Sales (% of Sales)</t>
  </si>
  <si>
    <t>B</t>
  </si>
  <si>
    <t>Selling, general and admistrative (% of Sales)</t>
  </si>
  <si>
    <t>C</t>
  </si>
  <si>
    <t>Depreciation &amp; Amortization (% of Sales)</t>
  </si>
  <si>
    <t>D</t>
  </si>
  <si>
    <t>E</t>
  </si>
  <si>
    <t>Interest (% of EBIT)</t>
  </si>
  <si>
    <t>F</t>
  </si>
  <si>
    <t>Other expense (% of EBIT)</t>
  </si>
  <si>
    <t>G</t>
  </si>
  <si>
    <t>Tax Rate (% of EBIT)</t>
  </si>
  <si>
    <t>H</t>
  </si>
  <si>
    <t>Capital Expenditures ($000's)</t>
  </si>
  <si>
    <t>I</t>
  </si>
  <si>
    <t>Accounts Receivable (Days)</t>
  </si>
  <si>
    <t>J</t>
  </si>
  <si>
    <t>Accounts Payable (Days)</t>
  </si>
  <si>
    <t>K</t>
  </si>
  <si>
    <t>L</t>
  </si>
  <si>
    <t>Days</t>
  </si>
  <si>
    <t>M</t>
  </si>
  <si>
    <t>Depreciation &amp; Amortization</t>
  </si>
  <si>
    <t>Income taxes</t>
  </si>
  <si>
    <t>Net Income</t>
  </si>
  <si>
    <t>Working Capital</t>
  </si>
  <si>
    <t>Working Capital Schedule</t>
  </si>
  <si>
    <t>Accounts Receivable</t>
  </si>
  <si>
    <t>Working Capital(AR and AP)</t>
  </si>
  <si>
    <t>Change in NWC</t>
  </si>
  <si>
    <t>DCF Model</t>
  </si>
  <si>
    <t>Tax Rate</t>
  </si>
  <si>
    <t>Discount Rate</t>
  </si>
  <si>
    <t>EV/EBITDA Mulltiple</t>
  </si>
  <si>
    <t>Current Price</t>
  </si>
  <si>
    <t>Shares Outstanding</t>
  </si>
  <si>
    <t>Discounted Cash Flow</t>
  </si>
  <si>
    <t>Exit</t>
  </si>
  <si>
    <t>Terminal Value</t>
  </si>
  <si>
    <t>EBIT</t>
  </si>
  <si>
    <t>EV/EBITDA multiple method</t>
  </si>
  <si>
    <t>Cash Taxes</t>
  </si>
  <si>
    <t>NOPAT</t>
  </si>
  <si>
    <t>Plus: D&amp;A</t>
  </si>
  <si>
    <t>EBITDA</t>
  </si>
  <si>
    <t>Capex</t>
  </si>
  <si>
    <t>Changes in NWC</t>
  </si>
  <si>
    <t>Unlevered FCFF</t>
  </si>
  <si>
    <t>Present Values</t>
  </si>
  <si>
    <t>Intrinsic Value</t>
  </si>
  <si>
    <t>Market Value</t>
  </si>
  <si>
    <t>Enterprise Value</t>
  </si>
  <si>
    <t>Market Cap</t>
  </si>
  <si>
    <t>Cash</t>
  </si>
  <si>
    <t>Debt</t>
  </si>
  <si>
    <t>Equity Value</t>
  </si>
  <si>
    <t>Equity Value/Share</t>
  </si>
  <si>
    <t>CMP</t>
  </si>
  <si>
    <t>Market Value vs Intrinsic Value</t>
  </si>
  <si>
    <t xml:space="preserve">Market Value </t>
  </si>
  <si>
    <t>Expected Gain/Loss</t>
  </si>
  <si>
    <t>Senstivity Analysis</t>
  </si>
  <si>
    <t>Terminal Value's Exit Multiple</t>
  </si>
  <si>
    <t>Assumptions and Explanation</t>
  </si>
  <si>
    <t>Assuming the growth rate to be 4.6% based on the average of the prior year's yearly net sales growth rate</t>
  </si>
  <si>
    <t xml:space="preserve">Correlation between average cost of sales and net sales </t>
  </si>
  <si>
    <t xml:space="preserve">Correlation between average cost of selling, general &amp;administrative and net sales </t>
  </si>
  <si>
    <t xml:space="preserve">Correlation between the average depriciation and amortization and net sales by the company </t>
  </si>
  <si>
    <t>* Depreciation and Amortization costs have been aportioned to cost of sales and selling, general and admistrative</t>
  </si>
  <si>
    <t xml:space="preserve">Correlation between the average business reallignment cost and net sales by the company </t>
  </si>
  <si>
    <t xml:space="preserve">Correlation between the average interest expense and net earnings by the company </t>
  </si>
  <si>
    <t xml:space="preserve">Correlation between the average other expense and net earnings by the company </t>
  </si>
  <si>
    <t xml:space="preserve">Assuming tax rate to be the average of historical tax provisions made by the company to the of historical net earnings by the company </t>
  </si>
  <si>
    <t>Assuming CAPEX to grow by 14% (CAGR)</t>
  </si>
  <si>
    <t>Assuming accounts receivable days to be the average of historical accounts receivable days</t>
  </si>
  <si>
    <t>Assuming accounts payable days to be the average of historical accounts payable days</t>
  </si>
  <si>
    <t>Assuming inventories days to be the average of historical inventories days</t>
  </si>
  <si>
    <t>Total no. of days in a year</t>
  </si>
  <si>
    <t>THE HERSHEY COMPANY</t>
  </si>
  <si>
    <t>Date</t>
  </si>
  <si>
    <t>Currency</t>
  </si>
  <si>
    <t>USD</t>
  </si>
  <si>
    <t>Comparable Companies</t>
  </si>
  <si>
    <t>Company Name</t>
  </si>
  <si>
    <t>Price</t>
  </si>
  <si>
    <t>EPS</t>
  </si>
  <si>
    <t>P/E</t>
  </si>
  <si>
    <t>EV/EBITDA</t>
  </si>
  <si>
    <t>Intrinsic Value via EV/EBIDTA</t>
  </si>
  <si>
    <t>Intrinsic Value via P/E</t>
  </si>
  <si>
    <t>Average EV/EBITDA of comparables</t>
  </si>
  <si>
    <t>Average P/E of comparables</t>
  </si>
  <si>
    <t>Implied Enterprise Value of THE HERSHEY COMPANY</t>
  </si>
  <si>
    <t>Diluted EPS</t>
  </si>
  <si>
    <t>Implied Equity Value</t>
  </si>
  <si>
    <t>Implied Price of Stock</t>
  </si>
  <si>
    <t>MDLZ</t>
  </si>
  <si>
    <t>FINANCIAL STATEMENTS - USD ($) $ in millions</t>
  </si>
  <si>
    <t>Q3 2021</t>
  </si>
  <si>
    <t>Q3 2022</t>
  </si>
  <si>
    <t>LTM</t>
  </si>
  <si>
    <t>FOR 9 MONTHS ENDED AS ON SEPT</t>
  </si>
  <si>
    <t>Asset impairment and exit costs</t>
  </si>
  <si>
    <t>Net gain on acquisition and divestitures</t>
  </si>
  <si>
    <t>Amortization of intangible assets</t>
  </si>
  <si>
    <t>Benefit plan non-service income</t>
  </si>
  <si>
    <t>Interest and other expense, net</t>
  </si>
  <si>
    <t>Income tax provision</t>
  </si>
  <si>
    <t>Gain/(loss) on equity method investment transactions</t>
  </si>
  <si>
    <t>Equity method investment net earnings</t>
  </si>
  <si>
    <t xml:space="preserve">Net income  </t>
  </si>
  <si>
    <t>Noncontrolling interest earnings</t>
  </si>
  <si>
    <t>Net earnings attributable to Mondelēz International</t>
  </si>
  <si>
    <t>Depreciation and Amortisation</t>
  </si>
  <si>
    <t>(This has been already aproportioned above, these vales are taken from notes)</t>
  </si>
  <si>
    <t>Other current assets</t>
  </si>
  <si>
    <t>Operating lease right of use assets</t>
  </si>
  <si>
    <t>Prepaid pension assets</t>
  </si>
  <si>
    <t>Equity method investments</t>
  </si>
  <si>
    <t>Other current liabilities</t>
  </si>
  <si>
    <t>Accrued pension &amp; postretirement healthcare costs</t>
  </si>
  <si>
    <t>Total—Mondelēz International, Inc. stockholders’ equity</t>
  </si>
  <si>
    <t>Diluted Shares</t>
  </si>
  <si>
    <t>(RSU + In the money Stock Options + Common Shares)</t>
  </si>
  <si>
    <t>Total Debt</t>
  </si>
  <si>
    <t>MARKET CAP/ NET INCOME</t>
  </si>
  <si>
    <t>EV/EBIT</t>
  </si>
  <si>
    <t>KHC</t>
  </si>
  <si>
    <t>Selling, general and administrative expenses, excluding impairment losses</t>
  </si>
  <si>
    <t>Goodwill impairment losses</t>
  </si>
  <si>
    <t>Intangible asset impairment losses</t>
  </si>
  <si>
    <t>Sub Total of expenses</t>
  </si>
  <si>
    <t>Interest expense</t>
  </si>
  <si>
    <t>Other expense/(income)</t>
  </si>
  <si>
    <t>Net earnings attributable to THE KRAFT HEINZ COMPANY</t>
  </si>
  <si>
    <t>Income taxes payable</t>
  </si>
  <si>
    <t>Interest Payable</t>
  </si>
  <si>
    <t>Redeemable noncontrolling interest</t>
  </si>
  <si>
    <t>Total—Kraft Heinz stockholders’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</si>
</sst>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0.00_);_(* \(#,##0.00\);_(* &quot;-&quot;??_);_(@_)"/>
    <numFmt numFmtId="164" formatCode="_-* #,##0.00_-;\-* #,##0.00_-;_-* &quot;-&quot;??_-;_-@_-"/>
    <numFmt numFmtId="165" formatCode="&quot;€&quot;#,##0.00;[Red]\-&quot;€&quot;#,##0.00"/>
    <numFmt numFmtId="166" formatCode="_-&quot;€&quot;* #,##0.00_-;\-&quot;€&quot;* #,##0.00_-;_-&quot;€&quot;* &quot;-&quot;??_-;_-@_-"/>
    <numFmt numFmtId="167" formatCode="_ * #,##0.00_ ;_ * \-#,##0.00_ ;_ * &quot;-&quot;??_ ;_ @_ "/>
    <numFmt numFmtId="168" formatCode="0.0\x"/>
    <numFmt numFmtId="169" formatCode="_-* #,##0_-;\(#,##0\)_-;_-* &quot;-&quot;_-;_-@_-"/>
    <numFmt numFmtId="170" formatCode="_(* #,##0_);_(* \(#,##0\);_(* &quot;-&quot;??_);_(@_)"/>
    <numFmt numFmtId="171" formatCode="_-* #,##0_-;\-* #,##0_-;_-* &quot;-&quot;??_-;_-@_-"/>
    <numFmt numFmtId="172" formatCode="0.0%"/>
    <numFmt numFmtId="173" formatCode="_-* #,##0.00_-;\(#,##0.00\)_-;_-* &quot;-&quot;_-;_-@_-"/>
    <numFmt numFmtId="174" formatCode="_(&quot;$ &quot;#,##0_);_(&quot;$ &quot;\(#,##0\)"/>
    <numFmt numFmtId="175" formatCode="0.000%"/>
    <numFmt numFmtId="176" formatCode="_([$$-409]* #,##0.00_);_([$$-409]* \(#,##0.00\);_([$$-409]* &quot;-&quot;??_);_(@_)"/>
    <numFmt numFmtId="177" formatCode="_-[$$-409]* #,##0.00_ ;_-[$$-409]* \-#,##0.00\ ;_-[$$-409]* &quot;-&quot;??_ ;_-@_ "/>
    <numFmt numFmtId="178" formatCode="#,##0.0000;\-#,##0.0000"/>
    <numFmt numFmtId="179" formatCode="0.0"/>
  </numFmts>
  <fonts count="62">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Arial Narrow"/>
      <family val="2"/>
    </font>
    <font>
      <sz val="11"/>
      <color theme="1"/>
      <name val="Arial Narrow"/>
      <family val="2"/>
    </font>
    <font>
      <b/>
      <sz val="13"/>
      <color indexed="8"/>
      <name val="Verdana"/>
      <family val="2"/>
    </font>
    <font>
      <b/>
      <sz val="12"/>
      <color indexed="8"/>
      <name val="Verdana"/>
      <family val="2"/>
    </font>
    <font>
      <b/>
      <sz val="10"/>
      <color indexed="9"/>
      <name val="Arial"/>
      <family val="2"/>
    </font>
    <font>
      <b/>
      <u val="singleAccounting"/>
      <sz val="8"/>
      <color indexed="8"/>
      <name val="Verdana"/>
      <family val="2"/>
    </font>
    <font>
      <b/>
      <sz val="8"/>
      <color indexed="9"/>
      <name val="Verdana"/>
      <family val="2"/>
    </font>
    <font>
      <b/>
      <u val="singleAccounting"/>
      <sz val="8"/>
      <color indexed="8"/>
      <name val="Arial"/>
      <family val="2"/>
    </font>
    <font>
      <sz val="8"/>
      <color indexed="8"/>
      <name val="Arial"/>
      <family val="2"/>
    </font>
    <font>
      <vertAlign val="superscript"/>
      <sz val="8"/>
      <color indexed="8"/>
      <name val="Arial"/>
      <family val="2"/>
    </font>
    <font>
      <vertAlign val="subscript"/>
      <sz val="8"/>
      <color indexed="8"/>
      <name val="Arial"/>
      <family val="2"/>
    </font>
    <font>
      <b/>
      <sz val="8"/>
      <color indexed="8"/>
      <name val="Arial"/>
      <family val="2"/>
    </font>
    <font>
      <i/>
      <sz val="8"/>
      <color indexed="8"/>
      <name val="Arial"/>
      <family val="2"/>
    </font>
    <font>
      <sz val="1"/>
      <color indexed="9"/>
      <name val="Symbol"/>
      <family val="1"/>
      <charset val="2"/>
    </font>
    <font>
      <sz val="10"/>
      <color indexed="8"/>
      <name val="Arial"/>
      <family val="2"/>
    </font>
    <font>
      <b/>
      <sz val="8"/>
      <color indexed="8"/>
      <name val="Verdana"/>
      <family val="2"/>
    </font>
    <font>
      <sz val="11"/>
      <color theme="0"/>
      <name val="Arial Narrow"/>
      <family val="2"/>
    </font>
    <font>
      <sz val="11"/>
      <color theme="1"/>
      <name val="Calibri"/>
      <family val="2"/>
      <scheme val="minor"/>
    </font>
    <font>
      <b/>
      <sz val="11"/>
      <color theme="1"/>
      <name val="Arial Narrow"/>
      <family val="2"/>
    </font>
    <font>
      <sz val="20"/>
      <color theme="1"/>
      <name val="Arial Narrow"/>
      <family val="2"/>
    </font>
    <font>
      <u/>
      <sz val="10"/>
      <color theme="10"/>
      <name val="Arial"/>
      <family val="2"/>
    </font>
    <font>
      <sz val="11"/>
      <color theme="2"/>
      <name val="Arial Narrow"/>
      <family val="2"/>
    </font>
    <font>
      <u/>
      <sz val="10"/>
      <color theme="2"/>
      <name val="Arial"/>
      <family val="2"/>
    </font>
    <font>
      <b/>
      <sz val="22"/>
      <color theme="1"/>
      <name val="Arial Narrow"/>
      <family val="2"/>
    </font>
    <font>
      <u/>
      <sz val="10"/>
      <color theme="1"/>
      <name val="Arial"/>
      <family val="2"/>
    </font>
    <font>
      <sz val="10"/>
      <name val="Arial"/>
      <family val="2"/>
    </font>
    <font>
      <sz val="10"/>
      <color theme="1"/>
      <name val="Arial"/>
      <family val="2"/>
    </font>
    <font>
      <b/>
      <sz val="10"/>
      <name val="Arial"/>
      <family val="2"/>
    </font>
    <font>
      <b/>
      <sz val="10"/>
      <color theme="0"/>
      <name val="Arial"/>
      <family val="2"/>
    </font>
    <font>
      <sz val="10"/>
      <color theme="0"/>
      <name val="Arial"/>
      <family val="2"/>
    </font>
    <font>
      <b/>
      <sz val="10"/>
      <color theme="1"/>
      <name val="Arial"/>
      <family val="2"/>
    </font>
    <font>
      <b/>
      <sz val="10"/>
      <color rgb="FF0000FF"/>
      <name val="Arial"/>
      <family val="2"/>
    </font>
    <font>
      <sz val="10"/>
      <color rgb="FF0000FF"/>
      <name val="Arial"/>
      <family val="2"/>
    </font>
    <font>
      <sz val="10"/>
      <color rgb="FF000000"/>
      <name val="Arial"/>
      <family val="2"/>
    </font>
    <font>
      <i/>
      <sz val="10"/>
      <color theme="1"/>
      <name val="Arial"/>
      <family val="2"/>
    </font>
    <font>
      <b/>
      <sz val="12"/>
      <color theme="1"/>
      <name val="Calibri"/>
      <family val="2"/>
      <scheme val="minor"/>
    </font>
    <font>
      <b/>
      <sz val="11"/>
      <color theme="1"/>
      <name val="Calibri"/>
      <family val="2"/>
      <scheme val="minor"/>
    </font>
    <font>
      <sz val="10"/>
      <color rgb="FF000000"/>
      <name val="Times New Roman"/>
      <family val="1"/>
    </font>
    <font>
      <b/>
      <sz val="16"/>
      <color theme="0"/>
      <name val="Arial"/>
      <family val="2"/>
    </font>
    <font>
      <sz val="10"/>
      <color rgb="FFFF0000"/>
      <name val="Arial"/>
      <family val="2"/>
    </font>
    <font>
      <sz val="10"/>
      <color rgb="FF000000"/>
      <name val="Helvetica Neue"/>
      <family val="2"/>
    </font>
    <font>
      <b/>
      <sz val="10"/>
      <color rgb="FF000000"/>
      <name val="Times New Roman"/>
      <family val="1"/>
    </font>
    <font>
      <u/>
      <sz val="11"/>
      <color theme="10"/>
      <name val="Calibri"/>
      <family val="2"/>
      <scheme val="minor"/>
    </font>
    <font>
      <sz val="11"/>
      <color rgb="FFC00000"/>
      <name val="Calibri"/>
      <family val="2"/>
      <scheme val="minor"/>
    </font>
    <font>
      <sz val="11"/>
      <color theme="1" tint="4.9989318521683403E-2"/>
      <name val="Calibri"/>
      <family val="2"/>
      <scheme val="minor"/>
    </font>
    <font>
      <b/>
      <sz val="11"/>
      <color rgb="FFC00000"/>
      <name val="Calibri"/>
      <family val="2"/>
      <scheme val="minor"/>
    </font>
    <font>
      <b/>
      <sz val="11"/>
      <color rgb="FF000000"/>
      <name val="Calibri"/>
      <family val="2"/>
      <scheme val="minor"/>
    </font>
    <font>
      <b/>
      <i/>
      <sz val="11"/>
      <color theme="1"/>
      <name val="Calibri"/>
      <family val="2"/>
      <scheme val="minor"/>
    </font>
    <font>
      <i/>
      <sz val="11"/>
      <color theme="1"/>
      <name val="Calibri"/>
      <family val="2"/>
      <scheme val="minor"/>
    </font>
    <font>
      <b/>
      <sz val="10"/>
      <color rgb="FFFF0000"/>
      <name val="Arial"/>
      <family val="2"/>
    </font>
    <font>
      <b/>
      <sz val="11"/>
      <color theme="1" tint="4.9989318521683403E-2"/>
      <name val="Calibri"/>
      <family val="2"/>
      <scheme val="minor"/>
    </font>
    <font>
      <sz val="10"/>
      <color theme="1" tint="4.9989318521683403E-2"/>
      <name val="Arial"/>
      <family val="2"/>
    </font>
    <font>
      <b/>
      <u/>
      <sz val="10"/>
      <color theme="2"/>
      <name val="Arial"/>
      <family val="2"/>
    </font>
    <font>
      <b/>
      <u/>
      <sz val="11"/>
      <color theme="2"/>
      <name val="Calibri"/>
      <family val="2"/>
      <scheme val="minor"/>
    </font>
    <font>
      <b/>
      <sz val="10"/>
      <color rgb="FF000000"/>
      <name val="Arial"/>
      <family val="2"/>
    </font>
    <font>
      <b/>
      <sz val="14"/>
      <name val="Arial"/>
      <family val="2"/>
    </font>
    <font>
      <sz val="10"/>
      <color rgb="FF00B050"/>
      <name val="Arial"/>
      <family val="2"/>
    </font>
    <font>
      <b/>
      <sz val="9"/>
      <name val="Arial"/>
      <family val="2"/>
    </font>
  </fonts>
  <fills count="19">
    <fill>
      <patternFill patternType="none"/>
    </fill>
    <fill>
      <patternFill patternType="gray125"/>
    </fill>
    <fill>
      <patternFill patternType="solid">
        <fgColor indexed="63"/>
        <bgColor indexed="64"/>
      </patternFill>
    </fill>
    <fill>
      <patternFill patternType="solid">
        <fgColor indexed="62"/>
        <bgColor indexed="64"/>
      </patternFill>
    </fill>
    <fill>
      <patternFill patternType="solid">
        <fgColor indexed="56"/>
        <bgColor indexed="64"/>
      </patternFill>
    </fill>
    <fill>
      <patternFill patternType="solid">
        <fgColor indexed="60"/>
        <bgColor indexed="64"/>
      </patternFill>
    </fill>
    <fill>
      <patternFill patternType="solid">
        <fgColor rgb="FFED942D"/>
        <bgColor indexed="64"/>
      </patternFill>
    </fill>
    <fill>
      <patternFill patternType="solid">
        <fgColor rgb="FF132E57"/>
        <bgColor indexed="64"/>
      </patternFill>
    </fill>
    <fill>
      <patternFill patternType="solid">
        <fgColor theme="0"/>
        <bgColor indexed="64"/>
      </patternFill>
    </fill>
    <fill>
      <patternFill patternType="solid">
        <fgColor theme="2" tint="0.39997558519241921"/>
        <bgColor indexed="64"/>
      </patternFill>
    </fill>
    <fill>
      <patternFill patternType="solid">
        <fgColor theme="2" tint="0.59999389629810485"/>
        <bgColor indexed="64"/>
      </patternFill>
    </fill>
    <fill>
      <patternFill patternType="solid">
        <fgColor rgb="FF0070C0"/>
        <bgColor indexed="64"/>
      </patternFill>
    </fill>
    <fill>
      <patternFill patternType="solid">
        <fgColor rgb="FFFFFFFF"/>
        <bgColor indexed="64"/>
      </patternFill>
    </fill>
    <fill>
      <patternFill patternType="solid">
        <fgColor theme="5" tint="0.39997558519241921"/>
        <bgColor indexed="64"/>
      </patternFill>
    </fill>
    <fill>
      <patternFill patternType="solid">
        <fgColor theme="8" tint="-0.499984740745262"/>
        <bgColor indexed="64"/>
      </patternFill>
    </fill>
    <fill>
      <patternFill patternType="solid">
        <fgColor rgb="FF7AA4E2"/>
        <bgColor indexed="64"/>
      </patternFill>
    </fill>
    <fill>
      <patternFill patternType="solid">
        <fgColor rgb="FF3876D3"/>
        <bgColor indexed="64"/>
      </patternFill>
    </fill>
    <fill>
      <patternFill patternType="solid">
        <fgColor theme="7" tint="0.79998168889431442"/>
        <bgColor indexed="64"/>
      </patternFill>
    </fill>
    <fill>
      <patternFill patternType="solid">
        <fgColor theme="5" tint="0.59999389629810485"/>
        <bgColor indexed="64"/>
      </patternFill>
    </fill>
  </fills>
  <borders count="19">
    <border>
      <left/>
      <right/>
      <top/>
      <bottom/>
      <diagonal/>
    </border>
    <border>
      <left/>
      <right/>
      <top style="thin">
        <color indexed="64"/>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double">
        <color indexed="64"/>
      </bottom>
      <diagonal/>
    </border>
    <border>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s>
  <cellStyleXfs count="40">
    <xf numFmtId="0" fontId="0" fillId="0" borderId="0"/>
    <xf numFmtId="0" fontId="6" fillId="0" borderId="0" applyAlignment="0"/>
    <xf numFmtId="0" fontId="7" fillId="0" borderId="0" applyAlignment="0"/>
    <xf numFmtId="0" fontId="8" fillId="2" borderId="0" applyAlignment="0"/>
    <xf numFmtId="0" fontId="9" fillId="3" borderId="0" applyAlignment="0"/>
    <xf numFmtId="0" fontId="10" fillId="4" borderId="0" applyAlignment="0"/>
    <xf numFmtId="0" fontId="11" fillId="5" borderId="0" applyAlignment="0"/>
    <xf numFmtId="0" fontId="12" fillId="0" borderId="0" applyAlignment="0"/>
    <xf numFmtId="0" fontId="13" fillId="0" borderId="0" applyAlignment="0"/>
    <xf numFmtId="0" fontId="14" fillId="0" borderId="0" applyAlignment="0"/>
    <xf numFmtId="0" fontId="15" fillId="0" borderId="0" applyAlignment="0"/>
    <xf numFmtId="0" fontId="16" fillId="0" borderId="0" applyAlignment="0"/>
    <xf numFmtId="0" fontId="15" fillId="0" borderId="0" applyAlignment="0">
      <alignment wrapText="1"/>
    </xf>
    <xf numFmtId="0" fontId="17" fillId="0" borderId="0" applyAlignment="0"/>
    <xf numFmtId="0" fontId="18" fillId="0" borderId="0" applyAlignment="0"/>
    <xf numFmtId="0" fontId="19" fillId="0" borderId="0" applyAlignment="0"/>
    <xf numFmtId="0" fontId="21" fillId="0" borderId="0"/>
    <xf numFmtId="164" fontId="21" fillId="0" borderId="0" applyFont="0" applyFill="0" applyBorder="0" applyAlignment="0" applyProtection="0"/>
    <xf numFmtId="9" fontId="21"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0" fontId="5" fillId="0" borderId="0"/>
    <xf numFmtId="0" fontId="24" fillId="0" borderId="0" applyNumberFormat="0" applyFill="0" applyBorder="0" applyAlignment="0" applyProtection="0"/>
    <xf numFmtId="164" fontId="3" fillId="0" borderId="0" applyFont="0" applyFill="0" applyBorder="0" applyAlignment="0" applyProtection="0"/>
    <xf numFmtId="9" fontId="3" fillId="0" borderId="0" applyFont="0" applyFill="0" applyBorder="0" applyAlignment="0" applyProtection="0"/>
    <xf numFmtId="0" fontId="3" fillId="0" borderId="0"/>
    <xf numFmtId="0" fontId="2" fillId="0" borderId="0"/>
    <xf numFmtId="0" fontId="24" fillId="0" borderId="0" applyNumberFormat="0" applyFill="0" applyBorder="0" applyAlignment="0" applyProtection="0"/>
    <xf numFmtId="0" fontId="1" fillId="0" borderId="0"/>
    <xf numFmtId="164" fontId="1" fillId="0" borderId="0" applyFont="0" applyFill="0" applyBorder="0" applyAlignment="0" applyProtection="0"/>
    <xf numFmtId="9" fontId="1" fillId="0" borderId="0" applyFont="0" applyFill="0" applyBorder="0" applyAlignment="0" applyProtection="0"/>
    <xf numFmtId="167" fontId="4" fillId="0" borderId="0" applyFont="0" applyFill="0" applyBorder="0" applyAlignment="0" applyProtection="0"/>
    <xf numFmtId="9" fontId="4" fillId="0" borderId="0" applyFont="0" applyFill="0" applyBorder="0" applyAlignment="0" applyProtection="0"/>
    <xf numFmtId="0" fontId="4" fillId="0" borderId="0"/>
    <xf numFmtId="164"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46" fillId="0" borderId="0" applyNumberFormat="0" applyFill="0" applyBorder="0" applyAlignment="0" applyProtection="0"/>
    <xf numFmtId="9" fontId="29" fillId="0" borderId="0" applyFont="0" applyFill="0" applyBorder="0" applyAlignment="0" applyProtection="0"/>
  </cellStyleXfs>
  <cellXfs count="359">
    <xf numFmtId="0" fontId="0" fillId="0" borderId="0" xfId="0"/>
    <xf numFmtId="0" fontId="4" fillId="6" borderId="0" xfId="16" applyFont="1" applyFill="1"/>
    <xf numFmtId="0" fontId="4" fillId="8" borderId="0" xfId="16" applyFont="1" applyFill="1"/>
    <xf numFmtId="0" fontId="23" fillId="8" borderId="0" xfId="16" applyFont="1" applyFill="1"/>
    <xf numFmtId="0" fontId="25" fillId="8" borderId="0" xfId="16" applyFont="1" applyFill="1"/>
    <xf numFmtId="0" fontId="26" fillId="8" borderId="0" xfId="22" applyFont="1" applyFill="1" applyBorder="1"/>
    <xf numFmtId="0" fontId="27" fillId="0" borderId="0" xfId="26" applyFont="1" applyProtection="1">
      <protection locked="0"/>
    </xf>
    <xf numFmtId="0" fontId="22" fillId="0" borderId="2" xfId="26" applyFont="1" applyBorder="1" applyProtection="1">
      <protection locked="0"/>
    </xf>
    <xf numFmtId="0" fontId="22" fillId="0" borderId="0" xfId="26" applyFont="1" applyAlignment="1">
      <alignment horizontal="right"/>
    </xf>
    <xf numFmtId="0" fontId="4" fillId="0" borderId="0" xfId="26" applyFont="1"/>
    <xf numFmtId="0" fontId="4" fillId="0" borderId="1" xfId="26" applyFont="1" applyBorder="1"/>
    <xf numFmtId="0" fontId="28" fillId="0" borderId="0" xfId="27" applyFont="1" applyFill="1" applyBorder="1"/>
    <xf numFmtId="0" fontId="20" fillId="7" borderId="0" xfId="26" applyFont="1" applyFill="1"/>
    <xf numFmtId="0" fontId="4" fillId="7" borderId="0" xfId="26" applyFont="1" applyFill="1"/>
    <xf numFmtId="0" fontId="4" fillId="8" borderId="0" xfId="26" applyFont="1" applyFill="1"/>
    <xf numFmtId="169" fontId="32" fillId="10" borderId="0" xfId="23" applyNumberFormat="1" applyFont="1" applyFill="1" applyBorder="1" applyProtection="1">
      <protection locked="0"/>
    </xf>
    <xf numFmtId="169" fontId="34" fillId="0" borderId="0" xfId="23" applyNumberFormat="1" applyFont="1" applyBorder="1" applyProtection="1">
      <protection locked="0"/>
    </xf>
    <xf numFmtId="169" fontId="34" fillId="0" borderId="0" xfId="23" applyNumberFormat="1" applyFont="1" applyProtection="1">
      <protection locked="0"/>
    </xf>
    <xf numFmtId="169" fontId="30" fillId="0" borderId="0" xfId="23" applyNumberFormat="1" applyFont="1" applyProtection="1">
      <protection locked="0"/>
    </xf>
    <xf numFmtId="169" fontId="30" fillId="0" borderId="0" xfId="23" applyNumberFormat="1" applyFont="1" applyBorder="1" applyProtection="1">
      <protection locked="0"/>
    </xf>
    <xf numFmtId="169" fontId="34" fillId="0" borderId="1" xfId="23" applyNumberFormat="1" applyFont="1" applyBorder="1" applyProtection="1">
      <protection locked="0"/>
    </xf>
    <xf numFmtId="10" fontId="34" fillId="8" borderId="0" xfId="23" applyNumberFormat="1" applyFont="1" applyFill="1" applyBorder="1" applyProtection="1">
      <protection locked="0"/>
    </xf>
    <xf numFmtId="169" fontId="36" fillId="0" borderId="0" xfId="23" applyNumberFormat="1" applyFont="1" applyProtection="1">
      <protection locked="0"/>
    </xf>
    <xf numFmtId="10" fontId="30" fillId="8" borderId="0" xfId="23" applyNumberFormat="1" applyFont="1" applyFill="1" applyBorder="1" applyProtection="1">
      <protection locked="0"/>
    </xf>
    <xf numFmtId="169" fontId="30" fillId="0" borderId="0" xfId="23" applyNumberFormat="1" applyFont="1" applyFill="1" applyBorder="1" applyProtection="1">
      <protection locked="0"/>
    </xf>
    <xf numFmtId="169" fontId="34" fillId="0" borderId="0" xfId="23" applyNumberFormat="1" applyFont="1" applyFill="1" applyBorder="1" applyProtection="1">
      <protection locked="0"/>
    </xf>
    <xf numFmtId="0" fontId="37" fillId="0" borderId="0" xfId="0" applyFont="1"/>
    <xf numFmtId="169" fontId="30" fillId="0" borderId="1" xfId="23" applyNumberFormat="1" applyFont="1" applyBorder="1" applyProtection="1">
      <protection locked="0"/>
    </xf>
    <xf numFmtId="169" fontId="30" fillId="0" borderId="0" xfId="23" applyNumberFormat="1" applyFont="1" applyAlignment="1" applyProtection="1">
      <alignment horizontal="center"/>
      <protection locked="0"/>
    </xf>
    <xf numFmtId="0" fontId="29" fillId="0" borderId="0" xfId="0" applyFont="1"/>
    <xf numFmtId="169" fontId="30" fillId="0" borderId="0" xfId="23" applyNumberFormat="1" applyFont="1" applyAlignment="1" applyProtection="1">
      <protection locked="0"/>
    </xf>
    <xf numFmtId="169" fontId="29" fillId="10" borderId="0" xfId="23" applyNumberFormat="1" applyFont="1" applyFill="1" applyBorder="1" applyProtection="1">
      <protection locked="0"/>
    </xf>
    <xf numFmtId="169" fontId="29" fillId="10" borderId="0" xfId="23" applyNumberFormat="1" applyFont="1" applyFill="1" applyBorder="1" applyAlignment="1" applyProtection="1">
      <alignment horizontal="center"/>
      <protection locked="0"/>
    </xf>
    <xf numFmtId="169" fontId="36" fillId="0" borderId="0" xfId="23" applyNumberFormat="1" applyFont="1" applyFill="1" applyProtection="1">
      <protection locked="0"/>
    </xf>
    <xf numFmtId="169" fontId="34" fillId="0" borderId="2" xfId="23" applyNumberFormat="1" applyFont="1" applyBorder="1" applyProtection="1">
      <protection locked="0"/>
    </xf>
    <xf numFmtId="169" fontId="30" fillId="0" borderId="2" xfId="23" applyNumberFormat="1" applyFont="1" applyBorder="1" applyProtection="1">
      <protection locked="0"/>
    </xf>
    <xf numFmtId="169" fontId="36" fillId="0" borderId="2" xfId="23" applyNumberFormat="1" applyFont="1" applyFill="1" applyBorder="1" applyProtection="1">
      <protection locked="0"/>
    </xf>
    <xf numFmtId="172" fontId="36" fillId="0" borderId="0" xfId="23" applyNumberFormat="1" applyFont="1" applyFill="1" applyProtection="1">
      <protection locked="0"/>
    </xf>
    <xf numFmtId="0" fontId="30" fillId="0" borderId="0" xfId="23" applyNumberFormat="1" applyFont="1" applyBorder="1" applyProtection="1">
      <protection locked="0"/>
    </xf>
    <xf numFmtId="169" fontId="38" fillId="0" borderId="0" xfId="23" applyNumberFormat="1" applyFont="1" applyBorder="1" applyProtection="1">
      <protection locked="0"/>
    </xf>
    <xf numFmtId="169" fontId="31" fillId="0" borderId="0" xfId="23" applyNumberFormat="1" applyFont="1" applyBorder="1" applyProtection="1">
      <protection locked="0"/>
    </xf>
    <xf numFmtId="169" fontId="34" fillId="0" borderId="0" xfId="23" applyNumberFormat="1" applyFont="1" applyAlignment="1" applyProtection="1">
      <alignment horizontal="center"/>
      <protection locked="0"/>
    </xf>
    <xf numFmtId="9" fontId="35" fillId="0" borderId="0" xfId="24" applyFont="1" applyBorder="1" applyProtection="1">
      <protection locked="0"/>
    </xf>
    <xf numFmtId="169" fontId="34" fillId="0" borderId="1" xfId="23" applyNumberFormat="1" applyFont="1" applyFill="1" applyBorder="1" applyProtection="1">
      <protection locked="0"/>
    </xf>
    <xf numFmtId="169" fontId="29" fillId="0" borderId="0" xfId="23" applyNumberFormat="1" applyFont="1" applyBorder="1" applyProtection="1">
      <protection locked="0"/>
    </xf>
    <xf numFmtId="170" fontId="30" fillId="0" borderId="0" xfId="23" applyNumberFormat="1" applyFont="1" applyFill="1" applyProtection="1">
      <protection locked="0"/>
    </xf>
    <xf numFmtId="169" fontId="30" fillId="0" borderId="0" xfId="23" applyNumberFormat="1" applyFont="1" applyProtection="1"/>
    <xf numFmtId="169" fontId="34" fillId="0" borderId="2" xfId="23" applyNumberFormat="1" applyFont="1" applyBorder="1" applyAlignment="1" applyProtection="1">
      <alignment horizontal="center"/>
      <protection locked="0"/>
    </xf>
    <xf numFmtId="169" fontId="31" fillId="0" borderId="0" xfId="23" applyNumberFormat="1" applyFont="1" applyProtection="1">
      <protection locked="0"/>
    </xf>
    <xf numFmtId="169" fontId="29" fillId="0" borderId="1" xfId="23" applyNumberFormat="1" applyFont="1" applyBorder="1" applyProtection="1">
      <protection locked="0"/>
    </xf>
    <xf numFmtId="169" fontId="36" fillId="0" borderId="1" xfId="23" applyNumberFormat="1" applyFont="1" applyBorder="1" applyProtection="1">
      <protection locked="0"/>
    </xf>
    <xf numFmtId="9" fontId="36" fillId="0" borderId="0" xfId="24" applyFont="1" applyBorder="1" applyAlignment="1" applyProtection="1">
      <alignment horizontal="right"/>
      <protection locked="0"/>
    </xf>
    <xf numFmtId="169" fontId="29" fillId="0" borderId="0" xfId="23" applyNumberFormat="1" applyFont="1" applyProtection="1">
      <protection locked="0"/>
    </xf>
    <xf numFmtId="9" fontId="36" fillId="0" borderId="0" xfId="24" applyFont="1" applyAlignment="1" applyProtection="1">
      <alignment horizontal="right"/>
      <protection locked="0"/>
    </xf>
    <xf numFmtId="0" fontId="30" fillId="0" borderId="0" xfId="25" applyFont="1" applyProtection="1">
      <protection locked="0"/>
    </xf>
    <xf numFmtId="168" fontId="36" fillId="0" borderId="0" xfId="23" applyNumberFormat="1" applyFont="1" applyAlignment="1" applyProtection="1">
      <alignment horizontal="right"/>
      <protection locked="0"/>
    </xf>
    <xf numFmtId="164" fontId="36" fillId="0" borderId="0" xfId="23" applyFont="1" applyAlignment="1" applyProtection="1">
      <alignment horizontal="right"/>
      <protection locked="0"/>
    </xf>
    <xf numFmtId="171" fontId="36" fillId="0" borderId="0" xfId="23" applyNumberFormat="1" applyFont="1" applyAlignment="1" applyProtection="1">
      <alignment horizontal="right"/>
      <protection locked="0"/>
    </xf>
    <xf numFmtId="14" fontId="36" fillId="0" borderId="0" xfId="23" applyNumberFormat="1" applyFont="1" applyBorder="1" applyProtection="1">
      <protection locked="0"/>
    </xf>
    <xf numFmtId="169" fontId="34" fillId="0" borderId="0" xfId="23" applyNumberFormat="1" applyFont="1" applyFill="1" applyBorder="1" applyAlignment="1" applyProtection="1">
      <alignment horizontal="right"/>
      <protection locked="0"/>
    </xf>
    <xf numFmtId="0" fontId="34" fillId="0" borderId="0" xfId="23" applyNumberFormat="1" applyFont="1" applyFill="1" applyBorder="1" applyAlignment="1" applyProtection="1">
      <alignment horizontal="right"/>
      <protection locked="0"/>
    </xf>
    <xf numFmtId="170" fontId="30" fillId="0" borderId="1" xfId="23" applyNumberFormat="1" applyFont="1" applyBorder="1" applyProtection="1">
      <protection locked="0"/>
    </xf>
    <xf numFmtId="170" fontId="30" fillId="0" borderId="0" xfId="23" applyNumberFormat="1" applyFont="1" applyBorder="1" applyProtection="1">
      <protection locked="0"/>
    </xf>
    <xf numFmtId="173" fontId="38" fillId="0" borderId="0" xfId="23" applyNumberFormat="1" applyFont="1" applyBorder="1" applyProtection="1">
      <protection locked="0"/>
    </xf>
    <xf numFmtId="169" fontId="31" fillId="0" borderId="0" xfId="23" applyNumberFormat="1" applyFont="1" applyFill="1" applyBorder="1" applyProtection="1">
      <protection locked="0"/>
    </xf>
    <xf numFmtId="169" fontId="29" fillId="0" borderId="0" xfId="23" applyNumberFormat="1" applyFont="1" applyFill="1" applyBorder="1" applyProtection="1">
      <protection locked="0"/>
    </xf>
    <xf numFmtId="9" fontId="29" fillId="0" borderId="0" xfId="24" applyFont="1" applyFill="1" applyBorder="1" applyProtection="1">
      <protection locked="0"/>
    </xf>
    <xf numFmtId="169" fontId="29" fillId="0" borderId="1" xfId="23" applyNumberFormat="1" applyFont="1" applyFill="1" applyBorder="1" applyProtection="1">
      <protection locked="0"/>
    </xf>
    <xf numFmtId="164" fontId="29" fillId="0" borderId="0" xfId="24" applyNumberFormat="1" applyFont="1" applyFill="1" applyBorder="1" applyProtection="1">
      <protection locked="0"/>
    </xf>
    <xf numFmtId="164" fontId="29" fillId="0" borderId="0" xfId="23" applyFont="1" applyFill="1" applyBorder="1" applyProtection="1">
      <protection locked="0"/>
    </xf>
    <xf numFmtId="0" fontId="29" fillId="0" borderId="0" xfId="0" applyFont="1" applyAlignment="1">
      <alignment vertical="top" wrapText="1"/>
    </xf>
    <xf numFmtId="37" fontId="29" fillId="0" borderId="0" xfId="0" applyNumberFormat="1" applyFont="1"/>
    <xf numFmtId="37" fontId="29" fillId="8" borderId="0" xfId="0" applyNumberFormat="1" applyFont="1" applyFill="1"/>
    <xf numFmtId="37" fontId="32" fillId="10" borderId="0" xfId="23" applyNumberFormat="1" applyFont="1" applyFill="1" applyBorder="1" applyProtection="1">
      <protection locked="0"/>
    </xf>
    <xf numFmtId="37" fontId="29" fillId="8" borderId="0" xfId="23" applyNumberFormat="1" applyFont="1" applyFill="1" applyBorder="1" applyProtection="1">
      <protection locked="0"/>
    </xf>
    <xf numFmtId="37" fontId="34" fillId="0" borderId="0" xfId="23" applyNumberFormat="1" applyFont="1" applyBorder="1" applyProtection="1">
      <protection locked="0"/>
    </xf>
    <xf numFmtId="37" fontId="34" fillId="8" borderId="0" xfId="23" applyNumberFormat="1" applyFont="1" applyFill="1" applyBorder="1" applyProtection="1">
      <protection locked="0"/>
    </xf>
    <xf numFmtId="37" fontId="34" fillId="0" borderId="0" xfId="23" applyNumberFormat="1" applyFont="1" applyProtection="1">
      <protection locked="0"/>
    </xf>
    <xf numFmtId="37" fontId="30" fillId="0" borderId="0" xfId="23" applyNumberFormat="1" applyFont="1" applyProtection="1">
      <protection locked="0"/>
    </xf>
    <xf numFmtId="37" fontId="30" fillId="0" borderId="0" xfId="23" applyNumberFormat="1" applyFont="1" applyBorder="1" applyProtection="1">
      <protection locked="0"/>
    </xf>
    <xf numFmtId="37" fontId="36" fillId="0" borderId="0" xfId="0" applyNumberFormat="1" applyFont="1"/>
    <xf numFmtId="37" fontId="36" fillId="0" borderId="0" xfId="23" applyNumberFormat="1" applyFont="1" applyBorder="1" applyProtection="1">
      <protection locked="0"/>
    </xf>
    <xf numFmtId="37" fontId="30" fillId="8" borderId="0" xfId="23" applyNumberFormat="1" applyFont="1" applyFill="1" applyBorder="1" applyProtection="1">
      <protection locked="0"/>
    </xf>
    <xf numFmtId="37" fontId="36" fillId="0" borderId="0" xfId="23" applyNumberFormat="1" applyFont="1" applyProtection="1">
      <protection locked="0"/>
    </xf>
    <xf numFmtId="37" fontId="34" fillId="0" borderId="3" xfId="23" applyNumberFormat="1" applyFont="1" applyBorder="1" applyProtection="1">
      <protection locked="0"/>
    </xf>
    <xf numFmtId="37" fontId="29" fillId="0" borderId="0" xfId="23" applyNumberFormat="1" applyFont="1" applyFill="1" applyBorder="1" applyProtection="1">
      <protection locked="0"/>
    </xf>
    <xf numFmtId="37" fontId="30" fillId="0" borderId="0" xfId="23" applyNumberFormat="1" applyFont="1" applyFill="1" applyBorder="1" applyProtection="1">
      <protection locked="0"/>
    </xf>
    <xf numFmtId="37" fontId="29" fillId="0" borderId="0" xfId="0" applyNumberFormat="1" applyFont="1" applyAlignment="1">
      <alignment vertical="top" wrapText="1"/>
    </xf>
    <xf numFmtId="37" fontId="34" fillId="0" borderId="0" xfId="23" applyNumberFormat="1" applyFont="1" applyFill="1" applyBorder="1" applyProtection="1">
      <protection locked="0"/>
    </xf>
    <xf numFmtId="37" fontId="36" fillId="12" borderId="0" xfId="0" applyNumberFormat="1" applyFont="1" applyFill="1" applyAlignment="1">
      <alignment wrapText="1"/>
    </xf>
    <xf numFmtId="37" fontId="37" fillId="12" borderId="0" xfId="0" applyNumberFormat="1" applyFont="1" applyFill="1" applyAlignment="1">
      <alignment wrapText="1"/>
    </xf>
    <xf numFmtId="37" fontId="37" fillId="0" borderId="0" xfId="0" applyNumberFormat="1" applyFont="1"/>
    <xf numFmtId="37" fontId="36" fillId="0" borderId="0" xfId="23" applyNumberFormat="1" applyFont="1" applyFill="1" applyProtection="1">
      <protection locked="0"/>
    </xf>
    <xf numFmtId="37" fontId="30" fillId="0" borderId="3" xfId="23" applyNumberFormat="1" applyFont="1" applyBorder="1" applyProtection="1">
      <protection locked="0"/>
    </xf>
    <xf numFmtId="37" fontId="38" fillId="0" borderId="0" xfId="23" applyNumberFormat="1" applyFont="1" applyProtection="1">
      <protection locked="0"/>
    </xf>
    <xf numFmtId="37" fontId="38" fillId="0" borderId="0" xfId="23" applyNumberFormat="1" applyFont="1" applyFill="1" applyBorder="1" applyProtection="1">
      <protection locked="0"/>
    </xf>
    <xf numFmtId="37" fontId="38" fillId="8" borderId="0" xfId="23" applyNumberFormat="1" applyFont="1" applyFill="1" applyBorder="1" applyProtection="1">
      <protection locked="0"/>
    </xf>
    <xf numFmtId="37" fontId="30" fillId="0" borderId="0" xfId="23" applyNumberFormat="1" applyFont="1" applyBorder="1" applyAlignment="1" applyProtection="1">
      <alignment horizontal="center"/>
      <protection locked="0"/>
    </xf>
    <xf numFmtId="37" fontId="31" fillId="0" borderId="0" xfId="0" applyNumberFormat="1" applyFont="1"/>
    <xf numFmtId="37" fontId="31" fillId="0" borderId="3" xfId="0" applyNumberFormat="1" applyFont="1" applyBorder="1" applyAlignment="1">
      <alignment vertical="top" wrapText="1"/>
    </xf>
    <xf numFmtId="37" fontId="36" fillId="0" borderId="0" xfId="0" applyNumberFormat="1" applyFont="1" applyAlignment="1">
      <alignment horizontal="right" vertical="top"/>
    </xf>
    <xf numFmtId="37" fontId="29" fillId="0" borderId="0" xfId="0" applyNumberFormat="1" applyFont="1" applyAlignment="1">
      <alignment horizontal="center"/>
    </xf>
    <xf numFmtId="0" fontId="31" fillId="0" borderId="3" xfId="0" applyFont="1" applyBorder="1" applyAlignment="1">
      <alignment vertical="top" wrapText="1"/>
    </xf>
    <xf numFmtId="174" fontId="31" fillId="0" borderId="3" xfId="0" applyNumberFormat="1" applyFont="1" applyBorder="1" applyAlignment="1">
      <alignment horizontal="right" vertical="top"/>
    </xf>
    <xf numFmtId="3" fontId="0" fillId="0" borderId="0" xfId="0" applyNumberFormat="1"/>
    <xf numFmtId="37" fontId="31" fillId="0" borderId="0" xfId="0" applyNumberFormat="1" applyFont="1" applyAlignment="1">
      <alignment horizontal="right" vertical="top"/>
    </xf>
    <xf numFmtId="37" fontId="29" fillId="0" borderId="4" xfId="0" applyNumberFormat="1" applyFont="1" applyBorder="1"/>
    <xf numFmtId="37" fontId="30" fillId="0" borderId="4" xfId="0" applyNumberFormat="1" applyFont="1" applyBorder="1" applyAlignment="1">
      <alignment horizontal="right" vertical="top"/>
    </xf>
    <xf numFmtId="10" fontId="31" fillId="0" borderId="0" xfId="0" applyNumberFormat="1" applyFont="1"/>
    <xf numFmtId="37" fontId="32" fillId="10" borderId="0" xfId="23" applyNumberFormat="1" applyFont="1" applyFill="1" applyBorder="1" applyAlignment="1" applyProtection="1">
      <alignment horizontal="center"/>
      <protection locked="0"/>
    </xf>
    <xf numFmtId="0" fontId="32" fillId="11" borderId="0" xfId="0" applyFont="1" applyFill="1" applyAlignment="1">
      <alignment horizontal="center"/>
    </xf>
    <xf numFmtId="37" fontId="30" fillId="0" borderId="0" xfId="23" applyNumberFormat="1" applyFont="1" applyFill="1" applyBorder="1" applyAlignment="1" applyProtection="1">
      <alignment horizontal="center"/>
      <protection locked="0"/>
    </xf>
    <xf numFmtId="37" fontId="32" fillId="0" borderId="0" xfId="23" applyNumberFormat="1" applyFont="1" applyFill="1" applyBorder="1" applyAlignment="1" applyProtection="1">
      <alignment horizontal="center"/>
      <protection locked="0"/>
    </xf>
    <xf numFmtId="10" fontId="30" fillId="0" borderId="0" xfId="23" applyNumberFormat="1" applyFont="1" applyFill="1" applyBorder="1" applyAlignment="1" applyProtection="1">
      <alignment horizontal="center"/>
      <protection locked="0"/>
    </xf>
    <xf numFmtId="10" fontId="34" fillId="0" borderId="0" xfId="23" applyNumberFormat="1" applyFont="1" applyFill="1" applyBorder="1" applyAlignment="1" applyProtection="1">
      <alignment horizontal="center"/>
      <protection locked="0"/>
    </xf>
    <xf numFmtId="37" fontId="34" fillId="0" borderId="0" xfId="23" applyNumberFormat="1" applyFont="1" applyFill="1" applyBorder="1" applyAlignment="1" applyProtection="1">
      <alignment horizontal="center"/>
      <protection locked="0"/>
    </xf>
    <xf numFmtId="0" fontId="24" fillId="0" borderId="0" xfId="22"/>
    <xf numFmtId="0" fontId="1" fillId="0" borderId="0" xfId="37"/>
    <xf numFmtId="0" fontId="41" fillId="0" borderId="0" xfId="0" applyFont="1"/>
    <xf numFmtId="37" fontId="32" fillId="0" borderId="0" xfId="0" applyNumberFormat="1" applyFont="1" applyAlignment="1">
      <alignment horizontal="center"/>
    </xf>
    <xf numFmtId="37" fontId="34" fillId="0" borderId="4" xfId="0" applyNumberFormat="1" applyFont="1" applyBorder="1" applyAlignment="1">
      <alignment vertical="top" wrapText="1"/>
    </xf>
    <xf numFmtId="37" fontId="32" fillId="0" borderId="0" xfId="23" applyNumberFormat="1" applyFont="1" applyFill="1" applyBorder="1" applyProtection="1">
      <protection locked="0"/>
    </xf>
    <xf numFmtId="0" fontId="31" fillId="0" borderId="0" xfId="0" applyFont="1" applyAlignment="1">
      <alignment vertical="top" wrapText="1"/>
    </xf>
    <xf numFmtId="37" fontId="31" fillId="0" borderId="0" xfId="0" applyNumberFormat="1" applyFont="1" applyAlignment="1">
      <alignment vertical="top" wrapText="1"/>
    </xf>
    <xf numFmtId="37" fontId="34" fillId="0" borderId="0" xfId="0" applyNumberFormat="1" applyFont="1" applyAlignment="1">
      <alignment vertical="top" wrapText="1"/>
    </xf>
    <xf numFmtId="37" fontId="38" fillId="0" borderId="0" xfId="23" applyNumberFormat="1" applyFont="1" applyBorder="1" applyProtection="1">
      <protection locked="0"/>
    </xf>
    <xf numFmtId="37" fontId="30" fillId="0" borderId="0" xfId="0" applyNumberFormat="1" applyFont="1"/>
    <xf numFmtId="37" fontId="30" fillId="0" borderId="0" xfId="0" applyNumberFormat="1" applyFont="1" applyAlignment="1">
      <alignment horizontal="right" vertical="top"/>
    </xf>
    <xf numFmtId="37" fontId="34" fillId="0" borderId="3" xfId="0" applyNumberFormat="1" applyFont="1" applyBorder="1"/>
    <xf numFmtId="37" fontId="34" fillId="0" borderId="3" xfId="0" applyNumberFormat="1" applyFont="1" applyBorder="1" applyAlignment="1">
      <alignment horizontal="right" vertical="top"/>
    </xf>
    <xf numFmtId="37" fontId="35" fillId="0" borderId="0" xfId="0" applyNumberFormat="1" applyFont="1" applyAlignment="1">
      <alignment horizontal="right" vertical="top"/>
    </xf>
    <xf numFmtId="169" fontId="32" fillId="10" borderId="0" xfId="23" applyNumberFormat="1" applyFont="1" applyFill="1" applyBorder="1" applyAlignment="1" applyProtection="1">
      <alignment wrapText="1"/>
      <protection locked="0"/>
    </xf>
    <xf numFmtId="169" fontId="34" fillId="0" borderId="0" xfId="23" applyNumberFormat="1" applyFont="1" applyBorder="1" applyAlignment="1" applyProtection="1">
      <alignment wrapText="1"/>
      <protection locked="0"/>
    </xf>
    <xf numFmtId="37" fontId="34" fillId="0" borderId="0" xfId="23" applyNumberFormat="1" applyFont="1" applyAlignment="1" applyProtection="1">
      <alignment wrapText="1"/>
      <protection locked="0"/>
    </xf>
    <xf numFmtId="37" fontId="30" fillId="0" borderId="0" xfId="23" applyNumberFormat="1" applyFont="1" applyBorder="1" applyAlignment="1" applyProtection="1">
      <alignment wrapText="1"/>
      <protection locked="0"/>
    </xf>
    <xf numFmtId="37" fontId="34" fillId="0" borderId="3" xfId="23" applyNumberFormat="1" applyFont="1" applyBorder="1" applyAlignment="1" applyProtection="1">
      <alignment wrapText="1"/>
      <protection locked="0"/>
    </xf>
    <xf numFmtId="37" fontId="34" fillId="0" borderId="0" xfId="23" applyNumberFormat="1" applyFont="1" applyBorder="1" applyAlignment="1" applyProtection="1">
      <alignment wrapText="1"/>
      <protection locked="0"/>
    </xf>
    <xf numFmtId="169" fontId="33" fillId="0" borderId="0" xfId="23" applyNumberFormat="1" applyFont="1" applyFill="1" applyAlignment="1" applyProtection="1">
      <alignment horizontal="centerContinuous"/>
      <protection locked="0"/>
    </xf>
    <xf numFmtId="37" fontId="33" fillId="9" borderId="0" xfId="23" applyNumberFormat="1" applyFont="1" applyFill="1" applyBorder="1" applyProtection="1">
      <protection locked="0"/>
    </xf>
    <xf numFmtId="37" fontId="34" fillId="9" borderId="0" xfId="23" applyNumberFormat="1" applyFont="1" applyFill="1" applyBorder="1" applyAlignment="1" applyProtection="1">
      <protection locked="0"/>
    </xf>
    <xf numFmtId="0" fontId="0" fillId="0" borderId="5" xfId="0" applyBorder="1"/>
    <xf numFmtId="4" fontId="0" fillId="0" borderId="5" xfId="0" applyNumberFormat="1" applyBorder="1"/>
    <xf numFmtId="9" fontId="0" fillId="0" borderId="0" xfId="0" applyNumberFormat="1"/>
    <xf numFmtId="0" fontId="28" fillId="0" borderId="0" xfId="22" applyFont="1" applyBorder="1"/>
    <xf numFmtId="177" fontId="29" fillId="0" borderId="0" xfId="0" applyNumberFormat="1" applyFont="1" applyAlignment="1">
      <alignment vertical="top"/>
    </xf>
    <xf numFmtId="10" fontId="0" fillId="0" borderId="2" xfId="0" applyNumberFormat="1" applyBorder="1"/>
    <xf numFmtId="0" fontId="0" fillId="0" borderId="2" xfId="0" applyBorder="1"/>
    <xf numFmtId="0" fontId="0" fillId="0" borderId="11" xfId="0" applyBorder="1"/>
    <xf numFmtId="0" fontId="0" fillId="0" borderId="12" xfId="0" applyBorder="1"/>
    <xf numFmtId="177" fontId="29" fillId="0" borderId="11" xfId="0" applyNumberFormat="1" applyFont="1" applyBorder="1" applyAlignment="1">
      <alignment vertical="top"/>
    </xf>
    <xf numFmtId="37" fontId="31" fillId="0" borderId="13" xfId="0" applyNumberFormat="1" applyFont="1" applyBorder="1"/>
    <xf numFmtId="37" fontId="31" fillId="0" borderId="14" xfId="0" applyNumberFormat="1" applyFont="1" applyBorder="1"/>
    <xf numFmtId="0" fontId="31" fillId="0" borderId="14" xfId="0" applyFont="1" applyBorder="1"/>
    <xf numFmtId="0" fontId="31" fillId="0" borderId="15" xfId="0" applyFont="1" applyBorder="1"/>
    <xf numFmtId="10" fontId="36" fillId="0" borderId="1" xfId="24" applyNumberFormat="1" applyFont="1" applyBorder="1" applyAlignment="1" applyProtection="1">
      <alignment horizontal="right"/>
      <protection locked="0"/>
    </xf>
    <xf numFmtId="10" fontId="34" fillId="8" borderId="1" xfId="23" applyNumberFormat="1" applyFont="1" applyFill="1" applyBorder="1" applyProtection="1">
      <protection locked="0"/>
    </xf>
    <xf numFmtId="174" fontId="31" fillId="0" borderId="0" xfId="0" applyNumberFormat="1" applyFont="1" applyAlignment="1">
      <alignment horizontal="right" vertical="top"/>
    </xf>
    <xf numFmtId="175" fontId="29" fillId="0" borderId="0" xfId="0" applyNumberFormat="1" applyFont="1"/>
    <xf numFmtId="169" fontId="43" fillId="0" borderId="0" xfId="23" applyNumberFormat="1" applyFont="1" applyProtection="1">
      <protection locked="0"/>
    </xf>
    <xf numFmtId="171" fontId="31" fillId="0" borderId="3" xfId="0" applyNumberFormat="1" applyFont="1" applyBorder="1" applyAlignment="1">
      <alignment vertical="top" wrapText="1"/>
    </xf>
    <xf numFmtId="0" fontId="29" fillId="0" borderId="0" xfId="0" applyFont="1" applyAlignment="1">
      <alignment vertical="top"/>
    </xf>
    <xf numFmtId="0" fontId="44" fillId="0" borderId="0" xfId="0" applyFont="1"/>
    <xf numFmtId="0" fontId="45" fillId="0" borderId="0" xfId="0" applyFont="1"/>
    <xf numFmtId="3" fontId="41" fillId="0" borderId="0" xfId="0" applyNumberFormat="1" applyFont="1"/>
    <xf numFmtId="3" fontId="44" fillId="0" borderId="0" xfId="0" applyNumberFormat="1" applyFont="1"/>
    <xf numFmtId="10" fontId="44" fillId="0" borderId="0" xfId="0" applyNumberFormat="1" applyFont="1"/>
    <xf numFmtId="2" fontId="30" fillId="0" borderId="0" xfId="23" applyNumberFormat="1" applyFont="1" applyFill="1" applyBorder="1" applyProtection="1">
      <protection locked="0"/>
    </xf>
    <xf numFmtId="2" fontId="38" fillId="0" borderId="0" xfId="23" applyNumberFormat="1" applyFont="1" applyFill="1" applyBorder="1" applyProtection="1">
      <protection locked="0"/>
    </xf>
    <xf numFmtId="169" fontId="30" fillId="8" borderId="0" xfId="23" applyNumberFormat="1" applyFont="1" applyFill="1" applyBorder="1" applyAlignment="1" applyProtection="1">
      <alignment horizontal="center"/>
      <protection locked="0"/>
    </xf>
    <xf numFmtId="0" fontId="44" fillId="0" borderId="5" xfId="0" applyFont="1" applyBorder="1"/>
    <xf numFmtId="169" fontId="29" fillId="15" borderId="0" xfId="23" applyNumberFormat="1" applyFont="1" applyFill="1" applyBorder="1" applyProtection="1">
      <protection locked="0"/>
    </xf>
    <xf numFmtId="0" fontId="0" fillId="0" borderId="5" xfId="0" applyBorder="1" applyAlignment="1">
      <alignment horizontal="center"/>
    </xf>
    <xf numFmtId="1" fontId="0" fillId="0" borderId="5" xfId="0" applyNumberFormat="1" applyBorder="1"/>
    <xf numFmtId="175" fontId="37" fillId="0" borderId="5" xfId="0" applyNumberFormat="1" applyFont="1" applyBorder="1"/>
    <xf numFmtId="0" fontId="37" fillId="0" borderId="5" xfId="0" applyFont="1" applyBorder="1"/>
    <xf numFmtId="1" fontId="37" fillId="0" borderId="5" xfId="0" applyNumberFormat="1" applyFont="1" applyBorder="1" applyAlignment="1">
      <alignment horizontal="left"/>
    </xf>
    <xf numFmtId="10" fontId="33" fillId="14" borderId="0" xfId="23" applyNumberFormat="1" applyFont="1" applyFill="1" applyAlignment="1" applyProtection="1">
      <alignment horizontal="center"/>
      <protection locked="0"/>
    </xf>
    <xf numFmtId="10" fontId="30" fillId="13" borderId="10" xfId="23" applyNumberFormat="1" applyFont="1" applyFill="1" applyBorder="1" applyAlignment="1" applyProtection="1">
      <alignment horizontal="center"/>
      <protection locked="0"/>
    </xf>
    <xf numFmtId="10" fontId="30" fillId="13" borderId="11" xfId="23" applyNumberFormat="1" applyFont="1" applyFill="1" applyBorder="1" applyAlignment="1" applyProtection="1">
      <alignment horizontal="center"/>
      <protection locked="0"/>
    </xf>
    <xf numFmtId="10" fontId="30" fillId="13" borderId="12" xfId="23" applyNumberFormat="1" applyFont="1" applyFill="1" applyBorder="1" applyAlignment="1" applyProtection="1">
      <alignment horizontal="center"/>
      <protection locked="0"/>
    </xf>
    <xf numFmtId="37" fontId="30" fillId="0" borderId="8" xfId="23" applyNumberFormat="1" applyFont="1" applyFill="1" applyBorder="1" applyProtection="1">
      <protection locked="0"/>
    </xf>
    <xf numFmtId="37" fontId="30" fillId="0" borderId="1" xfId="23" applyNumberFormat="1" applyFont="1" applyFill="1" applyBorder="1" applyProtection="1">
      <protection locked="0"/>
    </xf>
    <xf numFmtId="37" fontId="30" fillId="0" borderId="10" xfId="23" applyNumberFormat="1" applyFont="1" applyFill="1" applyBorder="1" applyProtection="1">
      <protection locked="0"/>
    </xf>
    <xf numFmtId="37" fontId="30" fillId="0" borderId="7" xfId="23" applyNumberFormat="1" applyFont="1" applyFill="1" applyBorder="1" applyProtection="1">
      <protection locked="0"/>
    </xf>
    <xf numFmtId="2" fontId="30" fillId="0" borderId="11" xfId="23" applyNumberFormat="1" applyFont="1" applyFill="1" applyBorder="1" applyProtection="1">
      <protection locked="0"/>
    </xf>
    <xf numFmtId="37" fontId="38" fillId="0" borderId="9" xfId="23" applyNumberFormat="1" applyFont="1" applyFill="1" applyBorder="1" applyProtection="1">
      <protection locked="0"/>
    </xf>
    <xf numFmtId="37" fontId="38" fillId="0" borderId="2" xfId="23" applyNumberFormat="1" applyFont="1" applyFill="1" applyBorder="1" applyProtection="1">
      <protection locked="0"/>
    </xf>
    <xf numFmtId="2" fontId="38" fillId="0" borderId="12" xfId="23" applyNumberFormat="1" applyFont="1" applyFill="1" applyBorder="1" applyProtection="1">
      <protection locked="0"/>
    </xf>
    <xf numFmtId="10" fontId="36" fillId="0" borderId="0" xfId="24" applyNumberFormat="1" applyFont="1" applyAlignment="1" applyProtection="1">
      <alignment horizontal="right"/>
      <protection locked="0"/>
    </xf>
    <xf numFmtId="173" fontId="32" fillId="8" borderId="0" xfId="23" applyNumberFormat="1" applyFont="1" applyFill="1" applyBorder="1" applyProtection="1">
      <protection locked="0"/>
    </xf>
    <xf numFmtId="169" fontId="31" fillId="0" borderId="8" xfId="23" applyNumberFormat="1" applyFont="1" applyFill="1" applyBorder="1" applyProtection="1">
      <protection locked="0"/>
    </xf>
    <xf numFmtId="169" fontId="29" fillId="0" borderId="10" xfId="23" applyNumberFormat="1" applyFont="1" applyFill="1" applyBorder="1" applyProtection="1">
      <protection locked="0"/>
    </xf>
    <xf numFmtId="169" fontId="29" fillId="0" borderId="8" xfId="23" applyNumberFormat="1" applyFont="1" applyFill="1" applyBorder="1" applyProtection="1">
      <protection locked="0"/>
    </xf>
    <xf numFmtId="169" fontId="29" fillId="0" borderId="7" xfId="23" applyNumberFormat="1" applyFont="1" applyFill="1" applyBorder="1" applyProtection="1">
      <protection locked="0"/>
    </xf>
    <xf numFmtId="169" fontId="29" fillId="0" borderId="11" xfId="23" applyNumberFormat="1" applyFont="1" applyFill="1" applyBorder="1" applyProtection="1">
      <protection locked="0"/>
    </xf>
    <xf numFmtId="169" fontId="31" fillId="0" borderId="9" xfId="23" applyNumberFormat="1" applyFont="1" applyFill="1" applyBorder="1" applyProtection="1">
      <protection locked="0"/>
    </xf>
    <xf numFmtId="169" fontId="29" fillId="0" borderId="2" xfId="23" applyNumberFormat="1" applyFont="1" applyFill="1" applyBorder="1" applyProtection="1">
      <protection locked="0"/>
    </xf>
    <xf numFmtId="173" fontId="32" fillId="10" borderId="12" xfId="23" applyNumberFormat="1" applyFont="1" applyFill="1" applyBorder="1" applyProtection="1">
      <protection locked="0"/>
    </xf>
    <xf numFmtId="173" fontId="29" fillId="0" borderId="11" xfId="23" applyNumberFormat="1" applyFont="1" applyFill="1" applyBorder="1" applyProtection="1">
      <protection locked="0"/>
    </xf>
    <xf numFmtId="169" fontId="31" fillId="0" borderId="2" xfId="23" applyNumberFormat="1" applyFont="1" applyFill="1" applyBorder="1" applyProtection="1">
      <protection locked="0"/>
    </xf>
    <xf numFmtId="0" fontId="42" fillId="0" borderId="0" xfId="23" applyNumberFormat="1" applyFont="1" applyFill="1" applyAlignment="1" applyProtection="1">
      <alignment horizontal="center" vertical="center"/>
      <protection locked="0"/>
    </xf>
    <xf numFmtId="169" fontId="31" fillId="0" borderId="1" xfId="23" applyNumberFormat="1" applyFont="1" applyBorder="1" applyProtection="1"/>
    <xf numFmtId="169" fontId="34" fillId="0" borderId="16" xfId="23" applyNumberFormat="1" applyFont="1" applyBorder="1" applyProtection="1">
      <protection locked="0"/>
    </xf>
    <xf numFmtId="169" fontId="34" fillId="0" borderId="16" xfId="23" applyNumberFormat="1" applyFont="1" applyBorder="1" applyAlignment="1" applyProtection="1">
      <alignment horizontal="center"/>
      <protection locked="0"/>
    </xf>
    <xf numFmtId="169" fontId="34" fillId="0" borderId="16" xfId="23" applyNumberFormat="1" applyFont="1" applyBorder="1" applyProtection="1"/>
    <xf numFmtId="10" fontId="29" fillId="0" borderId="0" xfId="23" applyNumberFormat="1" applyFont="1" applyFill="1" applyBorder="1" applyProtection="1">
      <protection locked="0"/>
    </xf>
    <xf numFmtId="14" fontId="36" fillId="0" borderId="0" xfId="23" applyNumberFormat="1" applyFont="1" applyFill="1" applyBorder="1" applyProtection="1">
      <protection locked="0"/>
    </xf>
    <xf numFmtId="173" fontId="30" fillId="0" borderId="0" xfId="23" applyNumberFormat="1" applyFont="1" applyFill="1" applyBorder="1" applyProtection="1">
      <protection locked="0"/>
    </xf>
    <xf numFmtId="169" fontId="30" fillId="0" borderId="6" xfId="23" applyNumberFormat="1" applyFont="1" applyFill="1" applyBorder="1" applyProtection="1">
      <protection locked="0"/>
    </xf>
    <xf numFmtId="0" fontId="29" fillId="0" borderId="4" xfId="0" applyFont="1" applyBorder="1"/>
    <xf numFmtId="0" fontId="29" fillId="0" borderId="7" xfId="0" applyFont="1" applyBorder="1"/>
    <xf numFmtId="0" fontId="29" fillId="0" borderId="9" xfId="0" applyFont="1" applyBorder="1"/>
    <xf numFmtId="173" fontId="29" fillId="0" borderId="12" xfId="0" applyNumberFormat="1" applyFont="1" applyBorder="1"/>
    <xf numFmtId="0" fontId="29" fillId="0" borderId="8" xfId="0" applyFont="1" applyBorder="1"/>
    <xf numFmtId="173" fontId="29" fillId="0" borderId="10" xfId="0" applyNumberFormat="1" applyFont="1" applyBorder="1"/>
    <xf numFmtId="169" fontId="30" fillId="0" borderId="5" xfId="23" applyNumberFormat="1" applyFont="1" applyFill="1" applyBorder="1" applyProtection="1">
      <protection locked="0"/>
    </xf>
    <xf numFmtId="0" fontId="43" fillId="0" borderId="0" xfId="0" applyFont="1"/>
    <xf numFmtId="10" fontId="36" fillId="0" borderId="0" xfId="0" applyNumberFormat="1" applyFont="1" applyAlignment="1">
      <alignment horizontal="right" vertical="top"/>
    </xf>
    <xf numFmtId="10" fontId="29" fillId="0" borderId="0" xfId="0" applyNumberFormat="1" applyFont="1"/>
    <xf numFmtId="10" fontId="30" fillId="0" borderId="0" xfId="23" applyNumberFormat="1" applyFont="1" applyFill="1" applyBorder="1" applyProtection="1">
      <protection locked="0"/>
    </xf>
    <xf numFmtId="0" fontId="40" fillId="0" borderId="0" xfId="16" applyFont="1"/>
    <xf numFmtId="14" fontId="0" fillId="17" borderId="18" xfId="16" applyNumberFormat="1" applyFont="1" applyFill="1" applyBorder="1" applyAlignment="1">
      <alignment horizontal="center"/>
    </xf>
    <xf numFmtId="0" fontId="0" fillId="17" borderId="18" xfId="16" applyFont="1" applyFill="1" applyBorder="1" applyAlignment="1">
      <alignment horizontal="center"/>
    </xf>
    <xf numFmtId="0" fontId="0" fillId="0" borderId="0" xfId="28" applyFont="1" applyAlignment="1">
      <alignment horizontal="left"/>
    </xf>
    <xf numFmtId="0" fontId="0" fillId="0" borderId="0" xfId="28" applyFont="1"/>
    <xf numFmtId="0" fontId="40" fillId="0" borderId="0" xfId="28" applyFont="1" applyAlignment="1">
      <alignment horizontal="left"/>
    </xf>
    <xf numFmtId="0" fontId="40" fillId="0" borderId="0" xfId="28" applyFont="1"/>
    <xf numFmtId="0" fontId="50" fillId="0" borderId="0" xfId="28" applyFont="1" applyAlignment="1">
      <alignment vertical="center"/>
    </xf>
    <xf numFmtId="0" fontId="51" fillId="0" borderId="0" xfId="28" applyFont="1" applyAlignment="1">
      <alignment vertical="center"/>
    </xf>
    <xf numFmtId="0" fontId="0" fillId="0" borderId="0" xfId="28" applyFont="1" applyAlignment="1">
      <alignment vertical="center"/>
    </xf>
    <xf numFmtId="0" fontId="40" fillId="0" borderId="0" xfId="28" applyFont="1" applyAlignment="1">
      <alignment vertical="center"/>
    </xf>
    <xf numFmtId="0" fontId="0" fillId="0" borderId="0" xfId="28" applyFont="1" applyAlignment="1">
      <alignment horizontal="left" vertical="center"/>
    </xf>
    <xf numFmtId="0" fontId="52" fillId="0" borderId="0" xfId="28" applyFont="1"/>
    <xf numFmtId="14" fontId="0" fillId="0" borderId="0" xfId="0" applyNumberFormat="1"/>
    <xf numFmtId="14" fontId="0" fillId="17" borderId="0" xfId="16" applyNumberFormat="1" applyFont="1" applyFill="1" applyAlignment="1">
      <alignment horizontal="center"/>
    </xf>
    <xf numFmtId="0" fontId="0" fillId="17" borderId="0" xfId="16" applyFont="1" applyFill="1" applyAlignment="1">
      <alignment horizontal="center"/>
    </xf>
    <xf numFmtId="166" fontId="0" fillId="0" borderId="0" xfId="0" applyNumberFormat="1"/>
    <xf numFmtId="37" fontId="43" fillId="0" borderId="0" xfId="0" applyNumberFormat="1" applyFont="1"/>
    <xf numFmtId="37" fontId="53" fillId="0" borderId="0" xfId="0" applyNumberFormat="1" applyFont="1"/>
    <xf numFmtId="178" fontId="29" fillId="0" borderId="0" xfId="0" applyNumberFormat="1" applyFont="1"/>
    <xf numFmtId="0" fontId="0" fillId="0" borderId="7" xfId="28" applyFont="1" applyBorder="1"/>
    <xf numFmtId="0" fontId="0" fillId="0" borderId="11" xfId="28" applyFont="1" applyBorder="1"/>
    <xf numFmtId="0" fontId="48" fillId="0" borderId="7" xfId="28" applyFont="1" applyBorder="1" applyAlignment="1">
      <alignment horizontal="center" vertical="center"/>
    </xf>
    <xf numFmtId="0" fontId="47" fillId="0" borderId="11" xfId="28" applyFont="1" applyBorder="1"/>
    <xf numFmtId="0" fontId="1" fillId="0" borderId="11" xfId="37" applyBorder="1"/>
    <xf numFmtId="0" fontId="1" fillId="0" borderId="2" xfId="37" applyBorder="1"/>
    <xf numFmtId="0" fontId="1" fillId="0" borderId="12" xfId="37" applyBorder="1"/>
    <xf numFmtId="0" fontId="48" fillId="0" borderId="0" xfId="37" applyFont="1"/>
    <xf numFmtId="0" fontId="54" fillId="0" borderId="0" xfId="28" applyFont="1"/>
    <xf numFmtId="0" fontId="55" fillId="0" borderId="0" xfId="28" applyFont="1"/>
    <xf numFmtId="0" fontId="54" fillId="0" borderId="0" xfId="28" applyFont="1" applyAlignment="1">
      <alignment horizontal="left"/>
    </xf>
    <xf numFmtId="0" fontId="55" fillId="0" borderId="0" xfId="28" applyFont="1" applyAlignment="1">
      <alignment horizontal="left"/>
    </xf>
    <xf numFmtId="0" fontId="1" fillId="18" borderId="0" xfId="37" applyFill="1"/>
    <xf numFmtId="0" fontId="48" fillId="0" borderId="0" xfId="28" applyFont="1"/>
    <xf numFmtId="0" fontId="57" fillId="0" borderId="7" xfId="37" applyFont="1" applyBorder="1"/>
    <xf numFmtId="0" fontId="56" fillId="0" borderId="7" xfId="22" applyFont="1" applyFill="1" applyBorder="1"/>
    <xf numFmtId="176" fontId="0" fillId="0" borderId="0" xfId="0" applyNumberFormat="1"/>
    <xf numFmtId="37" fontId="0" fillId="0" borderId="0" xfId="0" applyNumberFormat="1"/>
    <xf numFmtId="37" fontId="34" fillId="0" borderId="0" xfId="0" applyNumberFormat="1" applyFont="1"/>
    <xf numFmtId="0" fontId="58" fillId="0" borderId="0" xfId="0" applyFont="1"/>
    <xf numFmtId="0" fontId="0" fillId="0" borderId="1" xfId="0" applyBorder="1"/>
    <xf numFmtId="37" fontId="36" fillId="0" borderId="1" xfId="23" applyNumberFormat="1" applyFont="1" applyBorder="1" applyProtection="1">
      <protection locked="0"/>
    </xf>
    <xf numFmtId="37" fontId="34" fillId="0" borderId="9" xfId="23" applyNumberFormat="1" applyFont="1" applyFill="1" applyBorder="1" applyProtection="1">
      <protection locked="0"/>
    </xf>
    <xf numFmtId="37" fontId="34" fillId="0" borderId="8" xfId="23" applyNumberFormat="1" applyFont="1" applyBorder="1" applyProtection="1">
      <protection locked="0"/>
    </xf>
    <xf numFmtId="37" fontId="34" fillId="0" borderId="7" xfId="23" applyNumberFormat="1" applyFont="1" applyBorder="1" applyProtection="1">
      <protection locked="0"/>
    </xf>
    <xf numFmtId="37" fontId="34" fillId="0" borderId="11" xfId="23" applyNumberFormat="1" applyFont="1" applyBorder="1" applyProtection="1">
      <protection locked="0"/>
    </xf>
    <xf numFmtId="177" fontId="0" fillId="0" borderId="0" xfId="0" applyNumberFormat="1"/>
    <xf numFmtId="39" fontId="34" fillId="0" borderId="10" xfId="23" applyNumberFormat="1" applyFont="1" applyBorder="1" applyProtection="1">
      <protection locked="0"/>
    </xf>
    <xf numFmtId="37" fontId="34" fillId="0" borderId="7" xfId="23" applyNumberFormat="1" applyFont="1" applyFill="1" applyBorder="1" applyProtection="1">
      <protection locked="0"/>
    </xf>
    <xf numFmtId="37" fontId="34" fillId="0" borderId="11" xfId="23" applyNumberFormat="1" applyFont="1" applyFill="1" applyBorder="1" applyProtection="1">
      <protection locked="0"/>
    </xf>
    <xf numFmtId="39" fontId="34" fillId="0" borderId="12" xfId="23" applyNumberFormat="1" applyFont="1" applyFill="1" applyBorder="1" applyProtection="1">
      <protection locked="0"/>
    </xf>
    <xf numFmtId="39" fontId="0" fillId="0" borderId="0" xfId="0" applyNumberFormat="1"/>
    <xf numFmtId="0" fontId="31" fillId="0" borderId="1" xfId="0" applyFont="1" applyBorder="1"/>
    <xf numFmtId="179" fontId="31" fillId="0" borderId="10" xfId="0" applyNumberFormat="1" applyFont="1" applyBorder="1"/>
    <xf numFmtId="0" fontId="31" fillId="0" borderId="0" xfId="0" applyFont="1"/>
    <xf numFmtId="179" fontId="31" fillId="0" borderId="11" xfId="0" applyNumberFormat="1" applyFont="1" applyBorder="1"/>
    <xf numFmtId="37" fontId="34" fillId="0" borderId="9" xfId="23" applyNumberFormat="1" applyFont="1" applyBorder="1" applyProtection="1">
      <protection locked="0"/>
    </xf>
    <xf numFmtId="0" fontId="31" fillId="0" borderId="2" xfId="0" applyFont="1" applyBorder="1"/>
    <xf numFmtId="179" fontId="31" fillId="0" borderId="12" xfId="0" applyNumberFormat="1" applyFont="1" applyBorder="1"/>
    <xf numFmtId="168" fontId="36" fillId="0" borderId="0" xfId="23" applyNumberFormat="1" applyFont="1" applyFill="1" applyAlignment="1" applyProtection="1">
      <alignment horizontal="right"/>
      <protection locked="0"/>
    </xf>
    <xf numFmtId="14" fontId="0" fillId="0" borderId="7" xfId="0" applyNumberFormat="1" applyBorder="1"/>
    <xf numFmtId="14" fontId="0" fillId="0" borderId="9" xfId="0" applyNumberFormat="1" applyBorder="1"/>
    <xf numFmtId="177" fontId="0" fillId="0" borderId="2" xfId="0" applyNumberFormat="1" applyBorder="1"/>
    <xf numFmtId="39" fontId="0" fillId="0" borderId="2" xfId="0" applyNumberFormat="1" applyBorder="1"/>
    <xf numFmtId="37" fontId="0" fillId="0" borderId="2" xfId="0" applyNumberFormat="1" applyBorder="1"/>
    <xf numFmtId="179" fontId="0" fillId="0" borderId="0" xfId="0" applyNumberFormat="1"/>
    <xf numFmtId="179" fontId="0" fillId="0" borderId="2" xfId="0" applyNumberFormat="1" applyBorder="1"/>
    <xf numFmtId="0" fontId="0" fillId="0" borderId="7" xfId="0" applyBorder="1"/>
    <xf numFmtId="179" fontId="0" fillId="0" borderId="11" xfId="0" applyNumberFormat="1" applyBorder="1"/>
    <xf numFmtId="179" fontId="0" fillId="0" borderId="12" xfId="0" applyNumberFormat="1" applyBorder="1"/>
    <xf numFmtId="0" fontId="39" fillId="0" borderId="0" xfId="16" applyFont="1" applyAlignment="1">
      <alignment horizontal="center" vertical="center"/>
    </xf>
    <xf numFmtId="0" fontId="39" fillId="0" borderId="0" xfId="16" applyFont="1" applyAlignment="1">
      <alignment horizontal="center" vertical="center" wrapText="1"/>
    </xf>
    <xf numFmtId="177" fontId="31" fillId="0" borderId="8" xfId="0" applyNumberFormat="1" applyFont="1" applyBorder="1" applyAlignment="1">
      <alignment horizontal="left"/>
    </xf>
    <xf numFmtId="39" fontId="31" fillId="0" borderId="10" xfId="0" applyNumberFormat="1" applyFont="1" applyBorder="1"/>
    <xf numFmtId="0" fontId="31" fillId="0" borderId="7" xfId="0" applyFont="1" applyBorder="1" applyAlignment="1">
      <alignment horizontal="left"/>
    </xf>
    <xf numFmtId="0" fontId="31" fillId="0" borderId="7" xfId="0" applyFont="1" applyBorder="1"/>
    <xf numFmtId="0" fontId="31" fillId="0" borderId="11" xfId="0" applyFont="1" applyBorder="1"/>
    <xf numFmtId="3" fontId="31" fillId="0" borderId="11" xfId="0" applyNumberFormat="1" applyFont="1" applyBorder="1"/>
    <xf numFmtId="0" fontId="31" fillId="0" borderId="9" xfId="0" applyFont="1" applyBorder="1"/>
    <xf numFmtId="2" fontId="31" fillId="0" borderId="12" xfId="0" applyNumberFormat="1" applyFont="1" applyBorder="1"/>
    <xf numFmtId="0" fontId="31" fillId="0" borderId="8" xfId="0" applyFont="1" applyBorder="1"/>
    <xf numFmtId="0" fontId="31" fillId="0" borderId="10" xfId="0" applyFont="1" applyBorder="1"/>
    <xf numFmtId="0" fontId="59" fillId="0" borderId="0" xfId="0" applyFont="1"/>
    <xf numFmtId="165" fontId="29" fillId="0" borderId="0" xfId="0" applyNumberFormat="1" applyFont="1"/>
    <xf numFmtId="39" fontId="31" fillId="0" borderId="0" xfId="0" applyNumberFormat="1" applyFont="1"/>
    <xf numFmtId="3" fontId="31" fillId="0" borderId="0" xfId="0" applyNumberFormat="1" applyFont="1"/>
    <xf numFmtId="2" fontId="31" fillId="0" borderId="0" xfId="0" applyNumberFormat="1" applyFont="1"/>
    <xf numFmtId="177" fontId="31" fillId="0" borderId="7" xfId="0" applyNumberFormat="1" applyFont="1" applyBorder="1" applyAlignment="1">
      <alignment horizontal="left"/>
    </xf>
    <xf numFmtId="2" fontId="31" fillId="0" borderId="11" xfId="0" applyNumberFormat="1" applyFont="1" applyBorder="1"/>
    <xf numFmtId="3" fontId="31" fillId="0" borderId="2" xfId="0" applyNumberFormat="1" applyFont="1" applyBorder="1"/>
    <xf numFmtId="0" fontId="0" fillId="0" borderId="0" xfId="28" applyFont="1" applyAlignment="1">
      <alignment horizontal="right"/>
    </xf>
    <xf numFmtId="0" fontId="1" fillId="0" borderId="0" xfId="37" applyAlignment="1">
      <alignment horizontal="right"/>
    </xf>
    <xf numFmtId="0" fontId="24" fillId="0" borderId="0" xfId="22" applyFill="1" applyBorder="1"/>
    <xf numFmtId="0" fontId="47" fillId="0" borderId="0" xfId="28" applyFont="1"/>
    <xf numFmtId="0" fontId="56" fillId="0" borderId="0" xfId="22" applyFont="1" applyFill="1" applyBorder="1"/>
    <xf numFmtId="0" fontId="40" fillId="0" borderId="7" xfId="37" applyFont="1" applyBorder="1"/>
    <xf numFmtId="0" fontId="1" fillId="0" borderId="7" xfId="37" applyBorder="1"/>
    <xf numFmtId="0" fontId="1" fillId="0" borderId="9" xfId="37" applyBorder="1"/>
    <xf numFmtId="176" fontId="60" fillId="0" borderId="11" xfId="0" applyNumberFormat="1" applyFont="1" applyBorder="1"/>
    <xf numFmtId="0" fontId="34" fillId="8" borderId="0" xfId="0" applyFont="1" applyFill="1"/>
    <xf numFmtId="10" fontId="0" fillId="0" borderId="0" xfId="39" applyNumberFormat="1" applyFont="1"/>
    <xf numFmtId="0" fontId="61" fillId="0" borderId="0" xfId="0" applyFont="1"/>
    <xf numFmtId="164" fontId="0" fillId="0" borderId="0" xfId="0" applyNumberFormat="1"/>
    <xf numFmtId="0" fontId="61" fillId="0" borderId="0" xfId="0" applyFont="1" applyAlignment="1">
      <alignment wrapText="1"/>
    </xf>
    <xf numFmtId="0" fontId="40" fillId="0" borderId="0" xfId="28" applyFont="1" applyAlignment="1">
      <alignment horizontal="right" vertical="center"/>
    </xf>
    <xf numFmtId="0" fontId="0" fillId="0" borderId="0" xfId="28" applyFont="1" applyAlignment="1">
      <alignment horizontal="left"/>
    </xf>
    <xf numFmtId="0" fontId="49" fillId="0" borderId="8" xfId="28" applyFont="1" applyBorder="1" applyAlignment="1">
      <alignment horizontal="center" vertical="center"/>
    </xf>
    <xf numFmtId="0" fontId="49" fillId="0" borderId="1" xfId="28" applyFont="1" applyBorder="1" applyAlignment="1">
      <alignment horizontal="center" vertical="center"/>
    </xf>
    <xf numFmtId="0" fontId="49" fillId="0" borderId="10" xfId="28" applyFont="1" applyBorder="1" applyAlignment="1">
      <alignment horizontal="center" vertical="center"/>
    </xf>
    <xf numFmtId="0" fontId="54" fillId="0" borderId="0" xfId="28" applyFont="1" applyAlignment="1">
      <alignment horizontal="left" vertical="center"/>
    </xf>
    <xf numFmtId="0" fontId="40" fillId="0" borderId="0" xfId="28" applyFont="1" applyAlignment="1">
      <alignment horizontal="center" vertical="center"/>
    </xf>
    <xf numFmtId="37" fontId="29" fillId="0" borderId="0" xfId="0" applyNumberFormat="1" applyFont="1" applyAlignment="1">
      <alignment horizontal="center"/>
    </xf>
    <xf numFmtId="37" fontId="31" fillId="0" borderId="0" xfId="0" applyNumberFormat="1" applyFont="1" applyAlignment="1">
      <alignment horizontal="center"/>
    </xf>
    <xf numFmtId="37" fontId="32" fillId="0" borderId="0" xfId="0" applyNumberFormat="1" applyFont="1" applyAlignment="1">
      <alignment horizontal="center"/>
    </xf>
    <xf numFmtId="0" fontId="42" fillId="9" borderId="0" xfId="23" applyNumberFormat="1" applyFont="1" applyFill="1" applyAlignment="1" applyProtection="1">
      <alignment horizontal="center" vertical="center"/>
      <protection locked="0"/>
    </xf>
    <xf numFmtId="177" fontId="29" fillId="0" borderId="0" xfId="0" applyNumberFormat="1" applyFont="1" applyAlignment="1">
      <alignment horizontal="left" vertical="top"/>
    </xf>
    <xf numFmtId="37" fontId="43" fillId="0" borderId="0" xfId="0" applyNumberFormat="1" applyFont="1" applyAlignment="1">
      <alignment horizontal="center"/>
    </xf>
    <xf numFmtId="37" fontId="42" fillId="16" borderId="0" xfId="23" applyNumberFormat="1" applyFont="1" applyFill="1" applyAlignment="1" applyProtection="1">
      <alignment horizontal="center"/>
      <protection locked="0"/>
    </xf>
    <xf numFmtId="37" fontId="32" fillId="10" borderId="0" xfId="23" applyNumberFormat="1" applyFont="1" applyFill="1" applyBorder="1" applyAlignment="1" applyProtection="1">
      <alignment horizontal="center"/>
      <protection locked="0"/>
    </xf>
    <xf numFmtId="0" fontId="31" fillId="0" borderId="2" xfId="0" applyFont="1" applyBorder="1" applyAlignment="1">
      <alignment horizontal="center"/>
    </xf>
    <xf numFmtId="0" fontId="31" fillId="0" borderId="5" xfId="0" applyFont="1" applyBorder="1" applyAlignment="1">
      <alignment horizontal="center"/>
    </xf>
    <xf numFmtId="37" fontId="29" fillId="0" borderId="1" xfId="0" applyNumberFormat="1" applyFont="1" applyBorder="1" applyAlignment="1">
      <alignment horizontal="left"/>
    </xf>
    <xf numFmtId="37" fontId="29" fillId="0" borderId="10" xfId="0" applyNumberFormat="1" applyFont="1" applyBorder="1" applyAlignment="1">
      <alignment horizontal="left"/>
    </xf>
    <xf numFmtId="37" fontId="29" fillId="0" borderId="0" xfId="0" applyNumberFormat="1" applyFont="1" applyAlignment="1">
      <alignment horizontal="left"/>
    </xf>
    <xf numFmtId="37" fontId="29" fillId="0" borderId="11" xfId="0" applyNumberFormat="1" applyFont="1" applyBorder="1" applyAlignment="1">
      <alignment horizontal="left"/>
    </xf>
    <xf numFmtId="0" fontId="0" fillId="0" borderId="9" xfId="0" applyBorder="1" applyAlignment="1">
      <alignment horizontal="center"/>
    </xf>
    <xf numFmtId="0" fontId="0" fillId="0" borderId="2" xfId="0" applyBorder="1" applyAlignment="1">
      <alignment horizontal="center"/>
    </xf>
    <xf numFmtId="0" fontId="0" fillId="0" borderId="5" xfId="0" applyBorder="1" applyAlignment="1">
      <alignment horizontal="center"/>
    </xf>
    <xf numFmtId="0" fontId="42" fillId="16" borderId="0" xfId="0" applyFont="1" applyFill="1" applyAlignment="1">
      <alignment horizontal="center"/>
    </xf>
    <xf numFmtId="0" fontId="0" fillId="0" borderId="8" xfId="0" applyBorder="1" applyAlignment="1">
      <alignment horizontal="center"/>
    </xf>
    <xf numFmtId="0" fontId="0" fillId="0" borderId="1" xfId="0" applyBorder="1" applyAlignment="1">
      <alignment horizontal="center"/>
    </xf>
    <xf numFmtId="0" fontId="0" fillId="0" borderId="7" xfId="0" applyBorder="1" applyAlignment="1">
      <alignment horizontal="center"/>
    </xf>
    <xf numFmtId="0" fontId="0" fillId="0" borderId="0" xfId="0" applyAlignment="1">
      <alignment horizontal="center"/>
    </xf>
    <xf numFmtId="169" fontId="30" fillId="0" borderId="8" xfId="23" applyNumberFormat="1" applyFont="1" applyBorder="1" applyAlignment="1" applyProtection="1">
      <alignment horizontal="center"/>
      <protection locked="0"/>
    </xf>
    <xf numFmtId="169" fontId="30" fillId="0" borderId="17" xfId="23" applyNumberFormat="1" applyFont="1" applyBorder="1" applyAlignment="1" applyProtection="1">
      <alignment horizontal="center"/>
      <protection locked="0"/>
    </xf>
    <xf numFmtId="0" fontId="31" fillId="0" borderId="6" xfId="0" applyFont="1" applyBorder="1" applyAlignment="1">
      <alignment horizontal="center"/>
    </xf>
    <xf numFmtId="0" fontId="31" fillId="0" borderId="17" xfId="0" applyFont="1" applyBorder="1" applyAlignment="1">
      <alignment horizontal="center"/>
    </xf>
    <xf numFmtId="0" fontId="31" fillId="0" borderId="4" xfId="0" applyFont="1" applyBorder="1" applyAlignment="1">
      <alignment horizontal="center"/>
    </xf>
    <xf numFmtId="0" fontId="37" fillId="0" borderId="0" xfId="0" applyFont="1" applyAlignment="1">
      <alignment horizontal="center"/>
    </xf>
  </cellXfs>
  <cellStyles count="40">
    <cellStyle name="ChartingText" xfId="14" xr:uid="{00000000-0005-0000-0000-000000000000}"/>
    <cellStyle name="CHPTop" xfId="15" xr:uid="{00000000-0005-0000-0000-000001000000}"/>
    <cellStyle name="ColumnHeaderNormal" xfId="6" xr:uid="{00000000-0005-0000-0000-000002000000}"/>
    <cellStyle name="Comma 2" xfId="17" xr:uid="{00000000-0005-0000-0000-000003000000}"/>
    <cellStyle name="Comma 2 2" xfId="29" xr:uid="{B7F7E7D8-E910-42FB-BBD5-01503BF5D23B}"/>
    <cellStyle name="Comma 3" xfId="19" xr:uid="{00000000-0005-0000-0000-000004000000}"/>
    <cellStyle name="Comma 3 2" xfId="31" xr:uid="{65195A31-A5C5-4F88-BC80-09882065AB36}"/>
    <cellStyle name="Comma 4" xfId="23" xr:uid="{50158D67-C14D-4D75-8A39-381BB0886B92}"/>
    <cellStyle name="Comma 4 2" xfId="34" xr:uid="{97B6F347-C677-4694-9574-5ADE832AC80C}"/>
    <cellStyle name="Hyperlink" xfId="22" builtinId="8"/>
    <cellStyle name="Hyperlink 2" xfId="38" xr:uid="{0473DA67-2544-674D-8394-E95EFE506671}"/>
    <cellStyle name="Hyperlink 2 2" xfId="27" xr:uid="{A75939AF-DD68-4A46-A2CB-2E1F68880B41}"/>
    <cellStyle name="Invisible" xfId="13" xr:uid="{00000000-0005-0000-0000-000006000000}"/>
    <cellStyle name="NewColumnHeaderNormal" xfId="4" xr:uid="{00000000-0005-0000-0000-000007000000}"/>
    <cellStyle name="NewSectionHeaderNormal" xfId="3" xr:uid="{00000000-0005-0000-0000-000008000000}"/>
    <cellStyle name="NewTitleNormal" xfId="2" xr:uid="{00000000-0005-0000-0000-000009000000}"/>
    <cellStyle name="Normal" xfId="0" builtinId="0"/>
    <cellStyle name="Normal 2" xfId="16" xr:uid="{00000000-0005-0000-0000-00000B000000}"/>
    <cellStyle name="Normal 2 2" xfId="26" xr:uid="{C02A7190-8CCE-46A8-A2F3-AF7D0D4F127A}"/>
    <cellStyle name="Normal 2 2 2" xfId="37" xr:uid="{175775F1-2C27-4F14-8F98-F57086392ED6}"/>
    <cellStyle name="Normal 2 3" xfId="28" xr:uid="{487F03F7-B250-4B5B-8C97-F1A985CE2E05}"/>
    <cellStyle name="Normal 3" xfId="21" xr:uid="{00000000-0005-0000-0000-00000C000000}"/>
    <cellStyle name="Normal 3 2" xfId="33" xr:uid="{B3054AAB-5503-4451-9D18-6F191F01AD54}"/>
    <cellStyle name="Normal 4" xfId="25" xr:uid="{CADEB888-DD58-4B86-82A4-FF6E32C8B3E6}"/>
    <cellStyle name="Normal 4 2" xfId="36" xr:uid="{23E79545-3997-43B1-8A48-311B7C50F157}"/>
    <cellStyle name="Percent" xfId="39" builtinId="5"/>
    <cellStyle name="Percent 2" xfId="18" xr:uid="{00000000-0005-0000-0000-00000D000000}"/>
    <cellStyle name="Percent 2 2" xfId="30" xr:uid="{42423145-2986-4F41-8EBE-DBED3D221647}"/>
    <cellStyle name="Percent 3" xfId="20" xr:uid="{00000000-0005-0000-0000-00000E000000}"/>
    <cellStyle name="Percent 3 2" xfId="32" xr:uid="{0137FCAB-F6D9-44F6-BC68-D399387686E2}"/>
    <cellStyle name="Percent 4" xfId="24" xr:uid="{27E1EFA0-874E-4D8D-A456-7B0096137825}"/>
    <cellStyle name="Percent 4 2" xfId="35" xr:uid="{767E785A-D22D-409C-BAE3-E5671890D245}"/>
    <cellStyle name="SectionHeaderNormal" xfId="5" xr:uid="{00000000-0005-0000-0000-00000F000000}"/>
    <cellStyle name="SubScript" xfId="9" xr:uid="{00000000-0005-0000-0000-000010000000}"/>
    <cellStyle name="SuperScript" xfId="8" xr:uid="{00000000-0005-0000-0000-000011000000}"/>
    <cellStyle name="TextBold" xfId="10" xr:uid="{00000000-0005-0000-0000-000012000000}"/>
    <cellStyle name="TextItalic" xfId="11" xr:uid="{00000000-0005-0000-0000-000013000000}"/>
    <cellStyle name="TextNormal" xfId="7" xr:uid="{00000000-0005-0000-0000-000014000000}"/>
    <cellStyle name="TitleNormal" xfId="1" xr:uid="{00000000-0005-0000-0000-000015000000}"/>
    <cellStyle name="Total" xfId="12"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FA4040"/>
      <rgbColor rgb="00FFFFEB"/>
      <rgbColor rgb="00EEEEEE"/>
      <rgbColor rgb="00F0F0DC"/>
      <rgbColor rgb="00993366"/>
      <rgbColor rgb="00F5F5E1"/>
      <rgbColor rgb="00004080"/>
    </indexedColors>
    <mruColors>
      <color rgb="FF3876D3"/>
      <color rgb="FF7AA4E2"/>
      <color rgb="FF0000FF"/>
      <color rgb="FFFA621C"/>
      <color rgb="FF132E57"/>
      <color rgb="FFED94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 Market Value vs Intrinsic Value </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7577504733907028E-2"/>
          <c:y val="7.9935636878259358E-2"/>
          <c:w val="0.86237962259198386"/>
          <c:h val="0.85863358532683298"/>
        </c:manualLayout>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132E57"/>
              </a:solidFill>
              <a:ln>
                <a:noFill/>
              </a:ln>
              <a:effectLst/>
            </c:spPr>
            <c:extLst>
              <c:ext xmlns:c16="http://schemas.microsoft.com/office/drawing/2014/chart" uri="{C3380CC4-5D6E-409C-BE32-E72D297353CC}">
                <c16:uniqueId val="{00000001-E845-9647-8DA7-E2468A14F579}"/>
              </c:ext>
            </c:extLst>
          </c:dPt>
          <c:dPt>
            <c:idx val="1"/>
            <c:invertIfNegative val="0"/>
            <c:bubble3D val="0"/>
            <c:spPr>
              <a:solidFill>
                <a:srgbClr val="00B050"/>
              </a:solidFill>
              <a:ln>
                <a:noFill/>
              </a:ln>
              <a:effectLst/>
            </c:spPr>
            <c:extLst>
              <c:ext xmlns:c16="http://schemas.microsoft.com/office/drawing/2014/chart" uri="{C3380CC4-5D6E-409C-BE32-E72D297353CC}">
                <c16:uniqueId val="{00000003-E845-9647-8DA7-E2468A14F579}"/>
              </c:ext>
            </c:extLst>
          </c:dPt>
          <c:dPt>
            <c:idx val="2"/>
            <c:invertIfNegative val="0"/>
            <c:bubble3D val="0"/>
            <c:spPr>
              <a:solidFill>
                <a:srgbClr val="FFC000"/>
              </a:solidFill>
              <a:ln>
                <a:noFill/>
              </a:ln>
              <a:effectLst/>
            </c:spPr>
            <c:extLst>
              <c:ext xmlns:c16="http://schemas.microsoft.com/office/drawing/2014/chart" uri="{C3380CC4-5D6E-409C-BE32-E72D297353CC}">
                <c16:uniqueId val="{00000002-E845-9647-8DA7-E2468A14F57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DCF!$B$91:$B$93</c:f>
              <c:strCache>
                <c:ptCount val="3"/>
                <c:pt idx="0">
                  <c:v>Market Value </c:v>
                </c:pt>
                <c:pt idx="1">
                  <c:v>Expected Gain/Loss</c:v>
                </c:pt>
                <c:pt idx="2">
                  <c:v>Intrinsic Value</c:v>
                </c:pt>
              </c:strCache>
            </c:strRef>
          </c:cat>
          <c:val>
            <c:numRef>
              <c:f>DCF!$C$91:$C$93</c:f>
              <c:numCache>
                <c:formatCode>_([$$-409]* #,##0.00_);_([$$-409]* \(#,##0.00\);_([$$-409]* "-"??_);_(@_)</c:formatCode>
                <c:ptCount val="3"/>
                <c:pt idx="0" formatCode="_-* #,##0.00_-;\(#,##0.00\)_-;_-* &quot;-&quot;_-;_-@_-">
                  <c:v>189.32</c:v>
                </c:pt>
                <c:pt idx="1">
                  <c:v>48.337558035943488</c:v>
                </c:pt>
                <c:pt idx="2" formatCode="_-* #,##0.00_-;\(#,##0.00\)_-;_-* &quot;-&quot;_-;_-@_-">
                  <c:v>237.65755803594348</c:v>
                </c:pt>
              </c:numCache>
            </c:numRef>
          </c:val>
          <c:extLst>
            <c:ext xmlns:c16="http://schemas.microsoft.com/office/drawing/2014/chart" uri="{C3380CC4-5D6E-409C-BE32-E72D297353CC}">
              <c16:uniqueId val="{00000000-E845-9647-8DA7-E2468A14F579}"/>
            </c:ext>
          </c:extLst>
        </c:ser>
        <c:dLbls>
          <c:showLegendKey val="0"/>
          <c:showVal val="0"/>
          <c:showCatName val="0"/>
          <c:showSerName val="0"/>
          <c:showPercent val="0"/>
          <c:showBubbleSize val="0"/>
        </c:dLbls>
        <c:gapWidth val="105"/>
        <c:overlap val="-23"/>
        <c:axId val="1226692288"/>
        <c:axId val="1226746576"/>
      </c:barChart>
      <c:catAx>
        <c:axId val="122669228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6746576"/>
        <c:crosses val="autoZero"/>
        <c:auto val="1"/>
        <c:lblAlgn val="ctr"/>
        <c:lblOffset val="100"/>
        <c:noMultiLvlLbl val="0"/>
      </c:catAx>
      <c:valAx>
        <c:axId val="1226746576"/>
        <c:scaling>
          <c:orientation val="minMax"/>
        </c:scaling>
        <c:delete val="0"/>
        <c:axPos val="l"/>
        <c:majorGridlines>
          <c:spPr>
            <a:ln w="9525" cap="flat" cmpd="sng" algn="ctr">
              <a:solidFill>
                <a:schemeClr val="tx1">
                  <a:lumMod val="15000"/>
                  <a:lumOff val="85000"/>
                </a:schemeClr>
              </a:solidFill>
              <a:round/>
            </a:ln>
            <a:effectLst/>
          </c:spPr>
        </c:majorGridlines>
        <c:numFmt formatCode="_-* #,##0.00_-;\(#,##0.0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6692288"/>
        <c:crosses val="autoZero"/>
        <c:crossBetween val="between"/>
      </c:valAx>
      <c:spPr>
        <a:noFill/>
        <a:ln>
          <a:noFill/>
        </a:ln>
        <a:effectLst>
          <a:glow rad="228600">
            <a:schemeClr val="accent5">
              <a:satMod val="175000"/>
              <a:alpha val="40000"/>
            </a:schemeClr>
          </a:glow>
          <a:outerShdw blurRad="50800" dist="38100" dir="5400000" algn="t" rotWithShape="0">
            <a:prstClr val="black">
              <a:alpha val="40000"/>
            </a:prstClr>
          </a:outerShdw>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533399</xdr:colOff>
      <xdr:row>4</xdr:row>
      <xdr:rowOff>0</xdr:rowOff>
    </xdr:from>
    <xdr:to>
      <xdr:col>4</xdr:col>
      <xdr:colOff>188653</xdr:colOff>
      <xdr:row>10</xdr:row>
      <xdr:rowOff>1270</xdr:rowOff>
    </xdr:to>
    <xdr:pic>
      <xdr:nvPicPr>
        <xdr:cNvPr id="3" name="Picture 2">
          <a:extLst>
            <a:ext uri="{FF2B5EF4-FFF2-40B4-BE49-F238E27FC236}">
              <a16:creationId xmlns:a16="http://schemas.microsoft.com/office/drawing/2014/main" id="{323AAFE5-1D2B-445D-A422-7ECC1F9970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2049" y="685800"/>
          <a:ext cx="2743201" cy="12934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307339</xdr:colOff>
      <xdr:row>1</xdr:row>
      <xdr:rowOff>12700</xdr:rowOff>
    </xdr:from>
    <xdr:ext cx="3004095" cy="686880"/>
    <xdr:pic>
      <xdr:nvPicPr>
        <xdr:cNvPr id="2" name="Afbeelding 3">
          <a:extLst>
            <a:ext uri="{FF2B5EF4-FFF2-40B4-BE49-F238E27FC236}">
              <a16:creationId xmlns:a16="http://schemas.microsoft.com/office/drawing/2014/main" id="{4F2FCDF0-D710-FB4B-A77A-BC5057964F8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7839" y="203200"/>
          <a:ext cx="3004095" cy="686880"/>
        </a:xfrm>
        <a:prstGeom prst="rect">
          <a:avLst/>
        </a:prstGeom>
        <a:noFill/>
        <a:ln>
          <a:noFill/>
        </a:ln>
      </xdr:spPr>
    </xdr:pic>
    <xdr:clientData/>
  </xdr:oneCellAnchor>
</xdr:wsDr>
</file>

<file path=xl/drawings/drawing3.xml><?xml version="1.0" encoding="utf-8"?>
<xdr:wsDr xmlns:xdr="http://schemas.openxmlformats.org/drawingml/2006/spreadsheetDrawing" xmlns:a="http://schemas.openxmlformats.org/drawingml/2006/main">
  <xdr:twoCellAnchor>
    <xdr:from>
      <xdr:col>1</xdr:col>
      <xdr:colOff>309664</xdr:colOff>
      <xdr:row>95</xdr:row>
      <xdr:rowOff>73768</xdr:rowOff>
    </xdr:from>
    <xdr:to>
      <xdr:col>2</xdr:col>
      <xdr:colOff>625778</xdr:colOff>
      <xdr:row>130</xdr:row>
      <xdr:rowOff>99168</xdr:rowOff>
    </xdr:to>
    <xdr:graphicFrame macro="">
      <xdr:nvGraphicFramePr>
        <xdr:cNvPr id="4" name="Chart 3">
          <a:extLst>
            <a:ext uri="{FF2B5EF4-FFF2-40B4-BE49-F238E27FC236}">
              <a16:creationId xmlns:a16="http://schemas.microsoft.com/office/drawing/2014/main" id="{5831D460-C476-090F-3248-38359CA9F5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
  <rv s="0">
    <v>https://www.bing.com/financeapi/forcetrigger?t=a1uwu2&amp;q=XNYS%3aHSY&amp;form=skydnc</v>
    <v>Learn more on Bing</v>
  </rv>
  <rv s="1">
    <v>en-US</v>
    <v>a1uwu2</v>
    <v>268435456</v>
    <v>1</v>
    <v>Powered by Refinitiv</v>
    <v>0</v>
    <v>THE HERSHEY COMPANY (XNYS:HSY)</v>
    <v>2</v>
    <v>3</v>
    <v>Finance</v>
    <v>4</v>
    <v>276.88049999999998</v>
    <v>178.82</v>
    <v>0.35580000000000001</v>
    <v>-2.71</v>
    <v>-5.2819999999999999E-5</v>
    <v>-1.4112E-2</v>
    <v>-0.01</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19 East Chocolate Avenue, External Rptg &amp; Compliance, HERSHEY, PA, 17033 US</v>
    <v>192.25</v>
    <v>Food &amp; Tobacco</v>
    <v>Stock</v>
    <v>45315.878263749997</v>
    <v>0</v>
    <v>189.26</v>
    <v>38715599224</v>
    <v>THE HERSHEY COMPANY</v>
    <v>THE HERSHEY COMPANY</v>
    <v>192.25</v>
    <v>20.713000000000001</v>
    <v>192.03</v>
    <v>189.32</v>
    <v>189.31</v>
    <v>204498200</v>
    <v>HSY</v>
    <v>THE HERSHEY COMPANY (XNYS:HSY)</v>
    <v>1381371</v>
    <v>1581871</v>
    <v>1927</v>
  </rv>
  <rv s="2">
    <v>1</v>
  </rv>
  <rv s="0">
    <v>https://www.bing.com/financeapi/forcetrigger?t=a1xfoc&amp;q=XNAS%3aMDLZ&amp;form=skydnc</v>
    <v>Learn more on Bing</v>
  </rv>
  <rv s="1">
    <v>en-US</v>
    <v>a1xfoc</v>
    <v>268435456</v>
    <v>1</v>
    <v>Powered by Refinitiv</v>
    <v>0</v>
    <v>Mondelez International, Inc. (XNAS:MDLZ)</v>
    <v>2</v>
    <v>3</v>
    <v>Finance</v>
    <v>4</v>
    <v>78.59</v>
    <v>60.75</v>
    <v>0.59319999999999995</v>
    <v>-0.46</v>
    <v>0</v>
    <v>-6.182E-3</v>
    <v>0</v>
    <v>USD</v>
    <v>Mondelez International, Inc. is a snack company. The Company’s core business is making and selling chocolate, biscuits, and baked snacks. Its additional business in locally relevant categories, including gum and candy, cheese and grocery and powdered beverages. The Company’s portfolio includes global and local brands such as Oreo, Ritz, LU, CLIF Bar and Tates Bake Shop biscuits and baked snacks, as well as Cadbury Dairy Milk, Milka and Toblerone chocolate. It sells its products to supermarket chains, wholesalers, supercenters, club stores, mass merchandisers, distributors, convenience stores, gasoline stations, drug stores, value stores and other retail food outlets. It also sells products directly to businesses and consumers through various e-retail platforms, retailer digital platforms, its direct-to-consumer websites, and social media platforms. Its segments include Latin America, AMEA, Europe, and North America. It sells its products in over 150 countries globally.</v>
    <v>91000</v>
    <v>Nasdaq Stock Market</v>
    <v>XNAS</v>
    <v>XNAS</v>
    <v>905 West Fulton Market, Suite 200, CHICAGO, IL, 60607 US</v>
    <v>74.400000000000006</v>
    <v>Food &amp; Tobacco</v>
    <v>Stock</v>
    <v>45315.879390878908</v>
    <v>3</v>
    <v>73.831999999999994</v>
    <v>101264200000</v>
    <v>Mondelez International, Inc.</v>
    <v>Mondelez International, Inc.</v>
    <v>74.180000000000007</v>
    <v>22.231300000000001</v>
    <v>74.41</v>
    <v>73.95</v>
    <v>73.95</v>
    <v>1360896000</v>
    <v>MDLZ</v>
    <v>Mondelez International, Inc. (XNAS:MDLZ)</v>
    <v>6603346</v>
    <v>5634735</v>
    <v>2000</v>
  </rv>
  <rv s="2">
    <v>4</v>
  </rv>
  <rv s="0">
    <v>https://www.bing.com/financeapi/forcetrigger?t=a1wi77&amp;q=XNAS%3aKHC&amp;form=skydnc</v>
    <v>Learn more on Bing</v>
  </rv>
  <rv s="1">
    <v>en-US</v>
    <v>a1wi77</v>
    <v>268435456</v>
    <v>1</v>
    <v>Powered by Refinitiv</v>
    <v>0</v>
    <v>THE KRAFT HEINZ COMPANY (XNAS:KHC)</v>
    <v>2</v>
    <v>3</v>
    <v>Finance</v>
    <v>4</v>
    <v>41.47</v>
    <v>30.68</v>
    <v>0.64970000000000006</v>
    <v>-0.33</v>
    <v>0</v>
    <v>-8.8830000000000003E-3</v>
    <v>0</v>
    <v>USD</v>
    <v>The Kraft Heinz Company (KHC) is a global food and beverage company. KHC manufactures and markets food and beverage products, including dairy products, meat products, soybean and vegetable oils, tomatoes, coffee beans, sugar and other sweeteners, other fruits and vegetables, corn products, wheat products and potatoes. The Company's geographic segments include North America and International. Its North America segment offers various brands, which include Kraft, Oscar Mayer, Heinz, Philadelphia, Lunchables, Velveeta, Capri Sun, Maxwell House, Ore-Ida, Kool-Aid and Jell-O. Its International segment offers various brands, such as International Heinz, ABC, Master, Kraft, Quero, Golden Circle, Wattie’s, Plasmon and Pudliszki. Its products are sold through its own sales organizations and through independent brokers, agents, and distributors to chain, wholesale, cooperative and independent grocery accounts, convenience stores, drug stores, value stores, bakeries, pharmacies and institutions.</v>
    <v>37000</v>
    <v>Nasdaq Stock Market</v>
    <v>XNAS</v>
    <v>XNAS</v>
    <v>1 Ppg Pl, PITTSBURGH, PA, 15222-5415 US</v>
    <v>37.164999999999999</v>
    <v>Food &amp; Tobacco</v>
    <v>Stock</v>
    <v>45315.877235798434</v>
    <v>6</v>
    <v>36.770000000000003</v>
    <v>45161165980</v>
    <v>THE KRAFT HEINZ COMPANY</v>
    <v>THE KRAFT HEINZ COMPANY</v>
    <v>37.15</v>
    <v>15.3545</v>
    <v>37.15</v>
    <v>36.82</v>
    <v>36.82</v>
    <v>1226539000</v>
    <v>KHC</v>
    <v>THE KRAFT HEINZ COMPANY (XNAS:KHC)</v>
    <v>6054974</v>
    <v>8309120</v>
    <v>2013</v>
  </rv>
  <rv s="2">
    <v>7</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1" formatCode="0"/>
    </x:dxf>
    <x:dxf>
      <x:numFmt numFmtId="2" formatCode="0.00"/>
    </x:dxf>
    <x:dxf>
      <x:numFmt numFmtId="27" formatCode="m/d/yyyy\ h:mm"/>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6"/>
    <rSty dxfid="4">
      <rpv i="0">0</rpv>
    </rSty>
    <rSty dxfid="5">
      <rpv i="0">0.00</rpv>
    </rSty>
  </richStyles>
</richStyleSheet>
</file>

<file path=xl/theme/theme1.xml><?xml version="1.0" encoding="utf-8"?>
<a:theme xmlns:a="http://schemas.openxmlformats.org/drawingml/2006/main" name="Office Theme">
  <a:themeElements>
    <a:clrScheme name="CFI">
      <a:dk1>
        <a:sysClr val="windowText" lastClr="000000"/>
      </a:dk1>
      <a:lt1>
        <a:sysClr val="window" lastClr="FFFFFF"/>
      </a:lt1>
      <a:dk2>
        <a:srgbClr val="FA621C"/>
      </a:dk2>
      <a:lt2>
        <a:srgbClr val="132E57"/>
      </a:lt2>
      <a:accent1>
        <a:srgbClr val="E6E7E8"/>
      </a:accent1>
      <a:accent2>
        <a:srgbClr val="F57A16"/>
      </a:accent2>
      <a:accent3>
        <a:srgbClr val="1E8496"/>
      </a:accent3>
      <a:accent4>
        <a:srgbClr val="E6E7E8"/>
      </a:accent4>
      <a:accent5>
        <a:srgbClr val="ED942D"/>
      </a:accent5>
      <a:accent6>
        <a:srgbClr val="1E2A39"/>
      </a:accent6>
      <a:hlink>
        <a:srgbClr val="E6E7E8"/>
      </a:hlink>
      <a:folHlink>
        <a:srgbClr val="676767"/>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rporatefinanceinstitute.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gurufocus.com/term/wacc/HSY/WACC-Percentage/HSY"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34"/>
  <sheetViews>
    <sheetView showGridLines="0" zoomScaleNormal="100" workbookViewId="0">
      <selection activeCell="C16" sqref="C16"/>
    </sheetView>
  </sheetViews>
  <sheetFormatPr defaultColWidth="9.140625" defaultRowHeight="14.1"/>
  <cols>
    <col min="1" max="2" width="9.140625" style="1"/>
    <col min="3" max="3" width="24.28515625" style="1" customWidth="1"/>
    <col min="4" max="14" width="11.42578125" style="1" customWidth="1"/>
    <col min="15" max="15" width="9.140625" style="1" customWidth="1"/>
    <col min="16" max="16384" width="9.140625" style="1"/>
  </cols>
  <sheetData>
    <row r="1" spans="2:15" ht="17.45" customHeight="1"/>
    <row r="2" spans="2:15" ht="17.45" customHeight="1"/>
    <row r="3" spans="2:15" ht="17.45" customHeight="1"/>
    <row r="4" spans="2:15" ht="17.45" customHeight="1">
      <c r="B4" s="2"/>
      <c r="C4" s="2"/>
      <c r="D4" s="2"/>
      <c r="E4" s="2"/>
      <c r="F4" s="2"/>
      <c r="G4" s="2"/>
      <c r="H4" s="2"/>
      <c r="I4" s="2"/>
      <c r="J4" s="2"/>
      <c r="K4" s="2"/>
      <c r="L4" s="2"/>
      <c r="M4" s="2"/>
      <c r="N4" s="2"/>
      <c r="O4" s="2"/>
    </row>
    <row r="5" spans="2:15" ht="17.45" customHeight="1">
      <c r="B5" s="2"/>
      <c r="C5" s="2"/>
      <c r="D5" s="2"/>
      <c r="E5" s="2"/>
      <c r="F5" s="2"/>
      <c r="G5" s="2"/>
      <c r="H5" s="2"/>
      <c r="I5" s="2"/>
      <c r="J5" s="2"/>
      <c r="K5" s="2"/>
      <c r="L5" s="2"/>
      <c r="M5" s="2"/>
      <c r="N5" s="2"/>
      <c r="O5" s="2"/>
    </row>
    <row r="6" spans="2:15" ht="17.45" customHeight="1">
      <c r="B6" s="2"/>
      <c r="C6" s="2"/>
      <c r="D6" s="2"/>
      <c r="E6" s="2"/>
      <c r="F6" s="2"/>
      <c r="G6" s="2"/>
      <c r="H6" s="2"/>
      <c r="I6" s="2"/>
      <c r="J6" s="2"/>
      <c r="K6" s="2"/>
      <c r="L6" s="2"/>
      <c r="M6" s="2"/>
      <c r="N6" s="2"/>
      <c r="O6" s="2"/>
    </row>
    <row r="7" spans="2:15" ht="17.45" customHeight="1">
      <c r="B7" s="2"/>
      <c r="C7" s="2"/>
      <c r="D7" s="2"/>
      <c r="E7" s="2"/>
      <c r="F7" s="2"/>
      <c r="G7" s="2"/>
      <c r="H7" s="2"/>
      <c r="I7" s="2"/>
      <c r="J7" s="2"/>
      <c r="K7" s="2"/>
      <c r="L7" s="2"/>
      <c r="M7" s="2"/>
      <c r="N7" s="2"/>
      <c r="O7" s="2"/>
    </row>
    <row r="8" spans="2:15" ht="17.45" customHeight="1">
      <c r="B8" s="2"/>
      <c r="C8" s="2"/>
      <c r="D8" s="2"/>
      <c r="E8" s="2"/>
      <c r="F8" s="2"/>
      <c r="G8" s="2"/>
      <c r="H8" s="2"/>
      <c r="I8" s="2"/>
      <c r="J8" s="2"/>
      <c r="K8" s="2"/>
      <c r="L8" s="2"/>
      <c r="M8" s="2"/>
      <c r="N8" s="2"/>
      <c r="O8" s="2"/>
    </row>
    <row r="9" spans="2:15" ht="17.45" customHeight="1">
      <c r="B9" s="2"/>
      <c r="C9" s="2"/>
      <c r="D9" s="2"/>
      <c r="E9" s="2"/>
      <c r="F9" s="2"/>
      <c r="G9" s="2"/>
      <c r="H9" s="2"/>
      <c r="I9" s="2"/>
      <c r="J9" s="2"/>
      <c r="K9" s="2"/>
      <c r="L9" s="2"/>
      <c r="M9" s="2"/>
      <c r="N9" s="2"/>
      <c r="O9" s="2"/>
    </row>
    <row r="10" spans="2:15" ht="17.45" customHeight="1">
      <c r="B10" s="2"/>
      <c r="C10" s="2"/>
      <c r="D10" s="2"/>
      <c r="E10" s="2"/>
      <c r="F10" s="2"/>
      <c r="G10" s="2"/>
      <c r="H10" s="2"/>
      <c r="I10" s="2"/>
      <c r="J10" s="2"/>
      <c r="K10" s="2"/>
      <c r="L10" s="2"/>
      <c r="M10" s="2"/>
      <c r="N10" s="2"/>
      <c r="O10" s="2"/>
    </row>
    <row r="11" spans="2:15" ht="17.45" customHeight="1">
      <c r="B11" s="2"/>
      <c r="C11" s="2"/>
      <c r="D11" s="2"/>
      <c r="E11" s="2"/>
      <c r="F11" s="2"/>
      <c r="G11" s="2"/>
      <c r="H11" s="2"/>
      <c r="I11" s="2"/>
      <c r="J11" s="2"/>
      <c r="K11" s="2"/>
      <c r="L11" s="2"/>
      <c r="M11" s="2"/>
      <c r="N11" s="2"/>
      <c r="O11" s="2"/>
    </row>
    <row r="12" spans="2:15" ht="17.45" customHeight="1">
      <c r="B12" s="2"/>
      <c r="C12" s="2"/>
      <c r="D12" s="2"/>
      <c r="E12" s="2"/>
      <c r="F12" s="2"/>
      <c r="G12" s="2"/>
      <c r="H12" s="2"/>
      <c r="I12" s="2"/>
      <c r="J12" s="2"/>
      <c r="K12" s="2"/>
      <c r="L12" s="2"/>
      <c r="M12" s="2"/>
      <c r="N12" s="2"/>
      <c r="O12" s="2"/>
    </row>
    <row r="13" spans="2:15" ht="27.4">
      <c r="B13" s="2"/>
      <c r="C13" s="6" t="s">
        <v>0</v>
      </c>
      <c r="D13" s="2"/>
      <c r="E13" s="2"/>
      <c r="F13" s="2"/>
      <c r="G13" s="2"/>
      <c r="H13" s="2"/>
      <c r="I13" s="2"/>
      <c r="J13" s="2"/>
      <c r="K13" s="2"/>
      <c r="L13" s="2"/>
      <c r="M13" s="2"/>
      <c r="N13" s="2"/>
      <c r="O13" s="2"/>
    </row>
    <row r="14" spans="2:15" ht="17.45" customHeight="1">
      <c r="B14" s="2"/>
      <c r="C14" s="3"/>
      <c r="D14" s="2"/>
      <c r="E14" s="2"/>
      <c r="F14" s="2"/>
      <c r="G14" s="2"/>
      <c r="H14" s="2"/>
      <c r="I14" s="2"/>
      <c r="J14" s="2"/>
      <c r="K14" s="2"/>
      <c r="L14" s="2"/>
      <c r="M14" s="2"/>
      <c r="N14" s="2"/>
      <c r="O14" s="2"/>
    </row>
    <row r="15" spans="2:15" ht="17.45" customHeight="1">
      <c r="B15" s="2"/>
      <c r="C15" s="7" t="s">
        <v>1</v>
      </c>
      <c r="D15" s="2"/>
      <c r="E15" s="2"/>
      <c r="F15" s="2"/>
      <c r="G15" s="2"/>
      <c r="H15" s="2"/>
      <c r="I15" s="2"/>
      <c r="J15" s="2"/>
      <c r="K15" s="2"/>
      <c r="L15" s="2"/>
      <c r="M15" s="2"/>
      <c r="N15" s="8" t="s">
        <v>2</v>
      </c>
      <c r="O15" s="2"/>
    </row>
    <row r="16" spans="2:15" ht="17.45" customHeight="1">
      <c r="B16" s="4"/>
      <c r="C16" s="5" t="s">
        <v>3</v>
      </c>
      <c r="D16" s="2"/>
      <c r="E16" s="2"/>
      <c r="F16" s="2"/>
      <c r="G16" s="2"/>
      <c r="H16" s="2"/>
      <c r="I16" s="2"/>
      <c r="J16" s="2"/>
      <c r="K16" s="2"/>
      <c r="L16" s="2"/>
      <c r="M16" s="2"/>
      <c r="N16" s="2"/>
      <c r="O16" s="2"/>
    </row>
    <row r="17" spans="2:15" ht="17.45" customHeight="1">
      <c r="B17" s="4"/>
      <c r="C17" s="5" t="s">
        <v>4</v>
      </c>
      <c r="D17" s="2"/>
      <c r="E17" s="2"/>
      <c r="F17" s="2"/>
      <c r="G17" s="2"/>
      <c r="H17" s="2"/>
      <c r="I17" s="2"/>
      <c r="J17" s="2"/>
      <c r="K17" s="2"/>
      <c r="L17" s="2"/>
      <c r="M17" s="2"/>
      <c r="N17" s="2"/>
      <c r="O17" s="2"/>
    </row>
    <row r="18" spans="2:15" ht="17.45" customHeight="1">
      <c r="B18" s="4"/>
      <c r="C18" s="5" t="s">
        <v>5</v>
      </c>
      <c r="D18" s="2"/>
      <c r="E18" s="2"/>
      <c r="F18" s="2"/>
      <c r="G18" s="2"/>
      <c r="H18" s="2"/>
      <c r="I18" s="2"/>
      <c r="J18" s="2"/>
      <c r="K18" s="2"/>
      <c r="L18" s="2"/>
      <c r="M18" s="2"/>
      <c r="N18" s="2"/>
      <c r="O18" s="2"/>
    </row>
    <row r="19" spans="2:15" ht="17.45" customHeight="1">
      <c r="B19" s="4"/>
      <c r="C19" s="5" t="s">
        <v>6</v>
      </c>
      <c r="D19" s="2"/>
      <c r="E19" s="2"/>
      <c r="F19" s="2"/>
      <c r="G19" s="2"/>
      <c r="H19" s="2"/>
      <c r="I19" s="2"/>
      <c r="J19" s="2"/>
      <c r="K19" s="2"/>
      <c r="L19" s="2"/>
      <c r="M19" s="2"/>
      <c r="N19" s="2"/>
      <c r="O19" s="2"/>
    </row>
    <row r="20" spans="2:15" ht="17.45" customHeight="1">
      <c r="B20" s="4"/>
      <c r="C20" s="4"/>
      <c r="D20" s="2"/>
      <c r="E20" s="2"/>
      <c r="F20" s="2"/>
      <c r="G20" s="2"/>
      <c r="H20" s="2"/>
      <c r="I20" s="2"/>
      <c r="J20" s="2"/>
      <c r="K20" s="2"/>
      <c r="L20" s="2"/>
      <c r="M20" s="2"/>
      <c r="N20" s="2"/>
      <c r="O20" s="2"/>
    </row>
    <row r="21" spans="2:15" ht="17.45" customHeight="1">
      <c r="B21" s="2"/>
      <c r="C21" s="2"/>
      <c r="D21" s="2"/>
      <c r="E21" s="2"/>
      <c r="F21" s="2"/>
      <c r="G21" s="2"/>
      <c r="H21" s="2"/>
      <c r="I21" s="2"/>
      <c r="J21" s="2"/>
      <c r="K21" s="2"/>
      <c r="L21" s="2"/>
      <c r="M21" s="2"/>
      <c r="N21" s="2"/>
      <c r="O21" s="2"/>
    </row>
    <row r="22" spans="2:15" ht="17.45" customHeight="1">
      <c r="B22" s="2"/>
      <c r="C22" s="2"/>
      <c r="D22" s="2"/>
      <c r="E22" s="2"/>
      <c r="F22" s="2"/>
      <c r="G22" s="2"/>
      <c r="H22" s="2"/>
      <c r="I22" s="2"/>
      <c r="J22" s="2"/>
      <c r="K22" s="2"/>
      <c r="L22" s="2"/>
      <c r="M22" s="2"/>
      <c r="N22" s="2"/>
      <c r="O22" s="2"/>
    </row>
    <row r="23" spans="2:15" ht="17.45" customHeight="1">
      <c r="B23" s="9"/>
      <c r="C23" s="9" t="s">
        <v>7</v>
      </c>
      <c r="D23" s="9"/>
      <c r="E23" s="9"/>
      <c r="F23" s="9"/>
      <c r="G23" s="9"/>
      <c r="H23" s="9"/>
      <c r="I23" s="9"/>
      <c r="J23" s="9"/>
      <c r="K23" s="9"/>
      <c r="L23" s="9"/>
      <c r="M23" s="9"/>
      <c r="N23" s="9"/>
      <c r="O23" s="9"/>
    </row>
    <row r="24" spans="2:15" ht="17.45" customHeight="1">
      <c r="B24" s="9"/>
      <c r="C24" s="10" t="s">
        <v>8</v>
      </c>
      <c r="D24" s="10"/>
      <c r="E24" s="10"/>
      <c r="F24" s="10"/>
      <c r="G24" s="10"/>
      <c r="H24" s="10"/>
      <c r="I24" s="10"/>
      <c r="J24" s="10"/>
      <c r="K24" s="10"/>
      <c r="L24" s="10"/>
      <c r="M24" s="10"/>
      <c r="N24" s="10"/>
      <c r="O24" s="9"/>
    </row>
    <row r="25" spans="2:15" ht="17.45" customHeight="1">
      <c r="B25" s="9"/>
      <c r="C25" s="9" t="s">
        <v>9</v>
      </c>
      <c r="D25" s="9"/>
      <c r="E25" s="9"/>
      <c r="F25" s="9"/>
      <c r="G25" s="9"/>
      <c r="H25" s="9"/>
      <c r="I25" s="9"/>
      <c r="J25" s="9"/>
      <c r="K25" s="9"/>
      <c r="L25" s="9"/>
      <c r="M25" s="9"/>
      <c r="N25" s="9"/>
      <c r="O25" s="9"/>
    </row>
    <row r="26" spans="2:15" ht="17.45" customHeight="1">
      <c r="B26" s="9"/>
      <c r="C26" s="11" t="s">
        <v>10</v>
      </c>
      <c r="D26" s="9"/>
      <c r="E26" s="9"/>
      <c r="F26" s="9"/>
      <c r="G26" s="9"/>
      <c r="H26" s="9"/>
      <c r="I26" s="9"/>
      <c r="J26" s="9"/>
      <c r="K26" s="9"/>
      <c r="L26" s="9"/>
      <c r="M26" s="9"/>
      <c r="N26" s="9"/>
      <c r="O26" s="9"/>
    </row>
    <row r="27" spans="2:15" ht="17.45" customHeight="1">
      <c r="B27" s="9"/>
      <c r="C27" s="11"/>
      <c r="D27" s="9"/>
      <c r="E27" s="9"/>
      <c r="F27" s="9"/>
      <c r="G27" s="9"/>
      <c r="H27" s="9"/>
      <c r="I27" s="9"/>
      <c r="J27" s="9"/>
      <c r="K27" s="9"/>
      <c r="L27" s="9"/>
      <c r="M27" s="9"/>
      <c r="N27" s="9"/>
      <c r="O27" s="9"/>
    </row>
    <row r="28" spans="2:15" ht="17.45" customHeight="1">
      <c r="B28" s="9"/>
      <c r="C28" s="12" t="s">
        <v>11</v>
      </c>
      <c r="D28" s="13"/>
      <c r="E28" s="13"/>
      <c r="F28" s="13"/>
      <c r="G28" s="13"/>
      <c r="H28" s="13"/>
      <c r="I28" s="13"/>
      <c r="J28" s="13"/>
      <c r="K28" s="13"/>
      <c r="L28" s="13"/>
      <c r="M28" s="13"/>
      <c r="N28" s="13"/>
      <c r="O28" s="9"/>
    </row>
    <row r="29" spans="2:15" ht="17.45" customHeight="1">
      <c r="B29" s="14"/>
      <c r="C29" s="12" t="s">
        <v>12</v>
      </c>
      <c r="D29" s="12"/>
      <c r="E29" s="12"/>
      <c r="F29" s="12"/>
      <c r="G29" s="12"/>
      <c r="H29" s="12"/>
      <c r="I29" s="12"/>
      <c r="J29" s="12"/>
      <c r="K29" s="12"/>
      <c r="L29" s="12"/>
      <c r="M29" s="12"/>
      <c r="N29" s="12"/>
      <c r="O29" s="14"/>
    </row>
    <row r="30" spans="2:15" ht="17.45" customHeight="1">
      <c r="B30" s="14"/>
      <c r="C30" s="12" t="s">
        <v>13</v>
      </c>
      <c r="D30" s="12"/>
      <c r="E30" s="12"/>
      <c r="F30" s="12"/>
      <c r="G30" s="12"/>
      <c r="H30" s="12"/>
      <c r="I30" s="12"/>
      <c r="J30" s="12"/>
      <c r="K30" s="12"/>
      <c r="L30" s="12"/>
      <c r="M30" s="12"/>
      <c r="N30" s="12"/>
      <c r="O30" s="14"/>
    </row>
    <row r="31" spans="2:15" ht="17.45" customHeight="1">
      <c r="B31" s="14"/>
      <c r="C31" s="12" t="s">
        <v>14</v>
      </c>
      <c r="D31" s="12"/>
      <c r="E31" s="12"/>
      <c r="F31" s="12"/>
      <c r="G31" s="12"/>
      <c r="H31" s="12"/>
      <c r="I31" s="12"/>
      <c r="J31" s="12"/>
      <c r="K31" s="12"/>
      <c r="L31" s="12"/>
      <c r="M31" s="12"/>
      <c r="N31" s="12"/>
      <c r="O31" s="14"/>
    </row>
    <row r="32" spans="2:15" ht="17.45" customHeight="1">
      <c r="B32" s="14"/>
      <c r="C32" s="12"/>
      <c r="D32" s="12"/>
      <c r="E32" s="12"/>
      <c r="F32" s="12"/>
      <c r="G32" s="12"/>
      <c r="H32" s="12"/>
      <c r="I32" s="12"/>
      <c r="J32" s="12"/>
      <c r="K32" s="12"/>
      <c r="L32" s="12"/>
      <c r="M32" s="12"/>
      <c r="N32" s="12"/>
      <c r="O32" s="14"/>
    </row>
    <row r="33" spans="2:15" ht="17.45" customHeight="1">
      <c r="B33" s="14"/>
      <c r="C33" s="14"/>
      <c r="D33" s="14"/>
      <c r="E33" s="14"/>
      <c r="F33" s="14"/>
      <c r="G33" s="14"/>
      <c r="H33" s="14"/>
      <c r="I33" s="14"/>
      <c r="J33" s="14"/>
      <c r="K33" s="14"/>
      <c r="L33" s="14"/>
      <c r="M33" s="14"/>
      <c r="N33" s="14"/>
      <c r="O33" s="14"/>
    </row>
    <row r="34" spans="2:15" ht="17.45" customHeight="1"/>
  </sheetData>
  <hyperlinks>
    <hyperlink ref="C16" location="Comps!A1" display="Comps" xr:uid="{00000000-0004-0000-0000-000000000000}"/>
    <hyperlink ref="C17" location="Precedents!A1" display="Precedents" xr:uid="{00000000-0004-0000-0000-000001000000}"/>
    <hyperlink ref="C18" location="DCF!A1" display="DCF" xr:uid="{00000000-0004-0000-0000-000002000000}"/>
    <hyperlink ref="C19" location="'Summary - Football Field'!A1" display="Summary" xr:uid="{00000000-0004-0000-0000-000003000000}"/>
    <hyperlink ref="C26" r:id="rId1" xr:uid="{D3037860-4267-47F5-9081-A20AF0AFC337}"/>
  </hyperlinks>
  <pageMargins left="0.7" right="0.7" top="0.75" bottom="0.75" header="0.3" footer="0.3"/>
  <pageSetup scale="91"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CD5E6-7520-2B41-A8AA-300D01DC75C8}">
  <dimension ref="A1:S29"/>
  <sheetViews>
    <sheetView showGridLines="0" showRowColHeaders="0" tabSelected="1" zoomScaleNormal="100" workbookViewId="0">
      <selection activeCell="F16" sqref="F16"/>
    </sheetView>
  </sheetViews>
  <sheetFormatPr defaultColWidth="0" defaultRowHeight="14.45" zeroHeight="1"/>
  <cols>
    <col min="1" max="1" width="2.42578125" style="252" customWidth="1"/>
    <col min="2" max="2" width="5.42578125" style="252" customWidth="1"/>
    <col min="3" max="3" width="23.42578125" style="252" customWidth="1"/>
    <col min="4" max="4" width="18.42578125" style="252" customWidth="1"/>
    <col min="5" max="5" width="24.42578125" style="252" customWidth="1"/>
    <col min="6" max="8" width="9" style="252" customWidth="1"/>
    <col min="9" max="9" width="6" style="252" customWidth="1"/>
    <col min="10" max="12" width="9" style="252" customWidth="1"/>
    <col min="13" max="13" width="19.7109375" style="252" customWidth="1"/>
    <col min="14" max="15" width="9" style="252" customWidth="1"/>
    <col min="16" max="19" width="8.7109375" style="117" customWidth="1"/>
    <col min="20" max="16384" width="8.7109375" style="117" hidden="1"/>
  </cols>
  <sheetData>
    <row r="1" spans="1:15">
      <c r="A1" s="117"/>
      <c r="B1" s="224"/>
      <c r="C1" s="224"/>
      <c r="D1" s="224"/>
      <c r="E1" s="224"/>
      <c r="F1" s="224"/>
      <c r="G1" s="224"/>
      <c r="H1" s="224"/>
      <c r="I1" s="224"/>
      <c r="J1" s="224"/>
      <c r="K1" s="224"/>
      <c r="L1" s="224"/>
      <c r="M1" s="224"/>
      <c r="N1" s="224"/>
      <c r="O1" s="224"/>
    </row>
    <row r="2" spans="1:15">
      <c r="A2" s="117"/>
      <c r="B2" s="232"/>
      <c r="C2" s="224"/>
      <c r="D2" s="224"/>
      <c r="E2" s="224"/>
      <c r="F2" s="224"/>
      <c r="G2" s="224"/>
      <c r="H2" s="330" t="s">
        <v>15</v>
      </c>
      <c r="I2" s="330"/>
      <c r="J2" s="231"/>
      <c r="K2" s="231"/>
      <c r="L2" s="231"/>
      <c r="M2" s="231"/>
      <c r="N2" s="224"/>
      <c r="O2" s="224"/>
    </row>
    <row r="3" spans="1:15">
      <c r="A3" s="117"/>
      <c r="B3" s="224"/>
      <c r="C3" s="224"/>
      <c r="D3" s="224"/>
      <c r="E3" s="224"/>
      <c r="F3" s="224"/>
      <c r="G3" s="224"/>
      <c r="H3" s="229"/>
      <c r="I3" s="229"/>
      <c r="J3" s="231" t="s">
        <v>16</v>
      </c>
      <c r="K3" s="231"/>
      <c r="L3" s="310">
        <v>87184</v>
      </c>
      <c r="M3" s="231"/>
      <c r="N3" s="224"/>
      <c r="O3" s="224"/>
    </row>
    <row r="4" spans="1:15">
      <c r="A4" s="117"/>
      <c r="B4" s="224"/>
      <c r="C4" s="224"/>
      <c r="D4" s="224"/>
      <c r="E4" s="224"/>
      <c r="F4" s="224"/>
      <c r="G4" s="224"/>
      <c r="H4" s="229"/>
      <c r="I4" s="229"/>
      <c r="J4" s="231"/>
      <c r="K4" s="231"/>
      <c r="L4" s="310"/>
      <c r="M4" s="231"/>
      <c r="N4" s="224"/>
      <c r="O4" s="224"/>
    </row>
    <row r="5" spans="1:15">
      <c r="A5" s="117"/>
      <c r="B5" s="224"/>
      <c r="C5" s="224"/>
      <c r="D5" s="224"/>
      <c r="E5" s="224"/>
      <c r="F5" s="224"/>
      <c r="G5" s="224"/>
      <c r="H5" s="229"/>
      <c r="I5" s="229"/>
      <c r="J5" s="231"/>
      <c r="K5" s="231"/>
      <c r="L5" s="310"/>
      <c r="M5" s="231"/>
      <c r="N5" s="224"/>
      <c r="O5" s="224"/>
    </row>
    <row r="6" spans="1:15">
      <c r="A6" s="117"/>
      <c r="B6" s="224"/>
      <c r="C6" s="224"/>
      <c r="D6" s="224"/>
      <c r="E6" s="224"/>
      <c r="F6" s="224"/>
      <c r="G6" s="224"/>
      <c r="H6" s="229"/>
      <c r="I6" s="229"/>
      <c r="J6" s="229"/>
      <c r="K6" s="229"/>
      <c r="L6" s="310"/>
      <c r="M6" s="229"/>
      <c r="N6" s="224"/>
      <c r="O6" s="224"/>
    </row>
    <row r="7" spans="1:15">
      <c r="A7" s="117"/>
      <c r="B7" s="230" t="s">
        <v>17</v>
      </c>
      <c r="C7" s="224"/>
      <c r="D7" s="224"/>
      <c r="E7" s="224"/>
      <c r="F7" s="224"/>
      <c r="G7" s="224"/>
      <c r="H7" s="229"/>
      <c r="I7" s="229"/>
      <c r="J7" s="117"/>
      <c r="K7" s="117"/>
      <c r="L7" s="311"/>
      <c r="M7" s="117"/>
      <c r="N7" s="224"/>
      <c r="O7" s="224"/>
    </row>
    <row r="8" spans="1:15">
      <c r="A8" s="117"/>
      <c r="B8" s="228" t="s">
        <v>18</v>
      </c>
      <c r="C8" s="224"/>
      <c r="D8" s="224"/>
      <c r="E8" s="224"/>
      <c r="F8" s="224"/>
      <c r="G8" s="224"/>
      <c r="H8" s="224"/>
      <c r="I8" s="224"/>
      <c r="J8" s="223"/>
      <c r="K8" s="223"/>
      <c r="L8" s="223"/>
      <c r="M8" s="223"/>
      <c r="N8" s="224"/>
      <c r="O8" s="224"/>
    </row>
    <row r="9" spans="1:15">
      <c r="A9" s="117"/>
      <c r="B9" s="227" t="s">
        <v>19</v>
      </c>
      <c r="C9" s="226"/>
      <c r="D9" s="226"/>
      <c r="E9" s="226"/>
      <c r="F9" s="226"/>
      <c r="G9" s="224"/>
      <c r="H9" s="324" t="s">
        <v>20</v>
      </c>
      <c r="I9" s="324"/>
      <c r="J9" s="325" t="s">
        <v>21</v>
      </c>
      <c r="K9" s="325"/>
      <c r="L9" s="325"/>
      <c r="M9" s="325"/>
      <c r="N9" s="224"/>
      <c r="O9" s="224"/>
    </row>
    <row r="10" spans="1:15">
      <c r="A10" s="117"/>
      <c r="B10" s="227"/>
      <c r="C10" s="226"/>
      <c r="D10" s="226"/>
      <c r="E10" s="226"/>
      <c r="F10" s="226"/>
      <c r="G10" s="224"/>
      <c r="H10" s="225"/>
      <c r="I10" s="225"/>
      <c r="J10" s="223"/>
      <c r="K10" s="223"/>
      <c r="L10" s="223"/>
      <c r="M10" s="223"/>
      <c r="N10" s="224"/>
      <c r="O10" s="224"/>
    </row>
    <row r="11" spans="1:15">
      <c r="A11" s="117"/>
      <c r="B11" s="227"/>
      <c r="C11" s="226"/>
      <c r="D11" s="226"/>
      <c r="E11" s="226"/>
      <c r="F11" s="248"/>
      <c r="G11" s="249"/>
      <c r="H11" s="250"/>
      <c r="I11" s="250"/>
      <c r="J11" s="251"/>
      <c r="K11" s="251"/>
      <c r="L11" s="251"/>
      <c r="M11" s="251"/>
      <c r="N11" s="249"/>
      <c r="O11" s="249"/>
    </row>
    <row r="12" spans="1:15">
      <c r="A12" s="117"/>
      <c r="B12" s="224"/>
      <c r="C12" s="224"/>
      <c r="D12" s="224"/>
      <c r="E12" s="224"/>
      <c r="F12" s="249"/>
      <c r="G12" s="249"/>
      <c r="H12" s="249"/>
      <c r="I12" s="249"/>
      <c r="J12" s="249"/>
      <c r="K12" s="249"/>
      <c r="L12" s="249"/>
      <c r="M12" s="249"/>
      <c r="N12" s="249"/>
      <c r="O12" s="249"/>
    </row>
    <row r="13" spans="1:15">
      <c r="A13" s="117"/>
      <c r="B13" s="326" t="s">
        <v>22</v>
      </c>
      <c r="C13" s="327"/>
      <c r="D13" s="327"/>
      <c r="E13" s="328"/>
      <c r="F13" s="253"/>
      <c r="G13" s="247"/>
      <c r="H13" s="329"/>
      <c r="I13" s="329"/>
      <c r="J13" s="329"/>
      <c r="K13" s="329"/>
      <c r="L13" s="329"/>
      <c r="M13" s="329"/>
      <c r="N13" s="329"/>
      <c r="O13" s="329"/>
    </row>
    <row r="14" spans="1:15">
      <c r="A14" s="117"/>
      <c r="B14" s="240"/>
      <c r="C14" s="224"/>
      <c r="D14" s="224"/>
      <c r="E14" s="241"/>
      <c r="F14" s="249"/>
      <c r="G14" s="117"/>
      <c r="H14" s="251"/>
      <c r="I14" s="251"/>
      <c r="J14" s="251"/>
      <c r="K14" s="251"/>
      <c r="L14" s="251"/>
      <c r="M14" s="251"/>
      <c r="N14" s="251"/>
      <c r="O14" s="251"/>
    </row>
    <row r="15" spans="1:15">
      <c r="A15" s="117"/>
      <c r="B15" s="242"/>
      <c r="C15" s="313"/>
      <c r="D15" s="313"/>
      <c r="E15" s="243"/>
      <c r="F15" s="249"/>
      <c r="G15" s="117"/>
      <c r="H15" s="251"/>
      <c r="I15" s="251"/>
      <c r="J15" s="251"/>
      <c r="K15" s="251"/>
      <c r="L15" s="251"/>
      <c r="M15" s="251"/>
      <c r="N15" s="251"/>
      <c r="O15" s="251"/>
    </row>
    <row r="16" spans="1:15">
      <c r="A16" s="117"/>
      <c r="B16" s="254">
        <v>1</v>
      </c>
      <c r="C16" s="314" t="s">
        <v>23</v>
      </c>
      <c r="D16" s="312"/>
      <c r="E16" s="244"/>
      <c r="F16" s="247"/>
      <c r="G16" s="117"/>
      <c r="H16" s="247"/>
      <c r="I16" s="247"/>
      <c r="J16" s="247"/>
      <c r="K16" s="247"/>
      <c r="L16" s="247"/>
      <c r="M16" s="247"/>
      <c r="N16" s="247"/>
      <c r="O16" s="247"/>
    </row>
    <row r="17" spans="1:15">
      <c r="A17" s="117"/>
      <c r="B17" s="254">
        <v>2</v>
      </c>
      <c r="C17" s="314" t="s">
        <v>24</v>
      </c>
      <c r="D17" s="117"/>
      <c r="E17" s="244"/>
      <c r="F17" s="247"/>
      <c r="G17" s="117"/>
      <c r="H17" s="247"/>
      <c r="I17" s="247"/>
      <c r="J17" s="247"/>
      <c r="K17" s="247"/>
      <c r="L17" s="247"/>
      <c r="M17" s="247"/>
      <c r="N17" s="247"/>
      <c r="O17" s="247"/>
    </row>
    <row r="18" spans="1:15">
      <c r="A18" s="117"/>
      <c r="B18" s="254">
        <v>3</v>
      </c>
      <c r="C18" s="314" t="s">
        <v>25</v>
      </c>
      <c r="D18" s="117"/>
      <c r="E18" s="244"/>
      <c r="F18" s="247"/>
      <c r="G18" s="247"/>
      <c r="H18" s="247"/>
      <c r="I18" s="247"/>
      <c r="J18" s="247"/>
      <c r="K18" s="247"/>
      <c r="L18" s="247"/>
      <c r="M18" s="247"/>
      <c r="N18" s="247"/>
      <c r="O18" s="247"/>
    </row>
    <row r="19" spans="1:15">
      <c r="A19" s="117"/>
      <c r="B19" s="254">
        <v>4</v>
      </c>
      <c r="C19" s="314" t="s">
        <v>5</v>
      </c>
      <c r="D19" s="117"/>
      <c r="E19" s="244"/>
      <c r="F19" s="247"/>
      <c r="G19" s="247"/>
      <c r="H19" s="247"/>
      <c r="I19" s="247"/>
      <c r="J19" s="247"/>
      <c r="K19" s="247"/>
      <c r="L19" s="247"/>
      <c r="M19" s="247"/>
      <c r="N19" s="247"/>
      <c r="O19" s="247"/>
    </row>
    <row r="20" spans="1:15">
      <c r="A20" s="117"/>
      <c r="B20" s="255">
        <v>5</v>
      </c>
      <c r="C20" s="314" t="s">
        <v>26</v>
      </c>
      <c r="D20" s="117"/>
      <c r="E20" s="244"/>
      <c r="F20" s="247"/>
      <c r="G20" s="247"/>
      <c r="H20" s="247"/>
      <c r="I20" s="247"/>
      <c r="J20" s="247"/>
      <c r="K20" s="247"/>
      <c r="L20" s="247"/>
      <c r="M20" s="247"/>
      <c r="N20" s="247"/>
      <c r="O20" s="247"/>
    </row>
    <row r="21" spans="1:15">
      <c r="A21" s="117"/>
      <c r="B21" s="255">
        <v>6</v>
      </c>
      <c r="C21" s="314" t="s">
        <v>27</v>
      </c>
      <c r="D21" s="117"/>
      <c r="E21" s="244"/>
      <c r="F21" s="247"/>
      <c r="G21" s="247"/>
      <c r="H21" s="247"/>
      <c r="I21" s="247"/>
      <c r="J21" s="247"/>
      <c r="K21" s="247"/>
      <c r="L21" s="247"/>
      <c r="M21" s="247"/>
      <c r="N21" s="247"/>
      <c r="O21" s="247"/>
    </row>
    <row r="22" spans="1:15">
      <c r="A22" s="117"/>
      <c r="B22" s="255">
        <v>7</v>
      </c>
      <c r="C22" s="314" t="s">
        <v>28</v>
      </c>
      <c r="D22" s="117"/>
      <c r="E22" s="244"/>
      <c r="F22" s="247"/>
      <c r="G22" s="247"/>
      <c r="H22" s="247"/>
      <c r="I22" s="247"/>
      <c r="J22" s="247"/>
      <c r="K22" s="247"/>
      <c r="L22" s="247"/>
      <c r="M22" s="247"/>
      <c r="N22" s="247"/>
      <c r="O22" s="247"/>
    </row>
    <row r="23" spans="1:15">
      <c r="A23" s="117"/>
      <c r="B23" s="315">
        <v>8</v>
      </c>
      <c r="C23" s="314" t="s">
        <v>29</v>
      </c>
      <c r="D23" s="117"/>
      <c r="E23" s="244"/>
      <c r="F23" s="247"/>
      <c r="G23" s="247"/>
      <c r="H23" s="247"/>
      <c r="I23" s="247"/>
      <c r="J23" s="247"/>
      <c r="K23" s="247"/>
      <c r="L23" s="247"/>
      <c r="M23" s="247"/>
      <c r="N23" s="247"/>
      <c r="O23" s="247"/>
    </row>
    <row r="24" spans="1:15">
      <c r="A24" s="117"/>
      <c r="B24" s="316"/>
      <c r="C24" s="117"/>
      <c r="D24" s="117"/>
      <c r="E24" s="244"/>
      <c r="F24" s="247"/>
      <c r="G24" s="247"/>
      <c r="H24" s="247"/>
      <c r="I24" s="247"/>
      <c r="J24" s="247"/>
      <c r="K24" s="247"/>
      <c r="L24" s="247"/>
      <c r="M24" s="247"/>
      <c r="N24" s="247"/>
      <c r="O24" s="247"/>
    </row>
    <row r="25" spans="1:15">
      <c r="A25" s="117"/>
      <c r="B25" s="317"/>
      <c r="C25" s="245"/>
      <c r="D25" s="245"/>
      <c r="E25" s="246"/>
      <c r="F25" s="247"/>
      <c r="G25" s="247"/>
      <c r="H25" s="247"/>
      <c r="I25" s="247"/>
      <c r="J25" s="247"/>
      <c r="K25" s="247"/>
      <c r="L25" s="247"/>
      <c r="M25" s="247"/>
      <c r="N25" s="247"/>
      <c r="O25" s="247"/>
    </row>
    <row r="26" spans="1:15">
      <c r="A26" s="117"/>
      <c r="B26" s="117"/>
      <c r="C26" s="117"/>
      <c r="D26" s="117"/>
      <c r="E26" s="117"/>
      <c r="F26" s="247"/>
      <c r="G26" s="247"/>
      <c r="H26" s="247"/>
      <c r="I26" s="247"/>
      <c r="J26" s="247"/>
      <c r="K26" s="247"/>
      <c r="L26" s="247"/>
      <c r="M26" s="247"/>
      <c r="N26" s="247"/>
      <c r="O26" s="247"/>
    </row>
    <row r="27" spans="1:15">
      <c r="A27" s="117"/>
      <c r="B27" s="117"/>
      <c r="C27" s="117"/>
      <c r="D27" s="117"/>
      <c r="E27" s="117"/>
      <c r="F27" s="117"/>
      <c r="G27" s="117"/>
      <c r="H27" s="117"/>
      <c r="I27" s="117"/>
      <c r="J27" s="117"/>
      <c r="K27" s="117"/>
      <c r="L27" s="117"/>
      <c r="M27" s="117"/>
      <c r="N27" s="117"/>
      <c r="O27" s="117"/>
    </row>
    <row r="28" spans="1:15">
      <c r="A28" s="117"/>
      <c r="B28" s="117"/>
      <c r="C28" s="117"/>
      <c r="D28" s="117"/>
      <c r="E28" s="117"/>
      <c r="F28" s="117"/>
      <c r="G28" s="117"/>
      <c r="H28" s="117"/>
      <c r="I28" s="117"/>
      <c r="J28" s="117"/>
      <c r="K28" s="117"/>
      <c r="L28" s="117"/>
      <c r="M28" s="117"/>
      <c r="N28" s="117"/>
      <c r="O28" s="117"/>
    </row>
    <row r="29" spans="1:15">
      <c r="A29" s="117"/>
      <c r="B29" s="117"/>
      <c r="C29" s="117"/>
      <c r="D29" s="117"/>
      <c r="E29" s="117"/>
      <c r="F29" s="117"/>
      <c r="G29" s="117"/>
      <c r="H29" s="117"/>
      <c r="I29" s="117"/>
      <c r="J29" s="117"/>
      <c r="K29" s="117"/>
      <c r="L29" s="117"/>
      <c r="M29" s="117"/>
      <c r="N29" s="117"/>
      <c r="O29" s="117"/>
    </row>
  </sheetData>
  <mergeCells count="5">
    <mergeCell ref="H9:I9"/>
    <mergeCell ref="J9:M9"/>
    <mergeCell ref="B13:E13"/>
    <mergeCell ref="H13:O13"/>
    <mergeCell ref="H2:I2"/>
  </mergeCells>
  <hyperlinks>
    <hyperlink ref="C17" location="Beta!A1" display="BETA" xr:uid="{5C519CFB-5CE2-9D42-9C27-D04B1C620C20}"/>
    <hyperlink ref="C16" location="'FINANCIAL STATEMENTS'!A1" display="FINANCIAL STATEMENTS" xr:uid="{AD0F2DFE-807D-F240-983D-D21A26ED204F}"/>
    <hyperlink ref="C19" location="DCF!A1" display="DCF" xr:uid="{FEB5DF28-A9B7-1746-BDFD-26BA03E20625}"/>
    <hyperlink ref="C18" location="WACC!A1" display="WACC" xr:uid="{ACDBDD10-4423-174E-84B2-08A143182D1B}"/>
    <hyperlink ref="C20" location="Explanations!A1" display="EXPLANTIONS" xr:uid="{5D0936E3-CF02-A544-A6B5-6A4747D5C554}"/>
    <hyperlink ref="C21" location="'Multiple Valuation'!A1" display="MULTIPLE VALUATION" xr:uid="{4DAB560E-7CE4-DA49-B5A0-0C122C4A183D}"/>
    <hyperlink ref="C22" location="'Comparable Company A'!A1" display="MULTIPLE VALUATION" xr:uid="{28008059-C4A6-754C-9B7F-AFC6F5369FEF}"/>
    <hyperlink ref="C23" location="'Comparable Company B'!A1" display="'Comparable Company B'!A1" xr:uid="{3BA47045-8971-0041-B758-54837839335A}"/>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50AF2-3F78-47D6-BEC2-57C212A49596}">
  <dimension ref="B2:AI158"/>
  <sheetViews>
    <sheetView showGridLines="0" zoomScaleNormal="100" workbookViewId="0">
      <pane xSplit="2" ySplit="9" topLeftCell="C106" activePane="bottomRight" state="frozen"/>
      <selection pane="bottomRight" activeCell="C1" sqref="C1:C1048576"/>
      <selection pane="bottomLeft" activeCell="A6" sqref="A6"/>
      <selection pane="topRight" activeCell="B1" sqref="B1"/>
    </sheetView>
  </sheetViews>
  <sheetFormatPr defaultColWidth="8.85546875" defaultRowHeight="12.4"/>
  <cols>
    <col min="1" max="1" width="7.42578125" style="71" customWidth="1"/>
    <col min="2" max="2" width="73.28515625" style="71" bestFit="1" customWidth="1"/>
    <col min="3" max="3" width="4.7109375" style="71" hidden="1" customWidth="1"/>
    <col min="4" max="4" width="10.140625" style="71" customWidth="1"/>
    <col min="5" max="9" width="11.7109375" style="71" bestFit="1" customWidth="1"/>
    <col min="10" max="10" width="23" style="71" bestFit="1" customWidth="1"/>
    <col min="11" max="11" width="11.7109375" style="71" customWidth="1"/>
    <col min="12" max="14" width="11.7109375" style="71" bestFit="1" customWidth="1"/>
    <col min="15" max="15" width="7.85546875" style="71" customWidth="1"/>
    <col min="16" max="16" width="11.7109375" style="71" bestFit="1" customWidth="1"/>
    <col min="17" max="17" width="10.140625" style="71" bestFit="1" customWidth="1"/>
    <col min="18" max="20" width="11.85546875" style="71" customWidth="1"/>
    <col min="21" max="22" width="8.85546875" style="71"/>
    <col min="23" max="25" width="10.28515625" style="71" bestFit="1" customWidth="1"/>
    <col min="26" max="16384" width="8.85546875" style="71"/>
  </cols>
  <sheetData>
    <row r="2" spans="2:20">
      <c r="B2" s="98" t="s">
        <v>30</v>
      </c>
      <c r="D2" s="71" t="s">
        <v>31</v>
      </c>
    </row>
    <row r="3" spans="2:20">
      <c r="B3" s="98" t="s">
        <v>32</v>
      </c>
      <c r="D3" s="71" t="e" vm="1">
        <v>#VALUE!</v>
      </c>
    </row>
    <row r="4" spans="2:20">
      <c r="B4" s="98" t="s">
        <v>33</v>
      </c>
      <c r="D4" s="335" cm="1">
        <f t="array" ref="D4">_FV(D3,"Price")</f>
        <v>189.32</v>
      </c>
      <c r="E4" s="335"/>
    </row>
    <row r="5" spans="2:20">
      <c r="B5" s="337" t="s">
        <v>34</v>
      </c>
      <c r="C5" s="138"/>
      <c r="D5" s="334">
        <v>2017</v>
      </c>
      <c r="E5" s="334">
        <v>2018</v>
      </c>
      <c r="F5" s="334">
        <v>2019</v>
      </c>
      <c r="G5" s="334">
        <v>2020</v>
      </c>
      <c r="H5" s="334">
        <v>2021</v>
      </c>
    </row>
    <row r="6" spans="2:20">
      <c r="B6" s="337"/>
      <c r="C6" s="138"/>
      <c r="D6" s="334"/>
      <c r="E6" s="334"/>
      <c r="F6" s="334"/>
      <c r="G6" s="334"/>
      <c r="H6" s="334">
        <f>G6+1</f>
        <v>1</v>
      </c>
    </row>
    <row r="7" spans="2:20">
      <c r="B7" s="337"/>
      <c r="C7" s="139"/>
      <c r="D7" s="334"/>
      <c r="E7" s="334"/>
      <c r="F7" s="334"/>
      <c r="G7" s="334"/>
      <c r="H7" s="334"/>
    </row>
    <row r="10" spans="2:20">
      <c r="D10" s="336" t="s">
        <v>35</v>
      </c>
      <c r="E10" s="336"/>
      <c r="F10" s="336"/>
      <c r="G10" s="336"/>
      <c r="H10" s="336"/>
    </row>
    <row r="11" spans="2:20">
      <c r="B11" s="73" t="s">
        <v>36</v>
      </c>
      <c r="C11" s="73"/>
      <c r="D11" s="73"/>
      <c r="E11" s="73"/>
      <c r="F11" s="73"/>
      <c r="G11" s="73"/>
      <c r="H11" s="73"/>
      <c r="I11" s="121"/>
      <c r="J11" s="338" t="s">
        <v>37</v>
      </c>
      <c r="K11" s="338"/>
      <c r="L11" s="338"/>
      <c r="M11" s="338"/>
      <c r="N11" s="338"/>
      <c r="O11" s="112"/>
      <c r="P11" s="109" t="s">
        <v>38</v>
      </c>
      <c r="T11" s="112"/>
    </row>
    <row r="12" spans="2:20">
      <c r="B12" s="75"/>
      <c r="C12" s="75"/>
      <c r="D12" s="75"/>
      <c r="E12" s="75"/>
      <c r="F12" s="75"/>
      <c r="G12" s="75"/>
      <c r="H12" s="75"/>
      <c r="I12" s="75"/>
      <c r="K12" s="76"/>
      <c r="L12" s="76"/>
    </row>
    <row r="13" spans="2:20">
      <c r="B13" s="77" t="s">
        <v>39</v>
      </c>
      <c r="C13" s="75"/>
      <c r="D13" s="83">
        <v>7515426</v>
      </c>
      <c r="E13" s="83">
        <v>7791069</v>
      </c>
      <c r="F13" s="83">
        <v>7986252</v>
      </c>
      <c r="G13" s="83">
        <v>8149719</v>
      </c>
      <c r="H13" s="83">
        <v>8971337</v>
      </c>
      <c r="I13" s="83"/>
      <c r="K13" s="21">
        <f>(E13/D13)-1</f>
        <v>3.6676962822866033E-2</v>
      </c>
      <c r="L13" s="21">
        <f>(F13/E13)-1</f>
        <v>2.505214624591301E-2</v>
      </c>
      <c r="M13" s="21">
        <f>(G13/F13)-1</f>
        <v>2.0468550203524671E-2</v>
      </c>
      <c r="N13" s="21">
        <f>(H13/G13)-1</f>
        <v>0.10081550050989496</v>
      </c>
      <c r="O13" s="21"/>
      <c r="P13" s="157">
        <f>AVERAGE(K13:N13)</f>
        <v>4.5753289945549669E-2</v>
      </c>
      <c r="T13" s="101"/>
    </row>
    <row r="14" spans="2:20">
      <c r="B14" s="79" t="s">
        <v>40</v>
      </c>
      <c r="C14" s="79"/>
      <c r="D14" s="81">
        <v>4060050</v>
      </c>
      <c r="E14" s="81">
        <v>4215744</v>
      </c>
      <c r="F14" s="81">
        <v>4363774</v>
      </c>
      <c r="G14" s="81">
        <v>4448450</v>
      </c>
      <c r="H14" s="81">
        <v>4922739</v>
      </c>
      <c r="I14" s="81"/>
      <c r="J14" s="23">
        <f>D14/D13</f>
        <v>0.54022885728633352</v>
      </c>
      <c r="K14" s="23">
        <f>E14/E13</f>
        <v>0.54109955899504936</v>
      </c>
      <c r="L14" s="23">
        <f>F14/F13</f>
        <v>0.54641075688570806</v>
      </c>
      <c r="M14" s="23">
        <f>G14/G13</f>
        <v>0.5458409056803063</v>
      </c>
      <c r="N14" s="23">
        <f>H14/H13</f>
        <v>0.54871854663357311</v>
      </c>
      <c r="O14" s="23"/>
      <c r="P14" s="23">
        <f>AVERAGE(J14:N14)</f>
        <v>0.54445972509619411</v>
      </c>
      <c r="T14" s="113"/>
    </row>
    <row r="15" spans="2:20" ht="12.6" thickBot="1">
      <c r="B15" s="84" t="s">
        <v>41</v>
      </c>
      <c r="C15" s="75"/>
      <c r="D15" s="84">
        <f>D13-D14</f>
        <v>3455376</v>
      </c>
      <c r="E15" s="84">
        <f>E13-E14</f>
        <v>3575325</v>
      </c>
      <c r="F15" s="84">
        <f>F13-F14</f>
        <v>3622478</v>
      </c>
      <c r="G15" s="84">
        <f>G13-G14</f>
        <v>3701269</v>
      </c>
      <c r="H15" s="84">
        <f>H13-H14</f>
        <v>4048598</v>
      </c>
      <c r="I15" s="75"/>
      <c r="J15" s="155">
        <f t="shared" ref="J15:L15" si="0">D15/D13</f>
        <v>0.45977114271366654</v>
      </c>
      <c r="K15" s="155">
        <f t="shared" si="0"/>
        <v>0.45890044100495064</v>
      </c>
      <c r="L15" s="155">
        <f t="shared" si="0"/>
        <v>0.45358924311429188</v>
      </c>
      <c r="M15" s="155">
        <f t="shared" ref="M15:N15" si="1">G15/G13</f>
        <v>0.4541590943196937</v>
      </c>
      <c r="N15" s="155">
        <f t="shared" si="1"/>
        <v>0.45128145336642689</v>
      </c>
      <c r="O15" s="21"/>
      <c r="P15" s="155">
        <f>AVERAGE(J15:N15)</f>
        <v>0.45554027490380589</v>
      </c>
      <c r="T15" s="114"/>
    </row>
    <row r="16" spans="2:20" ht="12.6" thickTop="1">
      <c r="B16" s="75" t="s">
        <v>42</v>
      </c>
      <c r="C16" s="75"/>
      <c r="D16" s="75"/>
      <c r="E16" s="75"/>
      <c r="F16" s="75"/>
      <c r="G16" s="75"/>
      <c r="H16" s="75"/>
      <c r="I16" s="75"/>
      <c r="J16" s="21"/>
      <c r="K16" s="21"/>
      <c r="L16" s="21"/>
      <c r="M16" s="21"/>
      <c r="N16" s="21"/>
      <c r="O16" s="21"/>
      <c r="P16" s="21"/>
      <c r="T16" s="114"/>
    </row>
    <row r="17" spans="2:35">
      <c r="B17" s="70" t="s">
        <v>43</v>
      </c>
      <c r="C17" s="70"/>
      <c r="D17" s="83">
        <v>1885492</v>
      </c>
      <c r="E17" s="83">
        <v>1874829</v>
      </c>
      <c r="F17" s="83">
        <v>1905929</v>
      </c>
      <c r="G17" s="83">
        <v>1890925</v>
      </c>
      <c r="H17" s="83">
        <v>2001351</v>
      </c>
      <c r="I17" s="83"/>
      <c r="J17" s="23">
        <f>D17/D13</f>
        <v>0.25088291734893003</v>
      </c>
      <c r="K17" s="23">
        <f t="shared" ref="K17" si="2">E17/E13</f>
        <v>0.24063822307311103</v>
      </c>
      <c r="L17" s="23">
        <f>F17/F13</f>
        <v>0.23865124716825864</v>
      </c>
      <c r="M17" s="23">
        <f t="shared" ref="M17:N17" si="3">G17/G13</f>
        <v>0.23202333724635169</v>
      </c>
      <c r="N17" s="23">
        <f t="shared" si="3"/>
        <v>0.22308280248529289</v>
      </c>
      <c r="O17" s="23"/>
      <c r="P17" s="23">
        <f>AVERAGE(J17:N17)</f>
        <v>0.23705570546438884</v>
      </c>
      <c r="T17" s="113"/>
    </row>
    <row r="18" spans="2:35">
      <c r="B18" s="70" t="s">
        <v>44</v>
      </c>
      <c r="C18" s="70"/>
      <c r="D18" s="83">
        <v>208712</v>
      </c>
      <c r="E18" s="83">
        <v>57729</v>
      </c>
      <c r="F18" s="83">
        <v>112485</v>
      </c>
      <c r="G18" s="83">
        <v>9143</v>
      </c>
      <c r="H18" s="83">
        <v>0</v>
      </c>
      <c r="I18" s="83"/>
      <c r="J18" s="23">
        <f>D18/D13</f>
        <v>2.7771146971575528E-2</v>
      </c>
      <c r="K18" s="23">
        <f t="shared" ref="K18" si="4">E18/E13</f>
        <v>7.4096378815281961E-3</v>
      </c>
      <c r="L18" s="23">
        <f>F18/F13</f>
        <v>1.408482977997689E-2</v>
      </c>
      <c r="M18" s="23">
        <f t="shared" ref="M18:N18" si="5">G18/G13</f>
        <v>1.121879171539534E-3</v>
      </c>
      <c r="N18" s="23">
        <f t="shared" si="5"/>
        <v>0</v>
      </c>
      <c r="O18" s="23"/>
      <c r="P18" s="23">
        <f>AVERAGE(J18:N18)</f>
        <v>1.0077498760924029E-2</v>
      </c>
      <c r="T18" s="113"/>
    </row>
    <row r="19" spans="2:35">
      <c r="B19" s="70" t="s">
        <v>45</v>
      </c>
      <c r="C19" s="70"/>
      <c r="D19" s="83">
        <v>47763</v>
      </c>
      <c r="E19" s="83">
        <v>19103</v>
      </c>
      <c r="F19" s="83">
        <v>8112</v>
      </c>
      <c r="G19" s="83">
        <v>18503</v>
      </c>
      <c r="H19" s="83">
        <v>3525</v>
      </c>
      <c r="I19" s="83"/>
      <c r="J19" s="23">
        <f>D19/D13</f>
        <v>6.3553283606278604E-3</v>
      </c>
      <c r="K19" s="23">
        <f t="shared" ref="K19" si="6">E19/E13</f>
        <v>2.4519100010537706E-3</v>
      </c>
      <c r="L19" s="23">
        <f>F19/F13</f>
        <v>1.0157455587426994E-3</v>
      </c>
      <c r="M19" s="23">
        <f t="shared" ref="M19:N19" si="7">G19/G13</f>
        <v>2.2703850279991249E-3</v>
      </c>
      <c r="N19" s="23">
        <f t="shared" si="7"/>
        <v>3.9291802325561951E-4</v>
      </c>
      <c r="O19" s="23"/>
      <c r="P19" s="23">
        <f>AVERAGE(J19:N19)</f>
        <v>2.497257394335815E-3</v>
      </c>
      <c r="T19" s="113"/>
    </row>
    <row r="20" spans="2:35" ht="12.6" thickBot="1">
      <c r="B20" s="84" t="s">
        <v>46</v>
      </c>
      <c r="C20" s="75"/>
      <c r="D20" s="84">
        <f>D15-SUM(D17:D19)</f>
        <v>1313409</v>
      </c>
      <c r="E20" s="84">
        <f>E15-SUM(E17:E19)</f>
        <v>1623664</v>
      </c>
      <c r="F20" s="84">
        <f>F15-SUM(F17:F19)</f>
        <v>1595952</v>
      </c>
      <c r="G20" s="84">
        <f>G15-SUM(G17:G19)</f>
        <v>1782698</v>
      </c>
      <c r="H20" s="84">
        <f>H15-SUM(H17:H19)</f>
        <v>2043722</v>
      </c>
      <c r="I20" s="75"/>
      <c r="J20" s="155">
        <f>D20/D13</f>
        <v>0.17476175003253308</v>
      </c>
      <c r="K20" s="155">
        <f t="shared" ref="K20" si="8">E20/E13</f>
        <v>0.20840067004925769</v>
      </c>
      <c r="L20" s="155">
        <f>F20/F13</f>
        <v>0.19983742060731366</v>
      </c>
      <c r="M20" s="155">
        <f t="shared" ref="M20:N20" si="9">G20/G13</f>
        <v>0.21874349287380337</v>
      </c>
      <c r="N20" s="155">
        <f t="shared" si="9"/>
        <v>0.22780573285787836</v>
      </c>
      <c r="O20" s="21"/>
      <c r="P20" s="155">
        <f>AVERAGE(J20:N20)</f>
        <v>0.20590981328415725</v>
      </c>
      <c r="T20" s="114"/>
    </row>
    <row r="21" spans="2:35" ht="12.6" thickTop="1">
      <c r="B21" s="75"/>
      <c r="C21" s="75"/>
      <c r="D21" s="75"/>
      <c r="E21" s="75"/>
      <c r="F21" s="75"/>
      <c r="G21" s="75"/>
      <c r="H21" s="75"/>
      <c r="I21" s="75"/>
      <c r="J21" s="21"/>
      <c r="K21" s="21"/>
      <c r="L21" s="21"/>
      <c r="M21" s="21"/>
      <c r="N21" s="21"/>
      <c r="O21" s="21"/>
      <c r="P21" s="21"/>
      <c r="T21" s="114"/>
    </row>
    <row r="22" spans="2:35">
      <c r="B22" s="70" t="s">
        <v>47</v>
      </c>
      <c r="C22" s="70"/>
      <c r="D22" s="81">
        <v>98282</v>
      </c>
      <c r="E22" s="81">
        <v>138837</v>
      </c>
      <c r="F22" s="81">
        <v>144125</v>
      </c>
      <c r="G22" s="81">
        <v>149374</v>
      </c>
      <c r="H22" s="81">
        <v>127417</v>
      </c>
      <c r="I22" s="81"/>
      <c r="J22" s="23">
        <f>D22/D20</f>
        <v>7.4829698898058405E-2</v>
      </c>
      <c r="K22" s="23">
        <f t="shared" ref="K22:N22" si="10">E22/E20</f>
        <v>8.5508454951270713E-2</v>
      </c>
      <c r="L22" s="23">
        <f t="shared" si="10"/>
        <v>9.0306600699770423E-2</v>
      </c>
      <c r="M22" s="23">
        <f t="shared" si="10"/>
        <v>8.3790973008327829E-2</v>
      </c>
      <c r="N22" s="23">
        <f t="shared" si="10"/>
        <v>6.2345563633410025E-2</v>
      </c>
      <c r="O22" s="23"/>
      <c r="P22" s="23">
        <f>AVERAGE(J22:N22)</f>
        <v>7.9356258238167471E-2</v>
      </c>
      <c r="T22" s="113"/>
    </row>
    <row r="23" spans="2:35">
      <c r="B23" s="70" t="s">
        <v>48</v>
      </c>
      <c r="C23" s="70"/>
      <c r="D23" s="81">
        <v>104459</v>
      </c>
      <c r="E23" s="81">
        <v>74766</v>
      </c>
      <c r="F23" s="81">
        <v>71043</v>
      </c>
      <c r="G23" s="81">
        <v>138327</v>
      </c>
      <c r="H23" s="81">
        <v>119081</v>
      </c>
      <c r="I23" s="81"/>
      <c r="J23" s="23">
        <f>D23/D20</f>
        <v>7.9532727429155736E-2</v>
      </c>
      <c r="K23" s="23">
        <f t="shared" ref="K23:N23" si="11">E23/E20</f>
        <v>4.6047704451167237E-2</v>
      </c>
      <c r="L23" s="23">
        <f t="shared" si="11"/>
        <v>4.4514496676591776E-2</v>
      </c>
      <c r="M23" s="23">
        <f t="shared" si="11"/>
        <v>7.7594185891272663E-2</v>
      </c>
      <c r="N23" s="23">
        <f t="shared" si="11"/>
        <v>5.8266730993745727E-2</v>
      </c>
      <c r="O23" s="23"/>
      <c r="P23" s="23">
        <f>AVERAGE(J23:N23)</f>
        <v>6.1191169088386635E-2</v>
      </c>
      <c r="T23" s="113"/>
    </row>
    <row r="24" spans="2:35" ht="12.6" thickBot="1">
      <c r="B24" s="84" t="s">
        <v>49</v>
      </c>
      <c r="C24" s="75"/>
      <c r="D24" s="84">
        <f>D20-SUM(D22:D23)</f>
        <v>1110668</v>
      </c>
      <c r="E24" s="84">
        <f>E20-SUM(E22:E23)</f>
        <v>1410061</v>
      </c>
      <c r="F24" s="84">
        <f>F20-SUM(F22:F23)</f>
        <v>1380784</v>
      </c>
      <c r="G24" s="84">
        <f>G20-SUM(G22:G23)</f>
        <v>1494997</v>
      </c>
      <c r="H24" s="84">
        <f>H20-SUM(H22:H23)</f>
        <v>1797224</v>
      </c>
      <c r="I24" s="75"/>
      <c r="J24" s="155">
        <f>D24/D13</f>
        <v>0.14778510226832117</v>
      </c>
      <c r="K24" s="155">
        <f t="shared" ref="K24" si="12">E24/E13</f>
        <v>0.18098427828068267</v>
      </c>
      <c r="L24" s="155">
        <f>F24/F13</f>
        <v>0.17289512026417397</v>
      </c>
      <c r="M24" s="155">
        <f t="shared" ref="M24:N24" si="13">G24/G13</f>
        <v>0.18344153951811099</v>
      </c>
      <c r="N24" s="155">
        <f t="shared" si="13"/>
        <v>0.20032956068866881</v>
      </c>
      <c r="O24" s="21"/>
      <c r="P24" s="155">
        <f>AVERAGE(J24:N24)</f>
        <v>0.1770871202039915</v>
      </c>
      <c r="T24" s="114"/>
    </row>
    <row r="25" spans="2:35" ht="12.6" thickTop="1">
      <c r="B25" s="75"/>
      <c r="C25" s="75"/>
      <c r="D25" s="75"/>
      <c r="E25" s="75"/>
      <c r="F25" s="75"/>
      <c r="G25" s="75"/>
      <c r="H25" s="75"/>
      <c r="I25" s="75"/>
      <c r="J25" s="21"/>
      <c r="K25" s="21"/>
      <c r="L25" s="21"/>
      <c r="M25" s="21"/>
      <c r="N25" s="21"/>
      <c r="O25" s="21"/>
      <c r="P25" s="21"/>
      <c r="T25" s="114"/>
    </row>
    <row r="26" spans="2:35">
      <c r="B26" s="70" t="s">
        <v>50</v>
      </c>
      <c r="C26" s="70"/>
      <c r="D26" s="81">
        <v>354131</v>
      </c>
      <c r="E26" s="81">
        <v>239010</v>
      </c>
      <c r="F26" s="81">
        <v>234032</v>
      </c>
      <c r="G26" s="81">
        <v>219584</v>
      </c>
      <c r="H26" s="81">
        <v>314405</v>
      </c>
      <c r="I26" s="81"/>
      <c r="J26" s="21">
        <f>D26/D24</f>
        <v>0.31884505540809677</v>
      </c>
      <c r="K26" s="21">
        <f>E26/E24</f>
        <v>0.16950330517615905</v>
      </c>
      <c r="L26" s="21">
        <f>F26/F24</f>
        <v>0.16949211462473493</v>
      </c>
      <c r="M26" s="21">
        <f t="shared" ref="M26:N26" si="14">G26/G24</f>
        <v>0.14687922450680502</v>
      </c>
      <c r="N26" s="21">
        <f t="shared" si="14"/>
        <v>0.17493923962733637</v>
      </c>
      <c r="O26" s="21"/>
      <c r="P26" s="21">
        <f>AVERAGE(J26:N26)</f>
        <v>0.19593178786862642</v>
      </c>
      <c r="S26" s="21"/>
      <c r="T26" s="114"/>
    </row>
    <row r="27" spans="2:35">
      <c r="B27" s="70" t="s">
        <v>51</v>
      </c>
      <c r="C27" s="70"/>
      <c r="D27" s="105">
        <f>D24-D26</f>
        <v>756537</v>
      </c>
      <c r="E27" s="105">
        <f>E24-E26</f>
        <v>1171051</v>
      </c>
      <c r="F27" s="105">
        <f>F24-F26</f>
        <v>1146752</v>
      </c>
      <c r="G27" s="105">
        <f>G24-G26</f>
        <v>1275413</v>
      </c>
      <c r="H27" s="105">
        <f>H24-H26</f>
        <v>1482819</v>
      </c>
      <c r="I27" s="105"/>
      <c r="J27" s="21"/>
      <c r="K27" s="76"/>
      <c r="L27" s="21"/>
      <c r="M27" s="76"/>
      <c r="N27" s="76"/>
      <c r="O27" s="76"/>
      <c r="P27" s="76"/>
      <c r="T27" s="115"/>
    </row>
    <row r="28" spans="2:35">
      <c r="B28" s="70" t="s">
        <v>52</v>
      </c>
      <c r="C28" s="70"/>
      <c r="D28" s="81">
        <v>-26444</v>
      </c>
      <c r="E28" s="81">
        <v>-6511</v>
      </c>
      <c r="F28" s="81">
        <v>-2940</v>
      </c>
      <c r="G28" s="81">
        <v>-3295</v>
      </c>
      <c r="H28" s="81">
        <v>5307</v>
      </c>
      <c r="I28" s="81"/>
      <c r="J28" s="76"/>
      <c r="K28" s="76"/>
      <c r="L28" s="76"/>
      <c r="M28" s="76"/>
      <c r="N28" s="76"/>
      <c r="O28" s="76"/>
      <c r="P28" s="76"/>
      <c r="T28" s="115"/>
    </row>
    <row r="29" spans="2:35" s="98" customFormat="1" ht="12.6" thickBot="1">
      <c r="B29" s="102" t="s">
        <v>53</v>
      </c>
      <c r="C29" s="122"/>
      <c r="D29" s="103">
        <f>D27-D28</f>
        <v>782981</v>
      </c>
      <c r="E29" s="103">
        <f>E27-E28</f>
        <v>1177562</v>
      </c>
      <c r="F29" s="103">
        <f>F27-F28</f>
        <v>1149692</v>
      </c>
      <c r="G29" s="103">
        <f>G27-G28</f>
        <v>1278708</v>
      </c>
      <c r="H29" s="103">
        <f>H27-H28</f>
        <v>1477512</v>
      </c>
      <c r="I29" s="156"/>
      <c r="J29" s="155">
        <f>D29/D13</f>
        <v>0.10418318269649651</v>
      </c>
      <c r="K29" s="155">
        <f t="shared" ref="K29" si="15">E29/E13</f>
        <v>0.15114254539396327</v>
      </c>
      <c r="L29" s="155">
        <f>F29/F13</f>
        <v>0.14395889335823614</v>
      </c>
      <c r="M29" s="155">
        <f t="shared" ref="M29:N29" si="16">G29/G13</f>
        <v>0.15690209686984299</v>
      </c>
      <c r="N29" s="155">
        <f t="shared" si="16"/>
        <v>0.16469250904296651</v>
      </c>
      <c r="O29" s="21"/>
      <c r="P29" s="155">
        <f>AVERAGE(J29:N29)</f>
        <v>0.14417584547230108</v>
      </c>
      <c r="Q29" s="108"/>
      <c r="S29" s="108"/>
      <c r="T29" s="114"/>
    </row>
    <row r="30" spans="2:35" ht="12.6" thickTop="1">
      <c r="B30" s="75"/>
      <c r="C30" s="75"/>
      <c r="D30" s="75"/>
      <c r="E30" s="75"/>
      <c r="F30" s="75"/>
      <c r="G30" s="75"/>
      <c r="H30" s="75"/>
      <c r="I30" s="75"/>
      <c r="K30" s="75"/>
      <c r="L30" s="75"/>
      <c r="M30" s="75"/>
      <c r="N30" s="75"/>
      <c r="O30" s="75"/>
      <c r="P30" s="75"/>
      <c r="Q30" s="75"/>
      <c r="R30" s="75"/>
      <c r="S30" s="75"/>
      <c r="T30" s="76"/>
      <c r="U30" s="75"/>
      <c r="V30" s="75"/>
      <c r="W30" s="75"/>
      <c r="X30" s="76"/>
      <c r="Y30" s="76"/>
      <c r="Z30" s="76"/>
      <c r="AA30" s="76"/>
      <c r="AB30" s="76"/>
      <c r="AE30" s="332"/>
      <c r="AF30" s="332"/>
      <c r="AH30" s="331"/>
      <c r="AI30" s="331"/>
    </row>
    <row r="31" spans="2:35">
      <c r="B31" s="78"/>
      <c r="C31" s="79"/>
      <c r="D31" s="78"/>
      <c r="E31" s="78"/>
      <c r="F31" s="78"/>
      <c r="G31" s="78"/>
      <c r="H31" s="78"/>
      <c r="I31" s="79"/>
      <c r="K31" s="78"/>
      <c r="L31" s="78"/>
      <c r="M31" s="78"/>
      <c r="N31" s="78"/>
      <c r="O31" s="78"/>
      <c r="P31" s="78"/>
      <c r="Q31" s="78"/>
      <c r="R31" s="78"/>
      <c r="S31" s="78"/>
      <c r="T31" s="78"/>
      <c r="U31" s="78"/>
      <c r="V31" s="82"/>
      <c r="W31" s="78"/>
      <c r="X31" s="78"/>
      <c r="Y31" s="78"/>
      <c r="Z31" s="82"/>
      <c r="AA31" s="82"/>
      <c r="AB31" s="82"/>
    </row>
    <row r="32" spans="2:35">
      <c r="B32" s="78"/>
      <c r="C32" s="79"/>
      <c r="D32" s="78"/>
      <c r="E32" s="78"/>
      <c r="F32" s="333"/>
      <c r="G32" s="333"/>
      <c r="H32" s="333"/>
      <c r="I32" s="119"/>
      <c r="K32" s="78"/>
      <c r="L32" s="78"/>
      <c r="M32" s="78"/>
      <c r="N32" s="78"/>
      <c r="O32" s="78"/>
      <c r="P32" s="78"/>
      <c r="Q32" s="78"/>
      <c r="R32" s="78"/>
      <c r="S32" s="78"/>
      <c r="T32" s="78"/>
      <c r="U32" s="78"/>
      <c r="V32" s="82"/>
      <c r="W32" s="78"/>
      <c r="X32" s="78"/>
      <c r="Y32" s="78"/>
      <c r="Z32" s="82"/>
      <c r="AA32" s="82"/>
      <c r="AB32" s="82"/>
    </row>
    <row r="33" spans="2:27">
      <c r="B33" s="73" t="s">
        <v>54</v>
      </c>
      <c r="C33" s="73"/>
      <c r="D33" s="73"/>
      <c r="E33" s="73"/>
      <c r="F33" s="73"/>
      <c r="G33" s="73"/>
      <c r="H33" s="73"/>
      <c r="I33" s="121"/>
      <c r="K33" s="85"/>
      <c r="L33" s="85"/>
      <c r="M33" s="85"/>
      <c r="N33" s="85"/>
      <c r="O33" s="85"/>
      <c r="P33" s="85"/>
      <c r="Q33" s="85"/>
      <c r="R33" s="85"/>
      <c r="S33" s="85"/>
      <c r="T33" s="85"/>
      <c r="U33" s="85"/>
      <c r="V33" s="85"/>
      <c r="W33" s="85"/>
      <c r="X33" s="85"/>
      <c r="Y33" s="74"/>
      <c r="Z33" s="74"/>
      <c r="AA33" s="74"/>
    </row>
    <row r="34" spans="2:27">
      <c r="B34" s="78"/>
      <c r="C34" s="79"/>
      <c r="D34" s="78"/>
      <c r="E34" s="78"/>
      <c r="F34" s="78"/>
      <c r="G34" s="78"/>
      <c r="H34" s="78"/>
      <c r="I34" s="78"/>
      <c r="J34" s="73" t="s">
        <v>55</v>
      </c>
      <c r="K34" s="73"/>
      <c r="L34" s="73"/>
      <c r="M34" s="73"/>
      <c r="N34" s="73"/>
      <c r="O34" s="73"/>
      <c r="P34" s="73"/>
      <c r="Q34" s="121"/>
      <c r="R34" s="86"/>
      <c r="S34" s="86"/>
      <c r="T34" s="86"/>
      <c r="U34" s="86"/>
      <c r="V34" s="82"/>
      <c r="W34" s="82"/>
      <c r="X34" s="82"/>
    </row>
    <row r="35" spans="2:27">
      <c r="B35" s="77" t="s">
        <v>56</v>
      </c>
      <c r="C35" s="75"/>
      <c r="D35" s="77"/>
      <c r="E35" s="77"/>
      <c r="F35" s="78"/>
      <c r="G35" s="78"/>
      <c r="H35" s="78"/>
      <c r="I35" s="78"/>
      <c r="J35" s="73"/>
      <c r="K35" s="73"/>
      <c r="L35" s="73"/>
      <c r="M35" s="73"/>
      <c r="N35" s="73"/>
      <c r="O35" s="73"/>
      <c r="P35" s="73"/>
      <c r="Q35" s="121"/>
      <c r="R35" s="86"/>
      <c r="S35" s="86"/>
      <c r="T35" s="82"/>
      <c r="U35" s="82"/>
      <c r="V35" s="82"/>
    </row>
    <row r="36" spans="2:27">
      <c r="B36" s="87" t="s">
        <v>57</v>
      </c>
      <c r="C36" s="87"/>
      <c r="D36" s="80">
        <v>380179</v>
      </c>
      <c r="E36" s="80">
        <v>587998</v>
      </c>
      <c r="F36" s="80">
        <v>493262</v>
      </c>
      <c r="G36" s="80">
        <v>1143987</v>
      </c>
      <c r="H36" s="80">
        <v>329266</v>
      </c>
      <c r="I36" s="80"/>
      <c r="J36" s="86"/>
      <c r="K36" s="110">
        <v>2017</v>
      </c>
      <c r="L36" s="110">
        <v>2018</v>
      </c>
      <c r="M36" s="110">
        <v>2019</v>
      </c>
      <c r="N36" s="110">
        <v>2020</v>
      </c>
      <c r="O36" s="110">
        <v>2021</v>
      </c>
      <c r="P36" s="110" t="s">
        <v>38</v>
      </c>
      <c r="Q36" s="86"/>
      <c r="R36" s="86"/>
      <c r="S36" s="82"/>
      <c r="T36" s="82"/>
      <c r="U36" s="82"/>
    </row>
    <row r="37" spans="2:27">
      <c r="B37" s="87" t="s">
        <v>58</v>
      </c>
      <c r="C37" s="87"/>
      <c r="D37" s="80">
        <v>588262</v>
      </c>
      <c r="E37" s="80">
        <v>594145</v>
      </c>
      <c r="F37" s="80">
        <v>568509</v>
      </c>
      <c r="G37" s="80">
        <v>615233</v>
      </c>
      <c r="H37" s="80">
        <v>671464</v>
      </c>
      <c r="I37" s="80"/>
      <c r="J37" s="86" t="s">
        <v>59</v>
      </c>
      <c r="K37" s="111">
        <f>D37*365/D13</f>
        <v>28.56998791552202</v>
      </c>
      <c r="L37" s="111">
        <f>E37*365/E13</f>
        <v>27.834809959968265</v>
      </c>
      <c r="M37" s="111">
        <f>F37*365/F13</f>
        <v>25.982874695163638</v>
      </c>
      <c r="N37" s="111">
        <f>G37*365/G13</f>
        <v>27.554329787321503</v>
      </c>
      <c r="O37" s="111">
        <f>H37*365/H13</f>
        <v>27.318599223281883</v>
      </c>
      <c r="P37" s="86">
        <f>AVERAGE(K37:O37)</f>
        <v>27.452120316251467</v>
      </c>
      <c r="Q37" s="111"/>
      <c r="R37" s="86"/>
      <c r="S37" s="82"/>
      <c r="T37" s="82"/>
      <c r="U37" s="82"/>
    </row>
    <row r="38" spans="2:27">
      <c r="B38" s="87" t="s">
        <v>60</v>
      </c>
      <c r="C38" s="87"/>
      <c r="D38" s="80">
        <v>752836</v>
      </c>
      <c r="E38" s="80">
        <v>784879</v>
      </c>
      <c r="F38" s="80">
        <v>815251</v>
      </c>
      <c r="G38" s="80">
        <v>964207</v>
      </c>
      <c r="H38" s="80">
        <v>988511</v>
      </c>
      <c r="I38" s="80"/>
      <c r="J38" s="86" t="s">
        <v>61</v>
      </c>
      <c r="K38" s="111">
        <f>D49*365/D13</f>
        <v>25.411544867849141</v>
      </c>
      <c r="L38" s="111">
        <f>E49*365/E13</f>
        <v>23.532664131199454</v>
      </c>
      <c r="M38" s="111">
        <f>F49*365/F13</f>
        <v>25.174790377263328</v>
      </c>
      <c r="N38" s="111">
        <f>G49*365/G13</f>
        <v>25.978953384773142</v>
      </c>
      <c r="O38" s="111">
        <f>H49*365/H13</f>
        <v>28.167860598704518</v>
      </c>
      <c r="P38" s="86">
        <f>AVERAGE(K38:O38)</f>
        <v>25.653162671957922</v>
      </c>
      <c r="Q38" s="111"/>
      <c r="R38" s="86"/>
      <c r="S38" s="82"/>
      <c r="T38" s="82"/>
      <c r="U38" s="82"/>
    </row>
    <row r="39" spans="2:27">
      <c r="B39" s="87" t="s">
        <v>62</v>
      </c>
      <c r="C39" s="87"/>
      <c r="D39" s="80">
        <v>280633</v>
      </c>
      <c r="E39" s="80">
        <v>272159</v>
      </c>
      <c r="F39" s="80">
        <v>240080</v>
      </c>
      <c r="G39" s="80">
        <v>254478</v>
      </c>
      <c r="H39" s="80">
        <v>256965</v>
      </c>
      <c r="I39" s="80"/>
      <c r="J39" s="86" t="s">
        <v>63</v>
      </c>
      <c r="K39" s="111">
        <f>D38*365/D13</f>
        <v>36.562816266170408</v>
      </c>
      <c r="L39" s="111">
        <f t="shared" ref="L39:N39" si="17">E38*365/E13</f>
        <v>36.770414303865103</v>
      </c>
      <c r="M39" s="111">
        <f t="shared" si="17"/>
        <v>37.259857940871385</v>
      </c>
      <c r="N39" s="111">
        <f t="shared" si="17"/>
        <v>43.183765599770986</v>
      </c>
      <c r="O39" s="111">
        <f>H38*365/H13</f>
        <v>40.217697206113201</v>
      </c>
      <c r="P39" s="86">
        <f>AVERAGE(K39:O39)</f>
        <v>38.798910263358216</v>
      </c>
      <c r="S39" s="86"/>
      <c r="T39" s="86"/>
      <c r="U39" s="82"/>
      <c r="V39" s="82"/>
      <c r="W39" s="82"/>
    </row>
    <row r="40" spans="2:27">
      <c r="B40" s="77" t="s">
        <v>64</v>
      </c>
      <c r="C40" s="75"/>
      <c r="D40" s="83"/>
      <c r="E40" s="83"/>
      <c r="F40" s="83"/>
      <c r="G40" s="83"/>
      <c r="H40" s="83"/>
      <c r="I40" s="83"/>
      <c r="K40" s="86"/>
      <c r="L40" s="86"/>
      <c r="M40" s="86"/>
      <c r="N40" s="86"/>
      <c r="O40" s="86"/>
      <c r="P40" s="86"/>
      <c r="Q40" s="86"/>
      <c r="R40" s="86"/>
      <c r="S40" s="86"/>
      <c r="T40" s="86"/>
      <c r="U40" s="86"/>
      <c r="V40" s="86"/>
      <c r="W40" s="82"/>
      <c r="X40" s="82"/>
      <c r="Y40" s="82"/>
    </row>
    <row r="41" spans="2:27">
      <c r="B41" s="87" t="s">
        <v>65</v>
      </c>
      <c r="C41" s="87"/>
      <c r="D41" s="83">
        <v>2106697</v>
      </c>
      <c r="E41" s="83">
        <v>2130294</v>
      </c>
      <c r="F41" s="83">
        <v>2153139</v>
      </c>
      <c r="G41" s="83">
        <v>2285255</v>
      </c>
      <c r="H41" s="83">
        <v>2586187</v>
      </c>
      <c r="I41" s="83"/>
      <c r="K41" s="86"/>
      <c r="L41" s="86"/>
      <c r="M41" s="86"/>
      <c r="N41" s="86"/>
      <c r="O41" s="86"/>
      <c r="P41" s="86"/>
      <c r="Q41" s="86"/>
      <c r="R41" s="86"/>
      <c r="S41" s="86"/>
      <c r="T41" s="86"/>
      <c r="U41" s="86"/>
      <c r="V41" s="86"/>
      <c r="W41" s="82"/>
      <c r="X41" s="82"/>
      <c r="Y41" s="82"/>
    </row>
    <row r="42" spans="2:27">
      <c r="B42" s="87" t="s">
        <v>66</v>
      </c>
      <c r="C42" s="87"/>
      <c r="D42" s="83">
        <v>821061</v>
      </c>
      <c r="E42" s="83">
        <v>1801103</v>
      </c>
      <c r="F42" s="83">
        <v>1985955</v>
      </c>
      <c r="G42" s="83">
        <v>1988215</v>
      </c>
      <c r="H42" s="83">
        <v>2633174</v>
      </c>
      <c r="I42" s="83"/>
      <c r="K42" s="86"/>
      <c r="L42" s="86"/>
      <c r="M42" s="86"/>
      <c r="N42" s="86"/>
      <c r="O42" s="86"/>
      <c r="P42" s="86"/>
      <c r="Q42" s="86"/>
      <c r="R42" s="86"/>
      <c r="S42" s="86"/>
      <c r="T42" s="86"/>
      <c r="U42" s="86"/>
      <c r="V42" s="86"/>
      <c r="W42" s="82"/>
      <c r="X42" s="82"/>
      <c r="Y42" s="82"/>
    </row>
    <row r="43" spans="2:27">
      <c r="B43" s="87" t="s">
        <v>67</v>
      </c>
      <c r="C43" s="87"/>
      <c r="D43" s="83">
        <v>369156</v>
      </c>
      <c r="E43" s="83">
        <v>1278292</v>
      </c>
      <c r="F43" s="83">
        <v>1341166</v>
      </c>
      <c r="G43" s="83">
        <v>1295214</v>
      </c>
      <c r="H43" s="83">
        <v>2037588</v>
      </c>
      <c r="I43" s="83"/>
      <c r="K43" s="86"/>
      <c r="L43" s="86"/>
      <c r="M43" s="86"/>
      <c r="N43" s="86"/>
      <c r="O43" s="86"/>
      <c r="P43" s="86"/>
      <c r="Q43" s="86"/>
      <c r="R43" s="86"/>
      <c r="S43" s="86"/>
      <c r="T43" s="86"/>
      <c r="U43" s="86"/>
      <c r="V43" s="86"/>
      <c r="W43" s="82"/>
      <c r="X43" s="82"/>
      <c r="Y43" s="82"/>
    </row>
    <row r="44" spans="2:27">
      <c r="B44" s="87" t="s">
        <v>68</v>
      </c>
      <c r="C44" s="87"/>
      <c r="D44" s="83">
        <v>251879</v>
      </c>
      <c r="E44" s="83">
        <v>252984</v>
      </c>
      <c r="F44" s="83">
        <v>512000</v>
      </c>
      <c r="G44" s="83">
        <v>555887</v>
      </c>
      <c r="H44" s="83">
        <v>868203</v>
      </c>
      <c r="I44" s="83"/>
      <c r="K44" s="86"/>
      <c r="L44" s="86"/>
      <c r="M44" s="86"/>
      <c r="N44" s="86"/>
      <c r="O44" s="86"/>
      <c r="P44" s="86"/>
      <c r="Q44" s="86"/>
      <c r="R44" s="86"/>
      <c r="S44" s="86"/>
      <c r="T44" s="86"/>
      <c r="U44" s="86"/>
      <c r="V44" s="86"/>
      <c r="W44" s="82"/>
      <c r="X44" s="82"/>
      <c r="Y44" s="82"/>
    </row>
    <row r="45" spans="2:27">
      <c r="B45" s="87" t="s">
        <v>69</v>
      </c>
      <c r="C45" s="87"/>
      <c r="D45" s="83">
        <v>3023</v>
      </c>
      <c r="E45" s="83">
        <v>1166</v>
      </c>
      <c r="F45" s="83">
        <v>31033</v>
      </c>
      <c r="G45" s="83">
        <v>29369</v>
      </c>
      <c r="H45" s="83">
        <v>40873</v>
      </c>
      <c r="I45" s="83"/>
      <c r="K45" s="86"/>
      <c r="L45" s="86"/>
      <c r="M45" s="86"/>
      <c r="N45" s="86"/>
      <c r="O45" s="86"/>
      <c r="P45" s="86"/>
      <c r="Q45" s="86"/>
      <c r="R45" s="86"/>
      <c r="S45" s="86"/>
      <c r="T45" s="86"/>
      <c r="U45" s="86"/>
      <c r="V45" s="86"/>
      <c r="W45" s="82"/>
      <c r="X45" s="82"/>
      <c r="Y45" s="82"/>
    </row>
    <row r="46" spans="2:27" ht="12.6" thickBot="1">
      <c r="B46" s="84" t="s">
        <v>70</v>
      </c>
      <c r="C46" s="75"/>
      <c r="D46" s="84">
        <f>SUM(D36:D39)+SUM(D41:D45)</f>
        <v>5553726</v>
      </c>
      <c r="E46" s="84">
        <f>SUM(E36:E39)+SUM(E41:E45)</f>
        <v>7703020</v>
      </c>
      <c r="F46" s="84">
        <f>SUM(F36:F39)+SUM(F41:F45)</f>
        <v>8140395</v>
      </c>
      <c r="G46" s="84">
        <f>SUM(G36:G39)+SUM(G41:G45)</f>
        <v>9131845</v>
      </c>
      <c r="H46" s="84">
        <f>SUM(H36:H39)+SUM(H41:H45)</f>
        <v>10412231</v>
      </c>
      <c r="I46" s="75"/>
      <c r="K46" s="88"/>
      <c r="L46" s="88"/>
      <c r="M46" s="88"/>
      <c r="N46" s="88"/>
      <c r="O46" s="88"/>
      <c r="P46" s="88"/>
      <c r="Q46" s="88"/>
      <c r="R46" s="88"/>
      <c r="S46" s="88"/>
      <c r="T46" s="88"/>
      <c r="U46" s="88"/>
      <c r="V46" s="88"/>
      <c r="W46" s="88"/>
      <c r="X46" s="88"/>
      <c r="Y46" s="76"/>
      <c r="Z46" s="76"/>
      <c r="AA46" s="76"/>
    </row>
    <row r="47" spans="2:27" ht="12.6" thickTop="1">
      <c r="B47" s="75"/>
      <c r="C47" s="75"/>
      <c r="D47" s="75"/>
      <c r="E47" s="75"/>
      <c r="F47" s="75"/>
      <c r="G47" s="75"/>
      <c r="H47" s="75"/>
      <c r="I47" s="75"/>
      <c r="K47" s="88"/>
      <c r="L47" s="88"/>
      <c r="M47" s="88"/>
      <c r="N47" s="88"/>
      <c r="O47" s="88"/>
      <c r="P47" s="88"/>
      <c r="Q47" s="88"/>
      <c r="R47" s="88"/>
      <c r="S47" s="88"/>
      <c r="T47" s="88"/>
      <c r="U47" s="88"/>
      <c r="V47" s="88"/>
      <c r="W47" s="88"/>
      <c r="X47" s="88"/>
      <c r="Y47" s="76"/>
      <c r="Z47" s="76"/>
      <c r="AA47" s="76"/>
    </row>
    <row r="48" spans="2:27">
      <c r="B48" s="77" t="s">
        <v>71</v>
      </c>
      <c r="C48" s="75"/>
      <c r="D48" s="77"/>
      <c r="E48" s="77"/>
      <c r="F48" s="78"/>
      <c r="G48" s="78"/>
      <c r="H48" s="78"/>
      <c r="I48" s="78"/>
      <c r="K48" s="86"/>
      <c r="L48" s="86"/>
      <c r="M48" s="86"/>
      <c r="N48" s="86"/>
      <c r="O48" s="86"/>
      <c r="P48" s="86"/>
      <c r="Q48" s="86"/>
      <c r="R48" s="86"/>
      <c r="S48" s="86"/>
      <c r="T48" s="86"/>
      <c r="U48" s="86"/>
      <c r="V48" s="86"/>
      <c r="W48" s="86"/>
      <c r="X48" s="86"/>
      <c r="Y48" s="82"/>
      <c r="Z48" s="82"/>
      <c r="AA48" s="82"/>
    </row>
    <row r="49" spans="2:27">
      <c r="B49" s="87" t="s">
        <v>72</v>
      </c>
      <c r="C49" s="87"/>
      <c r="D49" s="89">
        <v>523229</v>
      </c>
      <c r="E49" s="89">
        <v>502314</v>
      </c>
      <c r="F49" s="89">
        <v>550828</v>
      </c>
      <c r="G49" s="89">
        <v>580058</v>
      </c>
      <c r="H49" s="89">
        <v>692338</v>
      </c>
      <c r="I49" s="89"/>
      <c r="K49" s="86"/>
      <c r="L49" s="86"/>
      <c r="M49" s="86"/>
      <c r="N49" s="86"/>
      <c r="O49" s="86"/>
      <c r="P49" s="86"/>
      <c r="Q49" s="86"/>
      <c r="R49" s="86"/>
      <c r="S49" s="86"/>
      <c r="T49" s="86"/>
      <c r="U49" s="86"/>
      <c r="V49" s="86"/>
      <c r="W49" s="86"/>
      <c r="X49" s="86"/>
      <c r="Y49" s="82"/>
      <c r="Z49" s="82"/>
      <c r="AA49" s="82"/>
    </row>
    <row r="50" spans="2:27">
      <c r="B50" s="87" t="s">
        <v>73</v>
      </c>
      <c r="C50" s="87"/>
      <c r="D50" s="89">
        <v>676134</v>
      </c>
      <c r="E50" s="89">
        <v>679163</v>
      </c>
      <c r="F50" s="89">
        <v>702372</v>
      </c>
      <c r="G50" s="89">
        <v>781766</v>
      </c>
      <c r="H50" s="89">
        <v>855638</v>
      </c>
      <c r="I50" s="89"/>
      <c r="K50" s="90"/>
      <c r="L50" s="86"/>
      <c r="M50" s="86"/>
      <c r="N50" s="86"/>
      <c r="O50" s="86"/>
      <c r="P50" s="86"/>
      <c r="Q50" s="86"/>
      <c r="R50" s="86"/>
      <c r="S50" s="86"/>
      <c r="T50" s="86"/>
      <c r="U50" s="86"/>
      <c r="V50" s="86"/>
      <c r="W50" s="86"/>
      <c r="X50" s="86"/>
      <c r="Y50" s="82"/>
      <c r="Z50" s="82"/>
      <c r="AA50" s="82"/>
    </row>
    <row r="51" spans="2:27">
      <c r="B51" s="87" t="s">
        <v>74</v>
      </c>
      <c r="C51" s="87"/>
      <c r="D51" s="89">
        <v>17723</v>
      </c>
      <c r="E51" s="89">
        <v>33773</v>
      </c>
      <c r="F51" s="89">
        <v>19921</v>
      </c>
      <c r="G51" s="89">
        <v>17051</v>
      </c>
      <c r="H51" s="89">
        <v>3070</v>
      </c>
      <c r="I51" s="89"/>
      <c r="K51" s="90"/>
      <c r="L51" s="86"/>
      <c r="M51" s="86"/>
      <c r="N51" s="86"/>
      <c r="O51" s="86"/>
      <c r="P51" s="86"/>
      <c r="Q51" s="86"/>
      <c r="R51" s="86"/>
      <c r="S51" s="86"/>
      <c r="T51" s="86"/>
      <c r="U51" s="86"/>
      <c r="V51" s="86"/>
      <c r="W51" s="86"/>
      <c r="X51" s="86"/>
      <c r="Y51" s="82"/>
      <c r="Z51" s="82"/>
      <c r="AA51" s="82"/>
    </row>
    <row r="52" spans="2:27">
      <c r="B52" s="87" t="s">
        <v>75</v>
      </c>
      <c r="C52" s="87"/>
      <c r="D52" s="89">
        <v>559359</v>
      </c>
      <c r="E52" s="89">
        <v>1197929</v>
      </c>
      <c r="F52" s="89">
        <v>32282</v>
      </c>
      <c r="G52" s="89">
        <v>74041</v>
      </c>
      <c r="H52" s="89">
        <v>939423</v>
      </c>
      <c r="I52" s="89"/>
      <c r="K52" s="86"/>
      <c r="L52" s="86"/>
      <c r="M52" s="86"/>
      <c r="N52" s="86"/>
      <c r="O52" s="86"/>
      <c r="P52" s="86"/>
      <c r="Q52" s="86"/>
      <c r="R52" s="86"/>
      <c r="S52" s="86"/>
      <c r="T52" s="86"/>
      <c r="U52" s="86"/>
      <c r="V52" s="86"/>
      <c r="W52" s="86"/>
      <c r="X52" s="86"/>
      <c r="Y52" s="82"/>
      <c r="Z52" s="82"/>
      <c r="AA52" s="82"/>
    </row>
    <row r="53" spans="2:27">
      <c r="B53" s="87" t="s">
        <v>76</v>
      </c>
      <c r="C53" s="87"/>
      <c r="D53" s="89">
        <v>300098</v>
      </c>
      <c r="E53" s="89">
        <v>5387</v>
      </c>
      <c r="F53" s="89">
        <v>703390</v>
      </c>
      <c r="G53" s="89">
        <v>438829</v>
      </c>
      <c r="H53" s="89">
        <v>2844</v>
      </c>
      <c r="I53" s="89"/>
      <c r="K53" s="86"/>
      <c r="L53" s="86"/>
      <c r="M53" s="86"/>
      <c r="N53" s="86"/>
      <c r="O53" s="86"/>
      <c r="P53" s="86"/>
      <c r="Q53" s="86"/>
      <c r="R53" s="86"/>
      <c r="S53" s="86"/>
      <c r="T53" s="86"/>
      <c r="U53" s="86"/>
      <c r="V53" s="86"/>
      <c r="W53" s="86"/>
      <c r="X53" s="86"/>
      <c r="Y53" s="82"/>
      <c r="Z53" s="82"/>
      <c r="AA53" s="82"/>
    </row>
    <row r="54" spans="2:27">
      <c r="B54" s="77" t="s">
        <v>77</v>
      </c>
      <c r="C54" s="75"/>
      <c r="D54" s="89"/>
      <c r="E54" s="89"/>
      <c r="F54" s="89"/>
      <c r="G54" s="89"/>
      <c r="H54" s="89"/>
      <c r="I54" s="89"/>
      <c r="K54" s="86"/>
      <c r="L54" s="86"/>
      <c r="M54" s="86"/>
      <c r="N54" s="86"/>
      <c r="O54" s="86"/>
      <c r="P54" s="86"/>
      <c r="Q54" s="86"/>
      <c r="R54" s="86"/>
      <c r="S54" s="86"/>
      <c r="T54" s="86"/>
      <c r="U54" s="86"/>
      <c r="V54" s="86"/>
      <c r="W54" s="86"/>
      <c r="X54" s="86"/>
      <c r="Y54" s="82"/>
      <c r="Z54" s="82"/>
      <c r="AA54" s="82"/>
    </row>
    <row r="55" spans="2:27">
      <c r="B55" s="91" t="s">
        <v>78</v>
      </c>
      <c r="C55" s="91"/>
      <c r="D55" s="89">
        <v>2061023</v>
      </c>
      <c r="E55" s="89">
        <v>3254280</v>
      </c>
      <c r="F55" s="89">
        <v>3530813</v>
      </c>
      <c r="G55" s="89">
        <v>4089755</v>
      </c>
      <c r="H55" s="89">
        <v>4086627</v>
      </c>
      <c r="I55" s="89"/>
      <c r="K55" s="86"/>
      <c r="L55" s="86"/>
      <c r="M55" s="86"/>
      <c r="N55" s="86"/>
      <c r="O55" s="86"/>
      <c r="P55" s="86"/>
      <c r="Q55" s="86"/>
      <c r="R55" s="86"/>
      <c r="S55" s="86"/>
      <c r="T55" s="86"/>
      <c r="U55" s="86"/>
      <c r="V55" s="86"/>
      <c r="W55" s="86"/>
      <c r="X55" s="86"/>
      <c r="Y55" s="82"/>
      <c r="Z55" s="82"/>
      <c r="AA55" s="82"/>
    </row>
    <row r="56" spans="2:27">
      <c r="B56" s="91" t="s">
        <v>79</v>
      </c>
      <c r="C56" s="91"/>
      <c r="D56" s="89">
        <v>438939</v>
      </c>
      <c r="E56" s="89">
        <v>446048</v>
      </c>
      <c r="F56" s="89">
        <v>655777</v>
      </c>
      <c r="G56" s="89">
        <v>683434</v>
      </c>
      <c r="H56" s="89">
        <v>787058</v>
      </c>
      <c r="I56" s="89"/>
      <c r="K56" s="86"/>
      <c r="L56" s="86"/>
      <c r="M56" s="86"/>
      <c r="N56" s="86"/>
      <c r="O56" s="86"/>
      <c r="P56" s="86"/>
      <c r="Q56" s="86"/>
      <c r="R56" s="86"/>
      <c r="S56" s="86"/>
      <c r="T56" s="86"/>
      <c r="U56" s="86"/>
      <c r="V56" s="86"/>
      <c r="W56" s="86"/>
      <c r="X56" s="86"/>
      <c r="Y56" s="82"/>
      <c r="Z56" s="82"/>
      <c r="AA56" s="82"/>
    </row>
    <row r="57" spans="2:27">
      <c r="B57" s="91" t="s">
        <v>69</v>
      </c>
      <c r="C57" s="91"/>
      <c r="D57" s="89">
        <v>45656</v>
      </c>
      <c r="E57" s="89">
        <v>176860</v>
      </c>
      <c r="F57" s="89">
        <v>200018</v>
      </c>
      <c r="G57" s="89">
        <v>229028</v>
      </c>
      <c r="H57" s="89">
        <v>288004</v>
      </c>
      <c r="I57" s="89"/>
      <c r="K57" s="86"/>
      <c r="L57" s="86"/>
      <c r="M57" s="86"/>
      <c r="N57" s="86"/>
      <c r="O57" s="86"/>
      <c r="P57" s="86"/>
      <c r="Q57" s="86"/>
      <c r="R57" s="86"/>
      <c r="S57" s="86"/>
      <c r="T57" s="86"/>
      <c r="U57" s="86"/>
      <c r="V57" s="86"/>
      <c r="W57" s="86"/>
      <c r="X57" s="86"/>
      <c r="Y57" s="82"/>
      <c r="Z57" s="82"/>
      <c r="AA57" s="82"/>
    </row>
    <row r="58" spans="2:27" ht="12.6" thickBot="1">
      <c r="B58" s="84" t="s">
        <v>80</v>
      </c>
      <c r="C58" s="75"/>
      <c r="D58" s="84">
        <f>SUM(D48:D57)</f>
        <v>4622161</v>
      </c>
      <c r="E58" s="84">
        <f>SUM(E48:E57)</f>
        <v>6295754</v>
      </c>
      <c r="F58" s="84">
        <f>SUM(F48:F57)</f>
        <v>6395401</v>
      </c>
      <c r="G58" s="84">
        <f>SUM(G48:G57)</f>
        <v>6893962</v>
      </c>
      <c r="H58" s="84">
        <f>SUM(H48:H57)</f>
        <v>7655002</v>
      </c>
      <c r="I58" s="75"/>
      <c r="K58" s="88"/>
      <c r="L58" s="88"/>
      <c r="M58" s="88"/>
      <c r="N58" s="88"/>
      <c r="O58" s="88"/>
      <c r="P58" s="88"/>
      <c r="Q58" s="88"/>
      <c r="R58" s="88"/>
      <c r="S58" s="88"/>
      <c r="T58" s="88"/>
      <c r="U58" s="88"/>
      <c r="V58" s="88"/>
      <c r="W58" s="88"/>
      <c r="X58" s="88"/>
      <c r="Y58" s="76"/>
      <c r="Z58" s="76"/>
      <c r="AA58" s="76"/>
    </row>
    <row r="59" spans="2:27" ht="12.6" thickTop="1">
      <c r="B59" s="75" t="s">
        <v>81</v>
      </c>
      <c r="C59" s="75"/>
      <c r="D59" s="75"/>
      <c r="E59" s="75"/>
      <c r="F59" s="81"/>
      <c r="G59" s="81"/>
      <c r="H59" s="81"/>
      <c r="I59" s="81"/>
      <c r="J59" s="180" t="s">
        <v>82</v>
      </c>
      <c r="K59" s="181"/>
      <c r="L59" s="182">
        <f>SUM($H$55:$H$57)+$H$69</f>
        <v>7918918</v>
      </c>
      <c r="M59" s="88"/>
      <c r="N59" s="88"/>
      <c r="O59" s="88"/>
      <c r="P59" s="88"/>
      <c r="Q59" s="88"/>
      <c r="R59" s="88"/>
      <c r="S59" s="88"/>
      <c r="T59" s="88"/>
      <c r="U59" s="88"/>
      <c r="V59" s="88"/>
      <c r="W59" s="88"/>
      <c r="X59" s="88"/>
      <c r="Y59" s="76"/>
      <c r="Z59" s="76"/>
      <c r="AA59" s="76"/>
    </row>
    <row r="60" spans="2:27">
      <c r="B60" s="78" t="s">
        <v>83</v>
      </c>
      <c r="C60" s="79"/>
      <c r="D60" s="83">
        <v>0</v>
      </c>
      <c r="E60" s="83">
        <v>0</v>
      </c>
      <c r="F60" s="83">
        <v>0</v>
      </c>
      <c r="G60" s="83">
        <v>0</v>
      </c>
      <c r="H60" s="83">
        <v>0</v>
      </c>
      <c r="I60" s="83"/>
      <c r="J60" s="183" t="s">
        <v>84</v>
      </c>
      <c r="K60" s="86"/>
      <c r="L60" s="184">
        <f>$H$69/L59</f>
        <v>0.34818254210991956</v>
      </c>
      <c r="M60" s="86"/>
      <c r="N60" s="86"/>
      <c r="O60" s="86"/>
      <c r="P60" s="86"/>
      <c r="Q60" s="86"/>
      <c r="R60" s="86"/>
      <c r="S60" s="86"/>
      <c r="T60" s="86"/>
      <c r="U60" s="86"/>
      <c r="V60" s="86"/>
      <c r="W60" s="86"/>
      <c r="X60" s="86"/>
      <c r="Y60" s="82"/>
      <c r="Z60" s="82"/>
      <c r="AA60" s="82"/>
    </row>
    <row r="61" spans="2:27" ht="12.6">
      <c r="B61" s="77" t="s">
        <v>85</v>
      </c>
      <c r="C61" s="75"/>
      <c r="D61" s="83">
        <v>299281</v>
      </c>
      <c r="E61" s="83">
        <v>299287</v>
      </c>
      <c r="F61" s="83">
        <v>160939</v>
      </c>
      <c r="G61" s="83">
        <v>160939</v>
      </c>
      <c r="H61" s="83">
        <v>160939</v>
      </c>
      <c r="I61" s="83"/>
      <c r="J61" s="185" t="s">
        <v>86</v>
      </c>
      <c r="K61" s="186"/>
      <c r="L61" s="187">
        <f>SUM($H$55:$H$57)/L59</f>
        <v>0.65181745789008039</v>
      </c>
      <c r="M61" s="86"/>
      <c r="N61" s="86"/>
      <c r="O61" s="86"/>
      <c r="P61" s="86"/>
      <c r="Q61" s="86"/>
      <c r="R61" s="86"/>
      <c r="S61" s="86"/>
      <c r="T61" s="86"/>
      <c r="U61" s="86"/>
      <c r="V61" s="86"/>
      <c r="W61" s="86"/>
      <c r="X61" s="86"/>
      <c r="Y61" s="82"/>
      <c r="Z61" s="82"/>
      <c r="AA61" s="82"/>
    </row>
    <row r="62" spans="2:27">
      <c r="B62" s="77" t="s">
        <v>87</v>
      </c>
      <c r="C62" s="75"/>
      <c r="D62" s="83">
        <v>60620</v>
      </c>
      <c r="E62" s="83">
        <v>60614</v>
      </c>
      <c r="F62" s="83">
        <v>60614</v>
      </c>
      <c r="G62" s="83">
        <v>60614</v>
      </c>
      <c r="H62" s="83">
        <v>60614</v>
      </c>
      <c r="I62" s="83"/>
      <c r="K62" s="86"/>
      <c r="L62" s="86"/>
      <c r="M62" s="86"/>
      <c r="N62" s="86"/>
      <c r="O62" s="86"/>
      <c r="P62" s="86"/>
      <c r="Q62" s="86"/>
      <c r="R62" s="86"/>
      <c r="S62" s="86"/>
      <c r="T62" s="86"/>
      <c r="U62" s="86"/>
      <c r="V62" s="86"/>
      <c r="W62" s="86"/>
      <c r="X62" s="86"/>
      <c r="Y62" s="82"/>
      <c r="Z62" s="82"/>
      <c r="AA62" s="82"/>
    </row>
    <row r="63" spans="2:27">
      <c r="B63" s="91" t="s">
        <v>88</v>
      </c>
      <c r="C63" s="91"/>
      <c r="D63" s="83">
        <v>924978</v>
      </c>
      <c r="E63" s="83">
        <v>982205</v>
      </c>
      <c r="F63" s="83">
        <v>1142210</v>
      </c>
      <c r="G63" s="83">
        <v>1191200</v>
      </c>
      <c r="H63" s="83">
        <v>1260331</v>
      </c>
      <c r="I63" s="83"/>
      <c r="K63" s="86"/>
      <c r="L63" s="86"/>
      <c r="M63" s="86"/>
      <c r="N63" s="86"/>
      <c r="O63" s="86"/>
      <c r="P63" s="86"/>
      <c r="Q63" s="86"/>
      <c r="R63" s="86"/>
      <c r="S63" s="86"/>
      <c r="T63" s="86"/>
      <c r="U63" s="86"/>
      <c r="V63" s="86"/>
      <c r="W63" s="86"/>
      <c r="X63" s="86"/>
      <c r="Y63" s="82"/>
      <c r="Z63" s="82"/>
      <c r="AA63" s="82"/>
    </row>
    <row r="64" spans="2:27">
      <c r="B64" s="78" t="s">
        <v>89</v>
      </c>
      <c r="C64" s="79"/>
      <c r="D64" s="83">
        <v>6371082</v>
      </c>
      <c r="E64" s="83">
        <v>7032020</v>
      </c>
      <c r="F64" s="83">
        <v>1290461</v>
      </c>
      <c r="G64" s="83">
        <v>1928673</v>
      </c>
      <c r="H64" s="83">
        <v>2719936</v>
      </c>
      <c r="I64" s="83"/>
      <c r="K64" s="86"/>
      <c r="L64" s="86"/>
      <c r="M64" s="86"/>
      <c r="N64" s="86"/>
      <c r="O64" s="86"/>
      <c r="P64" s="86"/>
      <c r="Q64" s="86"/>
      <c r="R64" s="86"/>
      <c r="S64" s="86"/>
      <c r="T64" s="86"/>
      <c r="U64" s="86"/>
      <c r="V64" s="86"/>
      <c r="W64" s="86"/>
      <c r="X64" s="86"/>
      <c r="Y64" s="82"/>
      <c r="Z64" s="82"/>
      <c r="AA64" s="82"/>
    </row>
    <row r="65" spans="2:27">
      <c r="B65" s="91" t="s">
        <v>90</v>
      </c>
      <c r="C65" s="91"/>
      <c r="D65" s="83">
        <v>-6426877</v>
      </c>
      <c r="E65" s="83">
        <v>-6618625</v>
      </c>
      <c r="F65" s="83">
        <v>-591036</v>
      </c>
      <c r="G65" s="83">
        <v>-768992</v>
      </c>
      <c r="H65" s="83">
        <v>-1195376</v>
      </c>
      <c r="I65" s="83"/>
      <c r="K65" s="92"/>
      <c r="L65" s="86"/>
      <c r="M65" s="86"/>
      <c r="N65" s="86"/>
      <c r="O65" s="86"/>
      <c r="P65" s="86"/>
      <c r="Q65" s="86"/>
      <c r="R65" s="86"/>
      <c r="S65" s="86"/>
      <c r="T65" s="86"/>
      <c r="U65" s="86"/>
      <c r="V65" s="86"/>
      <c r="W65" s="86"/>
      <c r="X65" s="86"/>
      <c r="Y65" s="82"/>
      <c r="Z65" s="82"/>
      <c r="AA65" s="82"/>
    </row>
    <row r="66" spans="2:27">
      <c r="B66" s="91" t="s">
        <v>91</v>
      </c>
      <c r="C66" s="91"/>
      <c r="D66" s="83">
        <v>-313746</v>
      </c>
      <c r="E66" s="83">
        <v>-356780</v>
      </c>
      <c r="F66" s="83">
        <v>-323966</v>
      </c>
      <c r="G66" s="83">
        <v>-338082</v>
      </c>
      <c r="H66" s="83">
        <v>-249215</v>
      </c>
      <c r="I66" s="83"/>
      <c r="K66" s="86"/>
      <c r="L66" s="86"/>
      <c r="M66" s="86"/>
      <c r="N66" s="86"/>
      <c r="O66" s="86"/>
      <c r="P66" s="86"/>
      <c r="Q66" s="86"/>
      <c r="R66" s="86"/>
      <c r="S66" s="86"/>
      <c r="T66" s="86"/>
      <c r="U66" s="86"/>
      <c r="V66" s="86"/>
      <c r="W66" s="86"/>
      <c r="X66" s="86"/>
      <c r="Y66" s="82"/>
      <c r="Z66" s="82"/>
      <c r="AA66" s="82"/>
    </row>
    <row r="67" spans="2:27" ht="12.6" thickBot="1">
      <c r="B67" s="99" t="s">
        <v>92</v>
      </c>
      <c r="C67" s="123"/>
      <c r="D67" s="84">
        <f>SUM(D60:D66)</f>
        <v>915338</v>
      </c>
      <c r="E67" s="84">
        <f>SUM(E60:E66)</f>
        <v>1398721</v>
      </c>
      <c r="F67" s="84">
        <f>SUM(F60:F66)</f>
        <v>1739222</v>
      </c>
      <c r="G67" s="84">
        <f>SUM(G60:G66)</f>
        <v>2234352</v>
      </c>
      <c r="H67" s="84">
        <f>SUM(H60:H66)</f>
        <v>2757229</v>
      </c>
      <c r="I67" s="75"/>
      <c r="K67" s="86"/>
      <c r="L67" s="86"/>
      <c r="M67" s="86"/>
      <c r="N67" s="86"/>
      <c r="O67" s="86"/>
      <c r="P67" s="86"/>
      <c r="Q67" s="86"/>
      <c r="R67" s="86"/>
      <c r="S67" s="86"/>
      <c r="T67" s="86"/>
      <c r="U67" s="86"/>
      <c r="V67" s="86"/>
      <c r="W67" s="86"/>
      <c r="X67" s="86"/>
      <c r="Y67" s="82"/>
      <c r="Z67" s="82"/>
      <c r="AA67" s="82"/>
    </row>
    <row r="68" spans="2:27" ht="12.6" thickTop="1">
      <c r="B68" s="87" t="s">
        <v>93</v>
      </c>
      <c r="C68" s="87"/>
      <c r="D68" s="83">
        <v>16227</v>
      </c>
      <c r="E68" s="83">
        <v>8545</v>
      </c>
      <c r="F68" s="83">
        <v>5772</v>
      </c>
      <c r="G68" s="83">
        <v>3531</v>
      </c>
      <c r="H68" s="83">
        <v>0</v>
      </c>
      <c r="I68" s="83"/>
      <c r="K68" s="86"/>
      <c r="L68" s="86"/>
      <c r="M68" s="86"/>
      <c r="N68" s="86"/>
      <c r="O68" s="86"/>
      <c r="P68" s="86"/>
      <c r="Q68" s="86"/>
      <c r="R68" s="86"/>
      <c r="S68" s="86"/>
      <c r="T68" s="86"/>
      <c r="U68" s="86"/>
      <c r="V68" s="86"/>
      <c r="W68" s="86"/>
      <c r="X68" s="86"/>
      <c r="Y68" s="82"/>
      <c r="Z68" s="82"/>
      <c r="AA68" s="82"/>
    </row>
    <row r="69" spans="2:27">
      <c r="B69" s="120" t="s">
        <v>94</v>
      </c>
      <c r="C69" s="124"/>
      <c r="D69" s="120">
        <f>D67+D68</f>
        <v>931565</v>
      </c>
      <c r="E69" s="120">
        <f>E67+E68</f>
        <v>1407266</v>
      </c>
      <c r="F69" s="120">
        <f>F67+F68</f>
        <v>1744994</v>
      </c>
      <c r="G69" s="120">
        <f>G67+G68</f>
        <v>2237883</v>
      </c>
      <c r="H69" s="120">
        <f>H67+H68</f>
        <v>2757229</v>
      </c>
      <c r="I69" s="124"/>
      <c r="K69" s="86"/>
      <c r="L69" s="86"/>
      <c r="M69" s="86"/>
      <c r="N69" s="86"/>
      <c r="O69" s="86"/>
      <c r="P69" s="86"/>
      <c r="Q69" s="86"/>
      <c r="R69" s="86"/>
      <c r="S69" s="86"/>
      <c r="T69" s="86"/>
      <c r="U69" s="86"/>
      <c r="V69" s="86"/>
      <c r="W69" s="86"/>
      <c r="X69" s="86"/>
      <c r="Y69" s="82"/>
      <c r="Z69" s="82"/>
      <c r="AA69" s="82"/>
    </row>
    <row r="70" spans="2:27" ht="12.6" thickBot="1">
      <c r="B70" s="84" t="s">
        <v>95</v>
      </c>
      <c r="C70" s="75"/>
      <c r="D70" s="84">
        <f>D69+D58</f>
        <v>5553726</v>
      </c>
      <c r="E70" s="84">
        <f>E69+E58</f>
        <v>7703020</v>
      </c>
      <c r="F70" s="84">
        <f>F69+F58</f>
        <v>8140395</v>
      </c>
      <c r="G70" s="84">
        <f>G69+G58</f>
        <v>9131845</v>
      </c>
      <c r="H70" s="84">
        <f>H69+H58</f>
        <v>10412231</v>
      </c>
      <c r="I70" s="75"/>
      <c r="K70" s="86"/>
      <c r="L70" s="86"/>
      <c r="M70" s="86"/>
      <c r="N70" s="86"/>
      <c r="O70" s="86"/>
      <c r="P70" s="86"/>
      <c r="Q70" s="86"/>
      <c r="R70" s="86"/>
      <c r="S70" s="86"/>
      <c r="T70" s="86"/>
      <c r="U70" s="86"/>
      <c r="V70" s="86"/>
      <c r="W70" s="86"/>
      <c r="X70" s="86"/>
      <c r="Y70" s="82"/>
      <c r="Z70" s="82"/>
      <c r="AA70" s="82"/>
    </row>
    <row r="71" spans="2:27" ht="12.6" thickTop="1">
      <c r="B71" s="78"/>
      <c r="C71" s="79"/>
      <c r="D71" s="78"/>
      <c r="E71" s="78"/>
      <c r="F71" s="78"/>
      <c r="G71" s="78"/>
      <c r="H71" s="78"/>
      <c r="I71" s="78"/>
      <c r="K71" s="86"/>
      <c r="L71" s="86"/>
      <c r="M71" s="166"/>
      <c r="N71" s="86"/>
      <c r="O71" s="86"/>
      <c r="P71" s="86"/>
      <c r="Q71" s="86"/>
      <c r="R71" s="86"/>
      <c r="S71" s="86"/>
      <c r="T71" s="86"/>
      <c r="U71" s="86"/>
      <c r="V71" s="86"/>
      <c r="W71" s="86"/>
      <c r="X71" s="86"/>
      <c r="Y71" s="82"/>
      <c r="Z71" s="82"/>
      <c r="AA71" s="82"/>
    </row>
    <row r="72" spans="2:27" ht="12.6">
      <c r="B72" s="94" t="s">
        <v>96</v>
      </c>
      <c r="C72" s="125"/>
      <c r="D72" s="94" t="str">
        <f>IF(D70=D46,"OK","ERROR")</f>
        <v>OK</v>
      </c>
      <c r="E72" s="94" t="str">
        <f>IF(E70=E46,"OK","ERROR")</f>
        <v>OK</v>
      </c>
      <c r="F72" s="94" t="str">
        <f>IF(F70=F46,"OK","ERROR")</f>
        <v>OK</v>
      </c>
      <c r="G72" s="94" t="str">
        <f>IF(G70=G46,"OK","ERROR")</f>
        <v>OK</v>
      </c>
      <c r="H72" s="94" t="str">
        <f>IF(H70=H46,"OK","ERROR")</f>
        <v>OK</v>
      </c>
      <c r="I72" s="94"/>
      <c r="K72" s="95"/>
      <c r="L72" s="95"/>
      <c r="M72" s="167"/>
      <c r="N72" s="95"/>
      <c r="O72" s="95"/>
      <c r="P72" s="95"/>
      <c r="Q72" s="95"/>
      <c r="R72" s="95"/>
      <c r="S72" s="95"/>
      <c r="T72" s="95"/>
      <c r="U72" s="95"/>
      <c r="V72" s="95"/>
      <c r="W72" s="95"/>
      <c r="X72" s="95"/>
      <c r="Y72" s="96"/>
      <c r="Z72" s="96"/>
      <c r="AA72" s="96"/>
    </row>
    <row r="73" spans="2:27" ht="12.6">
      <c r="B73" s="94"/>
      <c r="C73" s="125"/>
      <c r="D73" s="94"/>
      <c r="E73" s="94"/>
      <c r="F73" s="94"/>
      <c r="G73" s="94"/>
      <c r="H73" s="94"/>
      <c r="I73" s="94"/>
      <c r="K73" s="95"/>
      <c r="L73" s="95"/>
      <c r="M73" s="95"/>
      <c r="N73" s="95"/>
      <c r="O73" s="95"/>
      <c r="P73" s="95"/>
      <c r="Q73" s="95"/>
      <c r="R73" s="95"/>
      <c r="S73" s="95"/>
      <c r="T73" s="95"/>
      <c r="U73" s="95"/>
      <c r="V73" s="95"/>
      <c r="W73" s="95"/>
      <c r="X73" s="95"/>
      <c r="Y73" s="96"/>
      <c r="Z73" s="96"/>
      <c r="AA73" s="96"/>
    </row>
    <row r="74" spans="2:27" ht="12.6">
      <c r="B74" s="94"/>
      <c r="C74" s="125"/>
      <c r="D74" s="94"/>
      <c r="E74" s="94"/>
      <c r="F74" s="94"/>
      <c r="G74" s="94"/>
      <c r="H74" s="94"/>
      <c r="I74" s="94"/>
      <c r="K74" s="95"/>
      <c r="L74" s="95"/>
      <c r="M74" s="95"/>
      <c r="N74" s="95"/>
      <c r="O74" s="95"/>
      <c r="P74" s="95"/>
      <c r="Q74" s="95"/>
      <c r="R74" s="95"/>
      <c r="S74" s="95"/>
      <c r="T74" s="95"/>
      <c r="U74" s="95"/>
      <c r="V74" s="95"/>
      <c r="W74" s="95"/>
      <c r="X74" s="95"/>
      <c r="Y74" s="96"/>
      <c r="Z74" s="96"/>
      <c r="AA74" s="96"/>
    </row>
    <row r="75" spans="2:27">
      <c r="B75" s="78"/>
      <c r="C75" s="79"/>
      <c r="D75" s="78"/>
      <c r="E75" s="78"/>
      <c r="F75" s="333"/>
      <c r="G75" s="333"/>
      <c r="H75" s="333"/>
      <c r="I75" s="119"/>
      <c r="K75" s="86"/>
      <c r="L75" s="86"/>
      <c r="M75" s="86"/>
      <c r="N75" s="86"/>
      <c r="O75" s="86"/>
      <c r="P75" s="86"/>
      <c r="Q75" s="86"/>
      <c r="R75" s="86"/>
      <c r="S75" s="86"/>
      <c r="T75" s="86"/>
      <c r="U75" s="86"/>
      <c r="V75" s="86"/>
      <c r="W75" s="86"/>
      <c r="X75" s="86"/>
      <c r="Y75" s="82"/>
      <c r="Z75" s="82"/>
      <c r="AA75" s="82"/>
    </row>
    <row r="76" spans="2:27">
      <c r="B76" s="73" t="s">
        <v>97</v>
      </c>
      <c r="C76" s="73"/>
      <c r="D76" s="73"/>
      <c r="E76" s="73"/>
      <c r="F76" s="73"/>
      <c r="G76" s="73"/>
      <c r="H76" s="73"/>
      <c r="I76" s="121"/>
      <c r="J76" s="121"/>
      <c r="K76" s="85"/>
      <c r="L76" s="85"/>
      <c r="M76" s="85"/>
      <c r="N76" s="85"/>
      <c r="O76" s="85"/>
      <c r="P76" s="85"/>
      <c r="Q76" s="85"/>
      <c r="R76" s="85"/>
      <c r="S76" s="85"/>
      <c r="T76" s="85"/>
      <c r="U76" s="85"/>
      <c r="V76" s="85"/>
      <c r="W76" s="85"/>
      <c r="X76" s="85"/>
      <c r="Y76" s="74"/>
      <c r="Z76" s="74"/>
      <c r="AA76" s="74"/>
    </row>
    <row r="77" spans="2:27">
      <c r="B77" s="75"/>
      <c r="C77" s="75"/>
      <c r="D77" s="75"/>
      <c r="E77" s="75"/>
      <c r="F77" s="79"/>
      <c r="G77" s="79"/>
      <c r="H77" s="79"/>
      <c r="I77" s="79"/>
      <c r="K77" s="86"/>
      <c r="L77" s="86"/>
      <c r="M77" s="86"/>
      <c r="N77" s="86"/>
      <c r="O77" s="86"/>
      <c r="P77" s="86"/>
      <c r="Q77" s="86"/>
      <c r="R77" s="86"/>
      <c r="S77" s="86"/>
      <c r="T77" s="86"/>
      <c r="U77" s="86"/>
      <c r="V77" s="86"/>
      <c r="W77" s="86"/>
      <c r="X77" s="86"/>
      <c r="Y77" s="82"/>
      <c r="Z77" s="82"/>
      <c r="AA77" s="82"/>
    </row>
    <row r="78" spans="2:27">
      <c r="B78" s="75" t="s">
        <v>98</v>
      </c>
      <c r="C78" s="75"/>
      <c r="D78" s="75"/>
      <c r="E78" s="75"/>
      <c r="K78" s="86"/>
      <c r="L78" s="86"/>
      <c r="M78" s="86"/>
      <c r="N78" s="86"/>
      <c r="O78" s="86"/>
      <c r="P78" s="86"/>
      <c r="Q78" s="86"/>
      <c r="R78" s="86"/>
      <c r="S78" s="86"/>
      <c r="T78" s="86"/>
      <c r="U78" s="86"/>
      <c r="V78" s="86"/>
      <c r="W78" s="86"/>
      <c r="X78" s="86"/>
      <c r="Y78" s="82"/>
      <c r="Z78" s="82"/>
      <c r="AA78" s="82"/>
    </row>
    <row r="79" spans="2:27">
      <c r="B79" s="75"/>
      <c r="C79" s="75"/>
      <c r="D79" s="75"/>
      <c r="E79" s="75"/>
      <c r="F79" s="81"/>
      <c r="G79" s="81"/>
      <c r="H79" s="81"/>
      <c r="I79" s="81"/>
      <c r="K79" s="86"/>
      <c r="L79" s="86"/>
      <c r="M79" s="86"/>
      <c r="N79" s="86"/>
      <c r="O79" s="86"/>
      <c r="P79" s="86"/>
      <c r="Q79" s="86"/>
      <c r="R79" s="86"/>
      <c r="S79" s="86"/>
      <c r="T79" s="86"/>
      <c r="U79" s="86"/>
      <c r="V79" s="86"/>
      <c r="W79" s="86"/>
      <c r="X79" s="86"/>
      <c r="Y79" s="82"/>
      <c r="Z79" s="82"/>
      <c r="AA79" s="82"/>
    </row>
    <row r="80" spans="2:27">
      <c r="B80" s="79" t="s">
        <v>51</v>
      </c>
      <c r="C80" s="79"/>
      <c r="D80" s="100">
        <v>756537</v>
      </c>
      <c r="E80" s="100">
        <v>1171051</v>
      </c>
      <c r="F80" s="100">
        <v>1146752</v>
      </c>
      <c r="G80" s="100">
        <v>1275413</v>
      </c>
      <c r="H80" s="100">
        <v>1482819</v>
      </c>
      <c r="I80" s="100"/>
      <c r="K80" s="86"/>
      <c r="L80" s="86"/>
      <c r="M80" s="86"/>
      <c r="N80" s="86"/>
      <c r="O80" s="86"/>
      <c r="P80" s="86"/>
      <c r="Q80" s="86"/>
      <c r="R80" s="86"/>
      <c r="S80" s="86"/>
      <c r="T80" s="86"/>
      <c r="U80" s="86"/>
      <c r="V80" s="86"/>
      <c r="W80" s="86"/>
      <c r="X80" s="86"/>
      <c r="Y80" s="82"/>
      <c r="Z80" s="82"/>
      <c r="AA80" s="82"/>
    </row>
    <row r="81" spans="2:27">
      <c r="B81" s="79"/>
      <c r="C81" s="79"/>
      <c r="D81" s="81"/>
      <c r="E81" s="81"/>
      <c r="F81" s="81"/>
      <c r="G81" s="81"/>
      <c r="H81" s="81"/>
      <c r="I81" s="81"/>
      <c r="K81" s="86"/>
      <c r="L81" s="86"/>
      <c r="M81" s="86"/>
      <c r="N81" s="86"/>
      <c r="O81" s="86"/>
      <c r="P81" s="86"/>
      <c r="Q81" s="86"/>
      <c r="R81" s="86"/>
      <c r="S81" s="86"/>
      <c r="T81" s="86"/>
      <c r="U81" s="86"/>
      <c r="V81" s="86"/>
      <c r="W81" s="86"/>
      <c r="X81" s="86"/>
      <c r="Y81" s="82"/>
      <c r="Z81" s="82"/>
      <c r="AA81" s="82"/>
    </row>
    <row r="82" spans="2:27">
      <c r="B82" s="75" t="s">
        <v>99</v>
      </c>
      <c r="C82" s="75"/>
      <c r="D82" s="81"/>
      <c r="E82" s="81"/>
      <c r="F82" s="81"/>
      <c r="G82" s="81"/>
      <c r="H82" s="81"/>
      <c r="I82" s="81"/>
      <c r="K82" s="86"/>
      <c r="L82" s="86"/>
      <c r="M82" s="86"/>
      <c r="N82" s="86"/>
      <c r="O82" s="86"/>
      <c r="P82" s="86"/>
      <c r="Q82" s="86"/>
      <c r="R82" s="86"/>
      <c r="S82" s="86"/>
      <c r="T82" s="86"/>
      <c r="U82" s="86"/>
      <c r="V82" s="86"/>
      <c r="W82" s="86"/>
      <c r="X82" s="86"/>
      <c r="Y82" s="82"/>
      <c r="Z82" s="82"/>
      <c r="AA82" s="82"/>
    </row>
    <row r="83" spans="2:27">
      <c r="B83" s="79" t="s">
        <v>100</v>
      </c>
      <c r="C83" s="79"/>
      <c r="D83" s="100">
        <v>261853</v>
      </c>
      <c r="E83" s="100">
        <v>295144</v>
      </c>
      <c r="F83" s="100">
        <v>291544</v>
      </c>
      <c r="G83" s="100">
        <v>294907</v>
      </c>
      <c r="H83" s="100">
        <v>315002</v>
      </c>
      <c r="I83" s="100"/>
      <c r="K83" s="86"/>
      <c r="L83" s="86"/>
      <c r="M83" s="86"/>
      <c r="N83" s="86"/>
      <c r="O83" s="86"/>
      <c r="P83" s="86"/>
      <c r="Q83" s="86"/>
      <c r="R83" s="86"/>
      <c r="S83" s="86"/>
      <c r="T83" s="86"/>
      <c r="U83" s="86"/>
      <c r="V83" s="86"/>
      <c r="W83" s="86"/>
      <c r="X83" s="86"/>
      <c r="Y83" s="82"/>
      <c r="Z83" s="82"/>
      <c r="AA83" s="82"/>
    </row>
    <row r="84" spans="2:27">
      <c r="B84" s="79" t="s">
        <v>101</v>
      </c>
      <c r="C84" s="79"/>
      <c r="D84" s="100">
        <v>51061</v>
      </c>
      <c r="E84" s="100">
        <v>49286</v>
      </c>
      <c r="F84" s="100">
        <v>51899</v>
      </c>
      <c r="G84" s="100">
        <v>57584</v>
      </c>
      <c r="H84" s="100">
        <v>66711</v>
      </c>
      <c r="I84" s="100"/>
      <c r="K84" s="86"/>
      <c r="L84" s="86"/>
      <c r="M84" s="86"/>
      <c r="N84" s="86"/>
      <c r="O84" s="86"/>
      <c r="P84" s="86"/>
      <c r="Q84" s="86"/>
      <c r="R84" s="86"/>
      <c r="S84" s="82"/>
      <c r="T84" s="82"/>
      <c r="U84" s="82"/>
    </row>
    <row r="85" spans="2:27">
      <c r="B85" s="79" t="s">
        <v>69</v>
      </c>
      <c r="C85" s="79"/>
      <c r="D85" s="100">
        <v>18582</v>
      </c>
      <c r="E85" s="100">
        <v>36255</v>
      </c>
      <c r="F85" s="100">
        <v>-15072</v>
      </c>
      <c r="G85" s="100">
        <v>26880</v>
      </c>
      <c r="H85" s="100">
        <v>13374</v>
      </c>
      <c r="I85" s="100"/>
      <c r="K85" s="86"/>
      <c r="L85" s="86"/>
      <c r="M85" s="86"/>
      <c r="N85" s="86"/>
      <c r="O85" s="86"/>
      <c r="P85" s="86"/>
      <c r="Q85" s="86"/>
      <c r="R85" s="86"/>
      <c r="S85" s="86"/>
      <c r="T85" s="86"/>
      <c r="U85" s="86"/>
      <c r="V85" s="86"/>
      <c r="W85" s="86"/>
      <c r="X85" s="86"/>
      <c r="Y85" s="82"/>
      <c r="Z85" s="82"/>
      <c r="AA85" s="82"/>
    </row>
    <row r="86" spans="2:27">
      <c r="B86" s="79" t="s">
        <v>102</v>
      </c>
      <c r="C86" s="79"/>
      <c r="D86" s="100">
        <v>208712</v>
      </c>
      <c r="E86" s="100">
        <v>57729</v>
      </c>
      <c r="F86" s="100">
        <v>112485</v>
      </c>
      <c r="G86" s="100">
        <v>9143</v>
      </c>
      <c r="H86" s="100">
        <v>0</v>
      </c>
      <c r="I86" s="100"/>
      <c r="K86" s="86"/>
      <c r="L86" s="86"/>
      <c r="M86" s="86"/>
      <c r="N86" s="86"/>
      <c r="O86" s="86"/>
      <c r="P86" s="86"/>
      <c r="Q86" s="86"/>
      <c r="R86" s="86"/>
      <c r="S86" s="86"/>
      <c r="T86" s="86"/>
      <c r="U86" s="86"/>
      <c r="V86" s="86"/>
      <c r="W86" s="86"/>
      <c r="X86" s="86"/>
      <c r="Y86" s="82"/>
      <c r="Z86" s="82"/>
      <c r="AA86" s="82"/>
    </row>
    <row r="87" spans="2:27">
      <c r="B87" s="79" t="s">
        <v>103</v>
      </c>
      <c r="C87" s="79"/>
      <c r="D87" s="100">
        <v>66209</v>
      </c>
      <c r="E87" s="100">
        <v>50329</v>
      </c>
      <c r="F87" s="100">
        <v>50457</v>
      </c>
      <c r="G87" s="100">
        <v>125579</v>
      </c>
      <c r="H87" s="100">
        <v>113756</v>
      </c>
      <c r="I87" s="100"/>
      <c r="K87" s="86"/>
      <c r="L87" s="86"/>
      <c r="M87" s="86"/>
      <c r="N87" s="86"/>
      <c r="O87" s="86"/>
      <c r="P87" s="86"/>
      <c r="Q87" s="86"/>
      <c r="R87" s="86"/>
      <c r="S87" s="86"/>
      <c r="T87" s="86"/>
      <c r="U87" s="86"/>
      <c r="V87" s="86"/>
      <c r="W87" s="86"/>
      <c r="X87" s="86"/>
      <c r="Y87" s="82"/>
      <c r="Z87" s="82"/>
      <c r="AA87" s="82"/>
    </row>
    <row r="88" spans="2:27">
      <c r="B88" s="79" t="s">
        <v>104</v>
      </c>
      <c r="C88" s="79"/>
      <c r="D88" s="100">
        <v>77291</v>
      </c>
      <c r="E88" s="100">
        <v>37278</v>
      </c>
      <c r="F88" s="100">
        <v>57426</v>
      </c>
      <c r="G88" s="100">
        <v>113470</v>
      </c>
      <c r="H88" s="100">
        <v>96016</v>
      </c>
      <c r="I88" s="100"/>
      <c r="K88" s="86"/>
      <c r="L88" s="86"/>
      <c r="M88" s="86"/>
      <c r="N88" s="86"/>
      <c r="O88" s="86"/>
      <c r="P88" s="86"/>
      <c r="Q88" s="86"/>
      <c r="R88" s="86"/>
      <c r="S88" s="86"/>
      <c r="T88" s="86"/>
      <c r="U88" s="86"/>
      <c r="V88" s="86"/>
      <c r="W88" s="86"/>
      <c r="X88" s="86"/>
      <c r="Y88" s="82"/>
      <c r="Z88" s="82"/>
      <c r="AA88" s="82"/>
    </row>
    <row r="89" spans="2:27">
      <c r="B89" s="79"/>
      <c r="C89" s="79"/>
      <c r="D89" s="81"/>
      <c r="E89" s="81"/>
      <c r="F89" s="81"/>
      <c r="G89" s="81"/>
      <c r="H89" s="81"/>
      <c r="I89" s="81"/>
      <c r="K89" s="86"/>
      <c r="L89" s="86"/>
      <c r="M89" s="86"/>
      <c r="N89" s="86"/>
      <c r="O89" s="86"/>
      <c r="P89" s="86"/>
      <c r="Q89" s="86"/>
      <c r="R89" s="86"/>
      <c r="S89" s="86"/>
      <c r="T89" s="86"/>
      <c r="U89" s="86"/>
      <c r="V89" s="86"/>
      <c r="W89" s="86"/>
      <c r="X89" s="86"/>
      <c r="Y89" s="82"/>
      <c r="Z89" s="82"/>
      <c r="AA89" s="82"/>
    </row>
    <row r="90" spans="2:27">
      <c r="B90" s="75" t="s">
        <v>105</v>
      </c>
      <c r="C90" s="75"/>
      <c r="D90" s="81"/>
      <c r="E90" s="81"/>
      <c r="F90" s="81"/>
      <c r="G90" s="81"/>
      <c r="H90" s="81"/>
      <c r="I90" s="81"/>
      <c r="K90" s="86"/>
      <c r="L90" s="86"/>
      <c r="M90" s="86"/>
      <c r="N90" s="86"/>
      <c r="O90" s="86"/>
      <c r="P90" s="86"/>
      <c r="Q90" s="86"/>
      <c r="R90" s="86"/>
      <c r="S90" s="86"/>
      <c r="T90" s="86"/>
      <c r="U90" s="86"/>
      <c r="V90" s="86"/>
      <c r="W90" s="86"/>
      <c r="X90" s="86"/>
      <c r="Y90" s="82"/>
      <c r="Z90" s="82"/>
      <c r="AA90" s="82"/>
    </row>
    <row r="91" spans="2:27">
      <c r="B91" s="79" t="s">
        <v>106</v>
      </c>
      <c r="C91" s="79"/>
      <c r="D91" s="100">
        <v>-6881</v>
      </c>
      <c r="E91" s="100">
        <v>8585</v>
      </c>
      <c r="F91" s="100">
        <v>40252</v>
      </c>
      <c r="G91" s="100">
        <v>-55537</v>
      </c>
      <c r="H91" s="100">
        <v>-14642</v>
      </c>
      <c r="I91" s="100"/>
      <c r="K91" s="86"/>
      <c r="L91" s="86"/>
      <c r="M91" s="86"/>
      <c r="N91" s="86"/>
      <c r="O91" s="86"/>
      <c r="P91" s="86"/>
      <c r="Q91" s="86"/>
      <c r="R91" s="86"/>
      <c r="S91" s="86"/>
      <c r="T91" s="86"/>
      <c r="U91" s="86"/>
      <c r="V91" s="86"/>
      <c r="W91" s="86"/>
      <c r="X91" s="86"/>
      <c r="Y91" s="82"/>
      <c r="Z91" s="82"/>
      <c r="AA91" s="82"/>
    </row>
    <row r="92" spans="2:27">
      <c r="B92" s="79" t="s">
        <v>60</v>
      </c>
      <c r="C92" s="79"/>
      <c r="D92" s="100">
        <v>-71404</v>
      </c>
      <c r="E92" s="100">
        <v>-12746</v>
      </c>
      <c r="F92" s="100">
        <v>-21194</v>
      </c>
      <c r="G92" s="100">
        <v>-151918</v>
      </c>
      <c r="H92" s="100">
        <v>21457</v>
      </c>
      <c r="I92" s="100"/>
      <c r="K92" s="86"/>
      <c r="L92" s="86"/>
      <c r="M92" s="86"/>
      <c r="N92" s="86"/>
      <c r="O92" s="86"/>
      <c r="P92" s="86"/>
      <c r="Q92" s="86"/>
      <c r="R92" s="86"/>
      <c r="S92" s="86"/>
      <c r="T92" s="86"/>
      <c r="U92" s="86"/>
      <c r="V92" s="86"/>
      <c r="W92" s="86"/>
      <c r="X92" s="86"/>
      <c r="Y92" s="82"/>
      <c r="Z92" s="82"/>
      <c r="AA92" s="82"/>
    </row>
    <row r="93" spans="2:27">
      <c r="B93" s="79" t="s">
        <v>107</v>
      </c>
      <c r="C93" s="79"/>
      <c r="D93" s="100">
        <v>18214</v>
      </c>
      <c r="E93" s="100">
        <v>-39899</v>
      </c>
      <c r="F93" s="100">
        <v>13593</v>
      </c>
      <c r="G93" s="100">
        <v>2493</v>
      </c>
      <c r="H93" s="100">
        <v>8619</v>
      </c>
      <c r="I93" s="100"/>
      <c r="K93" s="86"/>
      <c r="L93" s="86"/>
      <c r="M93" s="86"/>
      <c r="N93" s="86"/>
      <c r="O93" s="86"/>
      <c r="P93" s="86"/>
      <c r="Q93" s="86"/>
      <c r="R93" s="86"/>
      <c r="S93" s="86"/>
      <c r="T93" s="86"/>
      <c r="U93" s="86"/>
      <c r="V93" s="86"/>
      <c r="W93" s="86"/>
      <c r="X93" s="86"/>
      <c r="Y93" s="82"/>
      <c r="Z93" s="82"/>
      <c r="AA93" s="82"/>
    </row>
    <row r="94" spans="2:27">
      <c r="B94" s="79" t="s">
        <v>108</v>
      </c>
      <c r="C94" s="79"/>
      <c r="D94" s="100">
        <v>-52960</v>
      </c>
      <c r="E94" s="100">
        <v>-100252</v>
      </c>
      <c r="F94" s="100">
        <v>41101</v>
      </c>
      <c r="G94" s="100">
        <v>41470</v>
      </c>
      <c r="H94" s="100">
        <v>39732</v>
      </c>
      <c r="I94" s="100"/>
      <c r="K94" s="86"/>
      <c r="L94" s="86"/>
      <c r="M94" s="86"/>
      <c r="N94" s="86"/>
      <c r="O94" s="86"/>
      <c r="P94" s="86"/>
      <c r="Q94" s="86"/>
      <c r="R94" s="86"/>
      <c r="S94" s="86"/>
      <c r="T94" s="86"/>
      <c r="U94" s="86"/>
      <c r="V94" s="86"/>
      <c r="W94" s="86"/>
      <c r="X94" s="86"/>
      <c r="Y94" s="82"/>
      <c r="Z94" s="82"/>
      <c r="AA94" s="82"/>
    </row>
    <row r="95" spans="2:27">
      <c r="B95" s="79" t="s">
        <v>74</v>
      </c>
      <c r="C95" s="79"/>
      <c r="D95" s="100">
        <v>-71027</v>
      </c>
      <c r="E95" s="100">
        <v>75568</v>
      </c>
      <c r="F95" s="100">
        <v>-9544</v>
      </c>
      <c r="G95" s="100">
        <v>-16158</v>
      </c>
      <c r="H95" s="100">
        <v>-29682</v>
      </c>
      <c r="I95" s="100"/>
      <c r="K95" s="86"/>
      <c r="L95" s="86"/>
      <c r="M95" s="86"/>
      <c r="N95" s="86"/>
      <c r="O95" s="86"/>
      <c r="P95" s="86"/>
      <c r="Q95" s="86"/>
      <c r="R95" s="86"/>
      <c r="S95" s="86"/>
      <c r="T95" s="86"/>
      <c r="U95" s="86"/>
      <c r="V95" s="86"/>
      <c r="W95" s="86"/>
      <c r="X95" s="86"/>
      <c r="Y95" s="82"/>
      <c r="Z95" s="82"/>
      <c r="AA95" s="82"/>
    </row>
    <row r="96" spans="2:27">
      <c r="B96" s="79" t="s">
        <v>109</v>
      </c>
      <c r="C96" s="79"/>
      <c r="D96" s="100">
        <v>-56433</v>
      </c>
      <c r="E96" s="100">
        <v>-25864</v>
      </c>
      <c r="F96" s="100">
        <v>-20134</v>
      </c>
      <c r="G96" s="100">
        <v>-11671</v>
      </c>
      <c r="H96" s="100">
        <v>-51100</v>
      </c>
      <c r="I96" s="100"/>
      <c r="K96" s="86"/>
      <c r="L96" s="86"/>
      <c r="M96" s="86"/>
      <c r="N96" s="86"/>
      <c r="O96" s="86"/>
      <c r="P96" s="86"/>
      <c r="Q96" s="86"/>
      <c r="R96" s="86"/>
      <c r="S96" s="86"/>
      <c r="T96" s="86"/>
      <c r="U96" s="86"/>
      <c r="V96" s="86"/>
      <c r="W96" s="86"/>
      <c r="X96" s="86"/>
      <c r="Y96" s="82"/>
      <c r="Z96" s="82"/>
      <c r="AA96" s="82"/>
    </row>
    <row r="97" spans="2:27">
      <c r="B97" s="79" t="s">
        <v>110</v>
      </c>
      <c r="C97" s="79"/>
      <c r="D97" s="100">
        <v>49761</v>
      </c>
      <c r="E97" s="100">
        <v>-2471</v>
      </c>
      <c r="F97" s="100">
        <v>24308</v>
      </c>
      <c r="G97" s="100">
        <v>-11998</v>
      </c>
      <c r="H97" s="100">
        <v>20822</v>
      </c>
      <c r="I97" s="100"/>
      <c r="K97" s="86"/>
      <c r="L97" s="86"/>
      <c r="M97" s="86"/>
      <c r="N97" s="86"/>
      <c r="O97" s="86"/>
      <c r="P97" s="86"/>
      <c r="Q97" s="86"/>
      <c r="R97" s="86"/>
      <c r="S97" s="86"/>
      <c r="T97" s="86"/>
      <c r="U97" s="86"/>
      <c r="V97" s="86"/>
      <c r="W97" s="86"/>
      <c r="X97" s="86"/>
      <c r="Y97" s="82"/>
      <c r="Z97" s="82"/>
      <c r="AA97" s="82"/>
    </row>
    <row r="98" spans="2:27" ht="12.6" thickBot="1">
      <c r="B98" s="84" t="s">
        <v>111</v>
      </c>
      <c r="C98" s="75"/>
      <c r="D98" s="84">
        <f>SUM(D80,D83:D88,D91:D97)</f>
        <v>1249515</v>
      </c>
      <c r="E98" s="84">
        <f>SUM(E80,E83:E88,E91:E97)</f>
        <v>1599993</v>
      </c>
      <c r="F98" s="84">
        <f>SUM(F80,F83:F88,F91:F97)</f>
        <v>1763873</v>
      </c>
      <c r="G98" s="84">
        <f>SUM(G80,G83:G88,G91:G97)</f>
        <v>1699657</v>
      </c>
      <c r="H98" s="84">
        <f>SUM(H80,H83:H88,H91:H97)</f>
        <v>2082884</v>
      </c>
      <c r="I98" s="75"/>
      <c r="K98" s="86"/>
      <c r="L98" s="86"/>
      <c r="M98" s="86"/>
      <c r="N98" s="86"/>
      <c r="O98" s="86"/>
      <c r="P98" s="86"/>
      <c r="Q98" s="86"/>
      <c r="R98" s="86"/>
      <c r="S98" s="86"/>
      <c r="T98" s="86"/>
      <c r="U98" s="86"/>
      <c r="V98" s="86"/>
      <c r="W98" s="86"/>
      <c r="X98" s="86"/>
      <c r="Y98" s="82"/>
      <c r="Z98" s="82"/>
      <c r="AA98" s="82"/>
    </row>
    <row r="99" spans="2:27" ht="12.6" thickTop="1">
      <c r="B99" s="79"/>
      <c r="C99" s="79"/>
      <c r="D99" s="79"/>
      <c r="E99" s="79"/>
      <c r="F99" s="79"/>
      <c r="G99" s="81"/>
      <c r="H99" s="81"/>
      <c r="I99" s="81"/>
      <c r="K99" s="86"/>
      <c r="L99" s="86"/>
      <c r="M99" s="86"/>
      <c r="N99" s="86"/>
      <c r="O99" s="86"/>
      <c r="P99" s="86"/>
      <c r="Q99" s="86"/>
      <c r="R99" s="86"/>
      <c r="S99" s="86"/>
      <c r="T99" s="86"/>
      <c r="U99" s="86"/>
      <c r="V99" s="86"/>
      <c r="W99" s="86"/>
      <c r="X99" s="86"/>
      <c r="Y99" s="82"/>
      <c r="Z99" s="82"/>
      <c r="AA99" s="82"/>
    </row>
    <row r="100" spans="2:27">
      <c r="B100" s="75" t="s">
        <v>112</v>
      </c>
      <c r="C100" s="75"/>
      <c r="D100" s="75"/>
      <c r="E100" s="75"/>
      <c r="F100" s="79"/>
      <c r="G100" s="81"/>
      <c r="H100" s="81"/>
      <c r="I100" s="81"/>
      <c r="K100" s="86"/>
      <c r="L100" s="86"/>
      <c r="M100" s="86"/>
      <c r="N100" s="86"/>
      <c r="O100" s="86"/>
      <c r="P100" s="86"/>
      <c r="Q100" s="86"/>
      <c r="R100" s="86"/>
      <c r="S100" s="86"/>
      <c r="T100" s="86"/>
      <c r="U100" s="86"/>
      <c r="V100" s="86"/>
      <c r="W100" s="86"/>
      <c r="X100" s="86"/>
      <c r="Y100" s="82"/>
      <c r="Z100" s="82"/>
      <c r="AA100" s="82"/>
    </row>
    <row r="101" spans="2:27">
      <c r="B101" s="79" t="s">
        <v>113</v>
      </c>
      <c r="C101" s="79"/>
      <c r="D101" s="100">
        <v>-257675</v>
      </c>
      <c r="E101" s="100">
        <v>-328601</v>
      </c>
      <c r="F101" s="100">
        <v>-318192</v>
      </c>
      <c r="G101" s="100">
        <v>-441626</v>
      </c>
      <c r="H101" s="100">
        <v>-495877</v>
      </c>
      <c r="I101" s="217"/>
      <c r="J101" s="217"/>
      <c r="K101" s="217"/>
      <c r="L101" s="217"/>
      <c r="M101" s="100"/>
      <c r="N101" s="100"/>
      <c r="O101" s="86"/>
      <c r="P101" s="86"/>
      <c r="Q101" s="86"/>
      <c r="R101" s="86"/>
      <c r="S101" s="86"/>
      <c r="T101" s="86"/>
      <c r="U101" s="86"/>
      <c r="V101" s="86"/>
      <c r="W101" s="86"/>
      <c r="X101" s="86"/>
      <c r="Y101" s="82"/>
      <c r="Z101" s="82"/>
      <c r="AA101" s="82"/>
    </row>
    <row r="102" spans="2:27">
      <c r="B102" s="79" t="s">
        <v>114</v>
      </c>
      <c r="C102" s="79"/>
      <c r="D102" s="100">
        <v>-78598</v>
      </c>
      <c r="E102" s="100">
        <v>-52641</v>
      </c>
      <c r="F102" s="100">
        <v>-80230</v>
      </c>
      <c r="G102" s="100">
        <v>-87211</v>
      </c>
      <c r="H102" s="100">
        <v>-128417</v>
      </c>
      <c r="I102" s="217"/>
      <c r="J102" s="218"/>
      <c r="K102" s="219"/>
      <c r="L102" s="219"/>
      <c r="M102" s="86"/>
      <c r="N102" s="86"/>
      <c r="O102" s="86"/>
      <c r="P102" s="86"/>
      <c r="Q102" s="86"/>
      <c r="R102" s="86"/>
      <c r="S102" s="86"/>
      <c r="T102" s="86"/>
      <c r="U102" s="86"/>
      <c r="V102" s="86"/>
      <c r="W102" s="86"/>
      <c r="X102" s="86"/>
      <c r="Y102" s="82"/>
      <c r="Z102" s="82"/>
      <c r="AA102" s="82"/>
    </row>
    <row r="103" spans="2:27">
      <c r="B103" s="79" t="s">
        <v>115</v>
      </c>
      <c r="C103" s="79"/>
      <c r="D103" s="100"/>
      <c r="E103" s="100">
        <v>-1338459</v>
      </c>
      <c r="F103" s="100">
        <v>-402160</v>
      </c>
      <c r="G103" s="100">
        <v>0</v>
      </c>
      <c r="H103" s="100">
        <v>-1601073</v>
      </c>
      <c r="I103" s="217"/>
      <c r="J103" s="218"/>
      <c r="K103" s="219"/>
      <c r="L103" s="219"/>
      <c r="M103" s="86"/>
      <c r="N103" s="86"/>
      <c r="O103" s="86"/>
      <c r="P103" s="86"/>
      <c r="Q103" s="86"/>
      <c r="R103" s="86"/>
      <c r="S103" s="86"/>
      <c r="T103" s="86"/>
      <c r="U103" s="86"/>
      <c r="V103" s="86"/>
      <c r="W103" s="86"/>
      <c r="X103" s="86"/>
      <c r="Y103" s="82"/>
      <c r="Z103" s="82"/>
      <c r="AA103" s="82"/>
    </row>
    <row r="104" spans="2:27">
      <c r="B104" s="79" t="s">
        <v>116</v>
      </c>
      <c r="C104" s="79"/>
      <c r="D104" s="100">
        <f>7609</f>
        <v>7609</v>
      </c>
      <c r="E104" s="100">
        <f>49759+167048</f>
        <v>216807</v>
      </c>
      <c r="F104" s="100">
        <v>20102</v>
      </c>
      <c r="G104" s="100">
        <v>-2443</v>
      </c>
      <c r="H104" s="100">
        <v>2539</v>
      </c>
      <c r="I104" s="217"/>
      <c r="J104" s="218"/>
      <c r="K104" s="219"/>
      <c r="L104" s="219"/>
      <c r="M104" s="86"/>
      <c r="N104" s="86"/>
      <c r="O104" s="86"/>
      <c r="P104" s="86"/>
      <c r="Q104" s="86"/>
      <c r="R104" s="86"/>
      <c r="S104" s="86"/>
      <c r="T104" s="86"/>
      <c r="U104" s="86"/>
      <c r="V104" s="86"/>
      <c r="W104" s="86"/>
      <c r="X104" s="86"/>
      <c r="Y104" s="82"/>
      <c r="Z104" s="82"/>
      <c r="AA104" s="82"/>
    </row>
    <row r="105" spans="2:27" ht="12.6" thickBot="1">
      <c r="B105" s="93" t="s">
        <v>117</v>
      </c>
      <c r="C105" s="79"/>
      <c r="D105" s="84">
        <f>SUM(D101:D104)</f>
        <v>-328664</v>
      </c>
      <c r="E105" s="84">
        <f>SUM(E101:E104)</f>
        <v>-1502894</v>
      </c>
      <c r="F105" s="84">
        <f>SUM(F101:F104)</f>
        <v>-780480</v>
      </c>
      <c r="G105" s="84">
        <f>SUM(G101:G104)</f>
        <v>-531280</v>
      </c>
      <c r="H105" s="84">
        <f>SUM(H101:H104)</f>
        <v>-2222828</v>
      </c>
      <c r="I105" s="75"/>
      <c r="K105" s="86"/>
      <c r="L105" s="86"/>
      <c r="M105" s="86"/>
      <c r="N105" s="86"/>
      <c r="O105" s="86"/>
      <c r="P105" s="86"/>
      <c r="Q105" s="86"/>
      <c r="R105" s="86"/>
      <c r="S105" s="86"/>
      <c r="T105" s="86"/>
      <c r="U105" s="86"/>
      <c r="V105" s="86"/>
      <c r="W105" s="86"/>
      <c r="X105" s="86"/>
      <c r="Y105" s="82"/>
      <c r="Z105" s="82"/>
      <c r="AA105" s="82"/>
    </row>
    <row r="106" spans="2:27" ht="12.6" thickTop="1">
      <c r="B106" s="79"/>
      <c r="C106" s="79"/>
      <c r="D106" s="79"/>
      <c r="E106" s="79"/>
      <c r="F106" s="79"/>
      <c r="G106" s="75"/>
      <c r="H106" s="75"/>
      <c r="I106" s="75"/>
      <c r="K106" s="86"/>
      <c r="L106" s="86"/>
      <c r="M106" s="86"/>
      <c r="N106" s="86"/>
      <c r="O106" s="86"/>
      <c r="P106" s="86"/>
      <c r="Q106" s="86"/>
      <c r="R106" s="86"/>
      <c r="S106" s="86"/>
      <c r="T106" s="86"/>
      <c r="U106" s="86"/>
      <c r="V106" s="86"/>
      <c r="W106" s="86"/>
      <c r="X106" s="86"/>
      <c r="Y106" s="82"/>
      <c r="Z106" s="82"/>
      <c r="AA106" s="82"/>
    </row>
    <row r="107" spans="2:27">
      <c r="B107" s="75" t="s">
        <v>118</v>
      </c>
      <c r="C107" s="75"/>
      <c r="D107" s="75"/>
      <c r="E107" s="75"/>
      <c r="F107" s="97"/>
      <c r="Y107" s="72"/>
      <c r="Z107" s="72"/>
      <c r="AA107" s="72"/>
    </row>
    <row r="108" spans="2:27">
      <c r="B108" s="79" t="s">
        <v>119</v>
      </c>
      <c r="C108" s="79"/>
      <c r="D108" s="100">
        <v>-81426</v>
      </c>
      <c r="E108" s="100">
        <v>645805</v>
      </c>
      <c r="F108" s="100">
        <v>-1168205</v>
      </c>
      <c r="G108" s="100">
        <v>41759</v>
      </c>
      <c r="H108" s="100">
        <v>869030</v>
      </c>
      <c r="I108" s="100"/>
      <c r="Y108" s="72"/>
      <c r="Z108" s="72"/>
      <c r="AA108" s="72"/>
    </row>
    <row r="109" spans="2:27">
      <c r="B109" s="79" t="s">
        <v>120</v>
      </c>
      <c r="C109" s="79"/>
      <c r="D109" s="100">
        <v>954</v>
      </c>
      <c r="E109" s="100">
        <v>1199845</v>
      </c>
      <c r="F109" s="100">
        <v>989618</v>
      </c>
      <c r="G109" s="100">
        <v>989876</v>
      </c>
      <c r="H109" s="100">
        <v>0</v>
      </c>
      <c r="I109" s="100"/>
      <c r="Y109" s="72"/>
      <c r="Z109" s="72"/>
      <c r="AA109" s="72"/>
    </row>
    <row r="110" spans="2:27">
      <c r="B110" s="79" t="s">
        <v>121</v>
      </c>
      <c r="C110" s="79"/>
      <c r="D110" s="100"/>
      <c r="E110" s="100">
        <v>-910844</v>
      </c>
      <c r="F110" s="100">
        <v>-6151</v>
      </c>
      <c r="G110" s="100">
        <v>-704467</v>
      </c>
      <c r="H110" s="100">
        <v>-439444</v>
      </c>
      <c r="I110" s="100"/>
      <c r="K110" s="85"/>
      <c r="L110" s="85"/>
      <c r="M110" s="85"/>
      <c r="N110" s="85"/>
      <c r="O110" s="85"/>
      <c r="P110" s="85"/>
      <c r="Q110" s="85"/>
      <c r="R110" s="85"/>
      <c r="S110" s="85"/>
      <c r="T110" s="85"/>
      <c r="U110" s="85"/>
      <c r="V110" s="85"/>
      <c r="W110" s="85"/>
      <c r="X110" s="85"/>
      <c r="Y110" s="74"/>
      <c r="Z110" s="74"/>
      <c r="AA110" s="74"/>
    </row>
    <row r="111" spans="2:27">
      <c r="B111" s="79" t="s">
        <v>122</v>
      </c>
      <c r="C111" s="79"/>
      <c r="E111" s="100">
        <v>-72000</v>
      </c>
      <c r="F111" s="100"/>
      <c r="G111" s="100"/>
      <c r="H111" s="100"/>
      <c r="I111" s="100"/>
      <c r="K111" s="85"/>
      <c r="L111" s="85"/>
      <c r="M111" s="85"/>
      <c r="N111" s="85"/>
      <c r="O111" s="85"/>
      <c r="P111" s="85"/>
      <c r="Q111" s="85"/>
      <c r="R111" s="85"/>
      <c r="S111" s="85"/>
      <c r="T111" s="85"/>
      <c r="U111" s="85"/>
      <c r="V111" s="85"/>
      <c r="W111" s="85"/>
      <c r="X111" s="85"/>
      <c r="Y111" s="74"/>
      <c r="Z111" s="74"/>
      <c r="AA111" s="74"/>
    </row>
    <row r="112" spans="2:27">
      <c r="B112" s="79" t="s">
        <v>123</v>
      </c>
      <c r="C112" s="79"/>
      <c r="D112" s="100">
        <v>-526272</v>
      </c>
      <c r="E112" s="100">
        <v>-562521</v>
      </c>
      <c r="F112" s="100">
        <v>-610312</v>
      </c>
      <c r="G112" s="100">
        <v>-640732</v>
      </c>
      <c r="H112" s="100">
        <v>-685987</v>
      </c>
      <c r="I112" s="100"/>
      <c r="K112" s="86"/>
      <c r="L112" s="86"/>
      <c r="M112" s="86"/>
      <c r="N112" s="86"/>
      <c r="O112" s="86"/>
      <c r="P112" s="86"/>
      <c r="Q112" s="86"/>
      <c r="R112" s="86"/>
      <c r="S112" s="86"/>
      <c r="T112" s="86"/>
      <c r="U112" s="86"/>
      <c r="V112" s="86"/>
      <c r="W112" s="86"/>
      <c r="X112" s="86"/>
      <c r="Y112" s="82"/>
      <c r="Z112" s="82"/>
      <c r="AA112" s="82"/>
    </row>
    <row r="113" spans="2:27">
      <c r="B113" s="79" t="s">
        <v>124</v>
      </c>
      <c r="C113" s="79"/>
      <c r="D113" s="100">
        <v>-300312</v>
      </c>
      <c r="E113" s="100">
        <v>-247500</v>
      </c>
      <c r="F113" s="100">
        <v>-527211</v>
      </c>
      <c r="G113" s="100">
        <v>-211196</v>
      </c>
      <c r="H113" s="100">
        <v>-457946</v>
      </c>
      <c r="I113" s="100"/>
      <c r="K113" s="86"/>
      <c r="L113" s="86"/>
      <c r="M113" s="86"/>
      <c r="N113" s="86"/>
      <c r="O113" s="86"/>
      <c r="P113" s="86"/>
      <c r="Q113" s="86"/>
      <c r="R113" s="86"/>
      <c r="S113" s="86"/>
      <c r="T113" s="86"/>
      <c r="U113" s="86"/>
      <c r="V113" s="86"/>
      <c r="W113" s="86"/>
      <c r="X113" s="86"/>
      <c r="Y113" s="82"/>
      <c r="Z113" s="82"/>
      <c r="AA113" s="82"/>
    </row>
    <row r="114" spans="2:27">
      <c r="B114" s="79" t="s">
        <v>125</v>
      </c>
      <c r="C114" s="79"/>
      <c r="D114" s="100">
        <v>63288</v>
      </c>
      <c r="E114" s="100">
        <v>63323</v>
      </c>
      <c r="F114" s="100">
        <v>240806</v>
      </c>
      <c r="G114" s="100">
        <v>25532</v>
      </c>
      <c r="H114" s="100">
        <v>33211</v>
      </c>
      <c r="I114" s="100"/>
      <c r="K114" s="86"/>
      <c r="L114" s="86"/>
      <c r="M114" s="86"/>
      <c r="N114" s="86"/>
      <c r="O114" s="86"/>
      <c r="P114" s="86"/>
      <c r="Q114" s="86"/>
      <c r="R114" s="86"/>
      <c r="S114" s="86"/>
      <c r="T114" s="86"/>
      <c r="U114" s="86"/>
      <c r="V114" s="86"/>
      <c r="W114" s="86"/>
      <c r="X114" s="86"/>
      <c r="Y114" s="82"/>
      <c r="Z114" s="82"/>
      <c r="AA114" s="82"/>
    </row>
    <row r="115" spans="2:27" ht="12.6" thickBot="1">
      <c r="B115" s="84" t="s">
        <v>126</v>
      </c>
      <c r="C115" s="75"/>
      <c r="D115" s="84">
        <f>SUM(D108:D114)</f>
        <v>-843768</v>
      </c>
      <c r="E115" s="84">
        <f>SUM(E108:E114)</f>
        <v>116108</v>
      </c>
      <c r="F115" s="84">
        <f>SUM(F108:F114)</f>
        <v>-1081455</v>
      </c>
      <c r="G115" s="84">
        <f>SUM(G108:G114)</f>
        <v>-499228</v>
      </c>
      <c r="H115" s="84">
        <f>SUM(H108:H114)</f>
        <v>-681136</v>
      </c>
      <c r="I115" s="75"/>
      <c r="K115" s="86"/>
      <c r="L115" s="86"/>
      <c r="M115" s="86"/>
      <c r="N115" s="86"/>
      <c r="O115" s="86"/>
      <c r="P115" s="86"/>
      <c r="Q115" s="86"/>
      <c r="R115" s="86"/>
      <c r="S115" s="86"/>
      <c r="T115" s="86"/>
      <c r="U115" s="86"/>
      <c r="V115" s="86"/>
      <c r="W115" s="86"/>
      <c r="X115" s="86"/>
      <c r="Y115" s="82"/>
      <c r="Z115" s="82"/>
      <c r="AA115" s="82"/>
    </row>
    <row r="116" spans="2:27" ht="12.6" thickTop="1">
      <c r="B116" s="75"/>
      <c r="C116" s="75"/>
      <c r="D116" s="75"/>
      <c r="E116" s="75"/>
      <c r="F116" s="97"/>
      <c r="K116" s="86"/>
      <c r="L116" s="86"/>
      <c r="M116" s="86"/>
      <c r="N116" s="86"/>
      <c r="O116" s="86"/>
      <c r="P116" s="86"/>
      <c r="Q116" s="86"/>
      <c r="R116" s="86"/>
      <c r="S116" s="86"/>
      <c r="T116" s="86"/>
      <c r="U116" s="86"/>
      <c r="V116" s="86"/>
      <c r="W116" s="86"/>
      <c r="X116" s="86"/>
      <c r="Y116" s="82"/>
      <c r="Z116" s="82"/>
      <c r="AA116" s="82"/>
    </row>
    <row r="117" spans="2:27">
      <c r="B117" s="79" t="s">
        <v>127</v>
      </c>
      <c r="C117" s="79"/>
      <c r="D117" s="100">
        <v>6129</v>
      </c>
      <c r="E117" s="100">
        <v>-5388</v>
      </c>
      <c r="F117" s="100">
        <v>3326</v>
      </c>
      <c r="G117" s="100">
        <v>-6990</v>
      </c>
      <c r="H117" s="100">
        <v>-5075</v>
      </c>
      <c r="I117" s="100"/>
      <c r="K117" s="86"/>
      <c r="L117" s="86"/>
      <c r="M117" s="86"/>
      <c r="N117" s="86"/>
      <c r="O117" s="86"/>
      <c r="P117" s="86"/>
      <c r="Q117" s="86"/>
      <c r="R117" s="86"/>
      <c r="S117" s="86"/>
      <c r="T117" s="86"/>
      <c r="U117" s="86"/>
      <c r="V117" s="86"/>
      <c r="W117" s="86"/>
      <c r="X117" s="86"/>
      <c r="Y117" s="82"/>
      <c r="Z117" s="82"/>
      <c r="AA117" s="82"/>
    </row>
    <row r="118" spans="2:27">
      <c r="B118" s="79" t="s">
        <v>128</v>
      </c>
      <c r="C118" s="79"/>
      <c r="D118" s="100">
        <v>83212</v>
      </c>
      <c r="E118" s="100">
        <v>207819</v>
      </c>
      <c r="F118" s="100">
        <v>-94736</v>
      </c>
      <c r="G118" s="100">
        <v>662159</v>
      </c>
      <c r="H118" s="100">
        <v>-826155</v>
      </c>
      <c r="I118" s="100"/>
      <c r="K118" s="86"/>
      <c r="L118" s="86"/>
      <c r="M118" s="86"/>
      <c r="N118" s="86"/>
      <c r="O118" s="86"/>
      <c r="P118" s="86"/>
      <c r="Q118" s="86"/>
      <c r="R118" s="86"/>
      <c r="S118" s="86"/>
      <c r="T118" s="86"/>
      <c r="U118" s="86"/>
      <c r="V118" s="86"/>
      <c r="W118" s="86"/>
      <c r="X118" s="86"/>
      <c r="Y118" s="82"/>
      <c r="Z118" s="82"/>
      <c r="AA118" s="82"/>
    </row>
    <row r="119" spans="2:27">
      <c r="B119" s="71" t="s">
        <v>129</v>
      </c>
      <c r="D119" s="100"/>
      <c r="E119" s="100"/>
      <c r="F119" s="100">
        <v>0</v>
      </c>
      <c r="G119" s="100">
        <v>-11434</v>
      </c>
      <c r="H119" s="100">
        <v>11434</v>
      </c>
      <c r="I119" s="100"/>
      <c r="K119" s="86"/>
      <c r="L119" s="86"/>
      <c r="M119" s="86"/>
      <c r="N119" s="86"/>
      <c r="O119" s="86"/>
      <c r="P119" s="86"/>
      <c r="Q119" s="86"/>
      <c r="R119" s="86"/>
      <c r="S119" s="86"/>
      <c r="T119" s="86"/>
      <c r="U119" s="86"/>
      <c r="V119" s="86"/>
      <c r="W119" s="86"/>
      <c r="X119" s="86"/>
      <c r="Y119" s="82"/>
      <c r="Z119" s="82"/>
      <c r="AA119" s="82"/>
    </row>
    <row r="120" spans="2:27">
      <c r="B120" s="106" t="s">
        <v>130</v>
      </c>
      <c r="D120" s="107">
        <f>D118+D119</f>
        <v>83212</v>
      </c>
      <c r="E120" s="107">
        <f>E118+E119</f>
        <v>207819</v>
      </c>
      <c r="F120" s="107">
        <f>F118+F119</f>
        <v>-94736</v>
      </c>
      <c r="G120" s="107">
        <f>G118+G119</f>
        <v>650725</v>
      </c>
      <c r="H120" s="107">
        <f>H118+H119</f>
        <v>-814721</v>
      </c>
      <c r="I120" s="127"/>
      <c r="K120" s="86"/>
      <c r="L120" s="86"/>
      <c r="M120" s="86"/>
      <c r="N120" s="86"/>
      <c r="O120" s="86"/>
      <c r="P120" s="86"/>
      <c r="Q120" s="86"/>
      <c r="R120" s="86"/>
      <c r="S120" s="86"/>
      <c r="T120" s="86"/>
      <c r="U120" s="86"/>
      <c r="V120" s="86"/>
      <c r="W120" s="86"/>
      <c r="X120" s="86"/>
      <c r="Y120" s="82"/>
      <c r="Z120" s="82"/>
      <c r="AA120" s="82"/>
    </row>
    <row r="121" spans="2:27">
      <c r="B121" s="98" t="s">
        <v>131</v>
      </c>
      <c r="D121" s="100">
        <v>296967</v>
      </c>
      <c r="E121" s="130">
        <v>380179</v>
      </c>
      <c r="F121" s="130">
        <v>587998</v>
      </c>
      <c r="G121" s="130">
        <v>493262</v>
      </c>
      <c r="H121" s="130">
        <v>1143987</v>
      </c>
      <c r="I121" s="100"/>
      <c r="K121" s="86"/>
      <c r="L121" s="86"/>
      <c r="M121" s="86"/>
      <c r="N121" s="86"/>
      <c r="O121" s="86"/>
      <c r="P121" s="86"/>
      <c r="Q121" s="86"/>
      <c r="R121" s="86"/>
      <c r="S121" s="86"/>
      <c r="T121" s="86"/>
      <c r="U121" s="86"/>
      <c r="V121" s="86"/>
      <c r="W121" s="86"/>
      <c r="X121" s="86"/>
      <c r="Y121" s="82"/>
      <c r="Z121" s="82"/>
      <c r="AA121" s="82"/>
    </row>
    <row r="122" spans="2:27" ht="12.6" thickBot="1">
      <c r="B122" s="128" t="s">
        <v>132</v>
      </c>
      <c r="C122" s="126"/>
      <c r="D122" s="129">
        <f>D121+D120</f>
        <v>380179</v>
      </c>
      <c r="E122" s="129">
        <f>E121+E120</f>
        <v>587998</v>
      </c>
      <c r="F122" s="129">
        <f>F121+F120</f>
        <v>493262</v>
      </c>
      <c r="G122" s="129">
        <f>G121+G120</f>
        <v>1143987</v>
      </c>
      <c r="H122" s="129">
        <f>H121+H120</f>
        <v>329266</v>
      </c>
      <c r="I122" s="127"/>
      <c r="K122" s="86"/>
      <c r="L122" s="86"/>
      <c r="M122" s="86"/>
      <c r="N122" s="86"/>
      <c r="O122" s="86"/>
      <c r="P122" s="86"/>
      <c r="Q122" s="86"/>
      <c r="R122" s="86"/>
      <c r="S122" s="86"/>
      <c r="T122" s="86"/>
      <c r="U122" s="86"/>
      <c r="V122" s="86"/>
      <c r="W122" s="86"/>
      <c r="X122" s="86"/>
      <c r="Y122" s="82"/>
      <c r="Z122" s="82"/>
      <c r="AA122" s="82"/>
    </row>
    <row r="123" spans="2:27" ht="12.6" thickTop="1">
      <c r="B123" s="98" t="s">
        <v>133</v>
      </c>
      <c r="C123" s="98"/>
      <c r="D123" s="98"/>
      <c r="E123" s="98"/>
      <c r="F123" s="80"/>
      <c r="G123" s="80"/>
      <c r="H123" s="80"/>
      <c r="I123" s="80"/>
      <c r="K123" s="86"/>
      <c r="L123" s="86"/>
      <c r="M123" s="86"/>
      <c r="N123" s="86"/>
      <c r="O123" s="86"/>
      <c r="P123" s="86"/>
      <c r="Q123" s="86"/>
      <c r="R123" s="86"/>
      <c r="S123" s="86"/>
      <c r="T123" s="86"/>
      <c r="U123" s="86"/>
      <c r="V123" s="86"/>
      <c r="W123" s="86"/>
      <c r="X123" s="86"/>
      <c r="Y123" s="82"/>
      <c r="Z123" s="82"/>
      <c r="AA123" s="82"/>
    </row>
    <row r="124" spans="2:27">
      <c r="B124" s="71" t="s">
        <v>134</v>
      </c>
      <c r="D124" s="100">
        <v>101874</v>
      </c>
      <c r="E124" s="100">
        <v>132486</v>
      </c>
      <c r="F124" s="100">
        <v>139504</v>
      </c>
      <c r="G124" s="100">
        <v>150930</v>
      </c>
      <c r="H124" s="100">
        <v>127726</v>
      </c>
      <c r="I124" s="100"/>
      <c r="K124" s="86"/>
      <c r="L124" s="86"/>
      <c r="M124" s="86"/>
      <c r="N124" s="86"/>
      <c r="O124" s="86"/>
      <c r="P124" s="86"/>
      <c r="Q124" s="86"/>
      <c r="R124" s="86"/>
      <c r="S124" s="86"/>
      <c r="T124" s="86"/>
      <c r="U124" s="86"/>
      <c r="V124" s="86"/>
      <c r="W124" s="86"/>
      <c r="X124" s="86"/>
      <c r="Y124" s="82"/>
      <c r="Z124" s="82"/>
      <c r="AA124" s="82"/>
    </row>
    <row r="125" spans="2:27">
      <c r="B125" s="71" t="s">
        <v>135</v>
      </c>
      <c r="D125" s="100">
        <v>351832</v>
      </c>
      <c r="E125" s="100">
        <v>118842</v>
      </c>
      <c r="F125" s="100">
        <v>238067</v>
      </c>
      <c r="G125" s="100">
        <v>215491</v>
      </c>
      <c r="H125" s="100">
        <v>275171</v>
      </c>
      <c r="I125" s="100"/>
      <c r="K125" s="86"/>
      <c r="L125" s="86"/>
      <c r="M125" s="86"/>
      <c r="N125" s="86"/>
      <c r="O125" s="86"/>
      <c r="P125" s="86"/>
      <c r="Q125" s="86"/>
      <c r="R125" s="86"/>
      <c r="S125" s="86"/>
      <c r="T125" s="86"/>
      <c r="U125" s="86"/>
      <c r="V125" s="86"/>
      <c r="W125" s="86"/>
      <c r="X125" s="86"/>
      <c r="Y125" s="82"/>
      <c r="Z125" s="82"/>
      <c r="AA125" s="82"/>
    </row>
    <row r="126" spans="2:27">
      <c r="I126" s="86"/>
      <c r="J126" s="86"/>
      <c r="K126" s="86"/>
      <c r="L126" s="86"/>
      <c r="M126" s="86"/>
      <c r="N126" s="86"/>
      <c r="O126" s="86"/>
      <c r="P126" s="86"/>
      <c r="Q126" s="86"/>
      <c r="R126" s="86"/>
      <c r="S126" s="86"/>
      <c r="T126" s="82"/>
      <c r="U126" s="82"/>
      <c r="V126" s="82"/>
    </row>
    <row r="127" spans="2:27">
      <c r="I127" s="86"/>
      <c r="J127" s="86"/>
      <c r="K127" s="86"/>
      <c r="L127" s="86"/>
      <c r="M127" s="86"/>
      <c r="N127" s="86"/>
      <c r="O127" s="86"/>
      <c r="P127" s="86"/>
      <c r="Q127" s="86"/>
      <c r="R127" s="86"/>
      <c r="S127" s="86"/>
      <c r="T127" s="82"/>
      <c r="U127" s="82"/>
      <c r="V127" s="82"/>
    </row>
    <row r="128" spans="2:27">
      <c r="I128" s="86"/>
      <c r="J128" s="86"/>
      <c r="K128" s="86"/>
      <c r="L128" s="86"/>
      <c r="M128" s="86"/>
      <c r="N128" s="86"/>
      <c r="O128" s="86"/>
      <c r="P128" s="86"/>
      <c r="Q128" s="86"/>
      <c r="R128" s="86"/>
      <c r="S128" s="86"/>
      <c r="T128" s="82"/>
      <c r="U128" s="82"/>
      <c r="V128" s="82"/>
    </row>
    <row r="129" spans="2:23">
      <c r="B129" s="237"/>
      <c r="L129" s="86"/>
      <c r="M129" s="86"/>
      <c r="N129" s="86"/>
      <c r="O129" s="86"/>
      <c r="P129" s="86"/>
      <c r="Q129" s="86"/>
      <c r="R129" s="86"/>
      <c r="S129" s="86"/>
      <c r="T129" s="82"/>
      <c r="U129" s="82"/>
      <c r="V129" s="82"/>
    </row>
    <row r="130" spans="2:23">
      <c r="P130" s="72"/>
      <c r="T130" s="72"/>
      <c r="U130" s="72"/>
      <c r="V130" s="72"/>
    </row>
    <row r="131" spans="2:23">
      <c r="P131" s="72"/>
      <c r="T131" s="72"/>
      <c r="U131" s="72"/>
      <c r="V131" s="72"/>
    </row>
    <row r="132" spans="2:23">
      <c r="P132" s="72"/>
      <c r="T132" s="72"/>
      <c r="U132" s="72"/>
      <c r="V132" s="72"/>
    </row>
    <row r="133" spans="2:23">
      <c r="T133" s="72"/>
      <c r="U133" s="72"/>
      <c r="V133" s="72"/>
    </row>
    <row r="134" spans="2:23">
      <c r="T134" s="72"/>
      <c r="U134" s="72"/>
      <c r="V134" s="72"/>
    </row>
    <row r="135" spans="2:23">
      <c r="T135" s="72"/>
      <c r="U135" s="72"/>
      <c r="V135" s="72"/>
    </row>
    <row r="136" spans="2:23">
      <c r="T136" s="72"/>
      <c r="U136" s="72"/>
      <c r="V136" s="72"/>
    </row>
    <row r="137" spans="2:23">
      <c r="T137" s="72"/>
      <c r="U137" s="72"/>
      <c r="V137" s="72"/>
    </row>
    <row r="138" spans="2:23">
      <c r="T138" s="72"/>
      <c r="U138" s="72"/>
      <c r="V138" s="72"/>
    </row>
    <row r="139" spans="2:23">
      <c r="T139" s="72"/>
      <c r="U139" s="72"/>
      <c r="V139" s="72"/>
    </row>
    <row r="140" spans="2:23">
      <c r="T140" s="72"/>
      <c r="U140" s="72"/>
      <c r="V140" s="72"/>
    </row>
    <row r="141" spans="2:23">
      <c r="U141" s="72"/>
      <c r="V141" s="72"/>
      <c r="W141" s="72"/>
    </row>
    <row r="142" spans="2:23">
      <c r="U142" s="72"/>
      <c r="V142" s="72"/>
      <c r="W142" s="72"/>
    </row>
    <row r="143" spans="2:23">
      <c r="U143" s="72"/>
      <c r="V143" s="72"/>
      <c r="W143" s="72"/>
    </row>
    <row r="144" spans="2:23">
      <c r="U144" s="72"/>
      <c r="V144" s="72"/>
      <c r="W144" s="72"/>
    </row>
    <row r="145" spans="21:23">
      <c r="U145" s="72"/>
      <c r="V145" s="72"/>
      <c r="W145" s="72"/>
    </row>
    <row r="146" spans="21:23">
      <c r="U146" s="72"/>
      <c r="V146" s="72"/>
      <c r="W146" s="72"/>
    </row>
    <row r="147" spans="21:23">
      <c r="U147" s="72"/>
      <c r="V147" s="72"/>
      <c r="W147" s="72"/>
    </row>
    <row r="148" spans="21:23">
      <c r="U148" s="72"/>
      <c r="V148" s="72"/>
      <c r="W148" s="72"/>
    </row>
    <row r="149" spans="21:23">
      <c r="U149" s="72"/>
      <c r="V149" s="72"/>
      <c r="W149" s="72"/>
    </row>
    <row r="150" spans="21:23">
      <c r="U150" s="72"/>
      <c r="V150" s="72"/>
      <c r="W150" s="72"/>
    </row>
    <row r="151" spans="21:23">
      <c r="U151" s="72"/>
      <c r="V151" s="72"/>
      <c r="W151" s="72"/>
    </row>
    <row r="152" spans="21:23">
      <c r="U152" s="72"/>
      <c r="V152" s="72"/>
      <c r="W152" s="72"/>
    </row>
    <row r="153" spans="21:23">
      <c r="U153" s="72"/>
      <c r="V153" s="72"/>
      <c r="W153" s="72"/>
    </row>
    <row r="154" spans="21:23">
      <c r="U154" s="72"/>
      <c r="V154" s="72"/>
      <c r="W154" s="72"/>
    </row>
    <row r="155" spans="21:23">
      <c r="U155" s="72"/>
      <c r="V155" s="72"/>
      <c r="W155" s="72"/>
    </row>
    <row r="156" spans="21:23">
      <c r="U156" s="72"/>
      <c r="V156" s="72"/>
      <c r="W156" s="72"/>
    </row>
    <row r="157" spans="21:23">
      <c r="U157" s="72"/>
      <c r="V157" s="72"/>
      <c r="W157" s="72"/>
    </row>
    <row r="158" spans="21:23">
      <c r="U158" s="72"/>
      <c r="V158" s="72"/>
      <c r="W158" s="72"/>
    </row>
  </sheetData>
  <mergeCells count="13">
    <mergeCell ref="E5:E7"/>
    <mergeCell ref="D4:E4"/>
    <mergeCell ref="D10:H10"/>
    <mergeCell ref="B5:B7"/>
    <mergeCell ref="J11:N11"/>
    <mergeCell ref="D5:D7"/>
    <mergeCell ref="AH30:AI30"/>
    <mergeCell ref="AE30:AF30"/>
    <mergeCell ref="F75:H75"/>
    <mergeCell ref="F5:F7"/>
    <mergeCell ref="G5:G7"/>
    <mergeCell ref="H5:H7"/>
    <mergeCell ref="F32:H32"/>
  </mergeCells>
  <printOptions gridLines="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F218E-33B1-4F05-9949-B45017D55FA8}">
  <dimension ref="A1:N255"/>
  <sheetViews>
    <sheetView showGridLines="0" topLeftCell="F1" workbookViewId="0">
      <selection activeCell="H9" sqref="H9"/>
    </sheetView>
  </sheetViews>
  <sheetFormatPr defaultColWidth="8.85546875" defaultRowHeight="12.4"/>
  <cols>
    <col min="1" max="1" width="17.28515625" bestFit="1" customWidth="1"/>
    <col min="2" max="2" width="14.140625" bestFit="1" customWidth="1"/>
    <col min="3" max="3" width="17.28515625" bestFit="1" customWidth="1"/>
    <col min="6" max="6" width="23.42578125" customWidth="1"/>
    <col min="7" max="7" width="55.28515625" bestFit="1" customWidth="1"/>
  </cols>
  <sheetData>
    <row r="1" spans="1:14">
      <c r="A1" s="339" t="s">
        <v>136</v>
      </c>
      <c r="B1" s="339"/>
      <c r="C1" s="339"/>
      <c r="D1" s="339"/>
    </row>
    <row r="2" spans="1:14">
      <c r="A2" s="340" t="s">
        <v>137</v>
      </c>
      <c r="B2" s="340"/>
      <c r="C2" s="340" t="s">
        <v>138</v>
      </c>
      <c r="D2" s="340"/>
    </row>
    <row r="3" spans="1:14">
      <c r="A3" s="140" t="s">
        <v>139</v>
      </c>
      <c r="B3" s="140" t="s">
        <v>140</v>
      </c>
      <c r="C3" s="140" t="s">
        <v>139</v>
      </c>
      <c r="D3" s="140" t="s">
        <v>141</v>
      </c>
    </row>
    <row r="4" spans="1:14">
      <c r="A4" s="140">
        <v>236.009995</v>
      </c>
      <c r="B4" s="140"/>
      <c r="C4" s="141">
        <v>3995.32</v>
      </c>
      <c r="D4" s="140"/>
      <c r="G4" s="150" t="s">
        <v>30</v>
      </c>
      <c r="H4" s="341" t="s">
        <v>31</v>
      </c>
      <c r="I4" s="341"/>
      <c r="J4" s="341"/>
      <c r="K4" s="341"/>
      <c r="L4" s="341"/>
      <c r="M4" s="341"/>
      <c r="N4" s="342"/>
    </row>
    <row r="5" spans="1:14">
      <c r="A5" s="140">
        <v>236.33000200000001</v>
      </c>
      <c r="B5" s="140">
        <f>(A5/A4)-1</f>
        <v>1.3559044395556885E-3</v>
      </c>
      <c r="C5" s="141">
        <v>4019.65</v>
      </c>
      <c r="D5" s="140">
        <f>(C5/C4)-1</f>
        <v>6.0896248610875503E-3</v>
      </c>
      <c r="G5" s="151" t="s">
        <v>32</v>
      </c>
      <c r="H5" s="343" t="e" vm="1">
        <v>#VALUE!</v>
      </c>
      <c r="I5" s="343"/>
      <c r="J5" s="343"/>
      <c r="K5" s="343"/>
      <c r="L5" s="343"/>
      <c r="M5" s="343"/>
      <c r="N5" s="344"/>
    </row>
    <row r="6" spans="1:14">
      <c r="A6" s="140">
        <v>239.28999300000001</v>
      </c>
      <c r="B6" s="140">
        <f t="shared" ref="B6:B69" si="0">(A6/A5)-1</f>
        <v>1.2524821118564455E-2</v>
      </c>
      <c r="C6" s="141">
        <v>3990.56</v>
      </c>
      <c r="D6" s="140">
        <f t="shared" ref="D6:D69" si="1">(C6/C5)-1</f>
        <v>-7.2369484905402404E-3</v>
      </c>
      <c r="G6" s="151" t="s">
        <v>33</v>
      </c>
      <c r="H6" s="144" cm="1">
        <f t="array" ref="H6">_FV(H5,"Price")</f>
        <v>189.32</v>
      </c>
      <c r="I6" s="144"/>
      <c r="J6" s="144"/>
      <c r="K6" s="144"/>
      <c r="L6" s="144"/>
      <c r="M6" s="144"/>
      <c r="N6" s="149"/>
    </row>
    <row r="7" spans="1:14">
      <c r="A7" s="140">
        <v>236.770004</v>
      </c>
      <c r="B7" s="140">
        <f t="shared" si="0"/>
        <v>-1.0531109004629391E-2</v>
      </c>
      <c r="C7" s="141">
        <v>3934.38</v>
      </c>
      <c r="D7" s="140">
        <f t="shared" si="1"/>
        <v>-1.4078224610079793E-2</v>
      </c>
      <c r="G7" s="151" t="s">
        <v>142</v>
      </c>
      <c r="H7" s="160">
        <f>_xlfn.COVARIANCE.P(D4:D255,B4:B255)/_xlfn.VAR.P(D4:D255)</f>
        <v>0.31397956821995954</v>
      </c>
      <c r="I7" s="144"/>
      <c r="J7" s="144"/>
      <c r="K7" s="144"/>
      <c r="L7" s="144"/>
      <c r="M7" s="144"/>
      <c r="N7" s="149"/>
    </row>
    <row r="8" spans="1:14">
      <c r="A8" s="140">
        <v>241.30999800000001</v>
      </c>
      <c r="B8" s="140">
        <f t="shared" si="0"/>
        <v>1.9174700862867766E-2</v>
      </c>
      <c r="C8" s="141">
        <v>3963.51</v>
      </c>
      <c r="D8" s="140">
        <f t="shared" si="1"/>
        <v>7.4039619965535763E-3</v>
      </c>
      <c r="G8" s="152" t="s">
        <v>143</v>
      </c>
      <c r="H8" s="142">
        <v>0.06</v>
      </c>
      <c r="I8" s="143" t="s">
        <v>144</v>
      </c>
      <c r="N8" s="147"/>
    </row>
    <row r="9" spans="1:14">
      <c r="A9" s="140">
        <v>236.69000199999999</v>
      </c>
      <c r="B9" s="140">
        <f t="shared" si="0"/>
        <v>-1.9145481075342863E-2</v>
      </c>
      <c r="C9" s="141">
        <v>3933.92</v>
      </c>
      <c r="D9" s="140">
        <f t="shared" si="1"/>
        <v>-7.465604981443219E-3</v>
      </c>
      <c r="G9" s="153" t="s">
        <v>145</v>
      </c>
      <c r="H9" s="145">
        <v>3.5700000000000003E-2</v>
      </c>
      <c r="I9" s="146" t="s">
        <v>146</v>
      </c>
      <c r="J9" s="146"/>
      <c r="K9" s="146"/>
      <c r="L9" s="146"/>
      <c r="M9" s="146"/>
      <c r="N9" s="148"/>
    </row>
    <row r="10" spans="1:14">
      <c r="A10" s="140">
        <v>232.55999800000001</v>
      </c>
      <c r="B10" s="140">
        <f t="shared" si="0"/>
        <v>-1.7449000655295865E-2</v>
      </c>
      <c r="C10" s="141">
        <v>3941.26</v>
      </c>
      <c r="D10" s="140">
        <f t="shared" si="1"/>
        <v>1.8658234026112108E-3</v>
      </c>
    </row>
    <row r="11" spans="1:14">
      <c r="A11" s="140">
        <v>233.25</v>
      </c>
      <c r="B11" s="140">
        <f t="shared" si="0"/>
        <v>2.966984889636981E-3</v>
      </c>
      <c r="C11" s="141">
        <v>3998.84</v>
      </c>
      <c r="D11" s="140">
        <f t="shared" si="1"/>
        <v>1.4609541111218149E-2</v>
      </c>
    </row>
    <row r="12" spans="1:14">
      <c r="A12" s="140">
        <v>234.729996</v>
      </c>
      <c r="B12" s="140">
        <f t="shared" si="0"/>
        <v>6.3451061093247052E-3</v>
      </c>
      <c r="C12" s="141">
        <v>4071.7</v>
      </c>
      <c r="D12" s="140">
        <f t="shared" si="1"/>
        <v>1.8220283882325772E-2</v>
      </c>
    </row>
    <row r="13" spans="1:14">
      <c r="A13" s="140">
        <v>231.88000500000001</v>
      </c>
      <c r="B13" s="140">
        <f t="shared" si="0"/>
        <v>-1.2141571373775251E-2</v>
      </c>
      <c r="C13" s="141">
        <v>4076.57</v>
      </c>
      <c r="D13" s="140">
        <f t="shared" si="1"/>
        <v>1.1960606135030805E-3</v>
      </c>
    </row>
    <row r="14" spans="1:14">
      <c r="A14" s="140">
        <v>235.16999799999999</v>
      </c>
      <c r="B14" s="140">
        <f t="shared" si="0"/>
        <v>1.418834280256287E-2</v>
      </c>
      <c r="C14" s="141">
        <v>4080.11</v>
      </c>
      <c r="D14" s="140">
        <f t="shared" si="1"/>
        <v>8.6837709152542963E-4</v>
      </c>
    </row>
    <row r="15" spans="1:14">
      <c r="A15" s="140">
        <v>230.490005</v>
      </c>
      <c r="B15" s="140">
        <f t="shared" si="0"/>
        <v>-1.9900467915979658E-2</v>
      </c>
      <c r="C15" s="141">
        <v>3957.63</v>
      </c>
      <c r="D15" s="140">
        <f t="shared" si="1"/>
        <v>-3.0018798512785216E-2</v>
      </c>
    </row>
    <row r="16" spans="1:14">
      <c r="A16" s="140">
        <v>232.63000500000001</v>
      </c>
      <c r="B16" s="140">
        <f t="shared" si="0"/>
        <v>9.2845674587929139E-3</v>
      </c>
      <c r="C16" s="141">
        <v>3963.94</v>
      </c>
      <c r="D16" s="140">
        <f t="shared" si="1"/>
        <v>1.5943885608304953E-3</v>
      </c>
    </row>
    <row r="17" spans="1:4">
      <c r="A17" s="140">
        <v>233.759995</v>
      </c>
      <c r="B17" s="140">
        <f t="shared" si="0"/>
        <v>4.8574559416787455E-3</v>
      </c>
      <c r="C17" s="141">
        <v>4026.12</v>
      </c>
      <c r="D17" s="140">
        <f t="shared" si="1"/>
        <v>1.568641301331497E-2</v>
      </c>
    </row>
    <row r="18" spans="1:4">
      <c r="A18" s="140">
        <v>232.16999799999999</v>
      </c>
      <c r="B18" s="140">
        <f t="shared" si="0"/>
        <v>-6.8018353610933557E-3</v>
      </c>
      <c r="C18" s="141">
        <v>4027.26</v>
      </c>
      <c r="D18" s="140">
        <f t="shared" si="1"/>
        <v>2.8315102381459845E-4</v>
      </c>
    </row>
    <row r="19" spans="1:4">
      <c r="A19" s="140">
        <v>232.19000199999999</v>
      </c>
      <c r="B19" s="140">
        <f t="shared" si="0"/>
        <v>8.6161003455709206E-5</v>
      </c>
      <c r="C19" s="141">
        <v>4003.58</v>
      </c>
      <c r="D19" s="140">
        <f t="shared" si="1"/>
        <v>-5.8799282887125326E-3</v>
      </c>
    </row>
    <row r="20" spans="1:4">
      <c r="A20" s="140">
        <v>232.13000500000001</v>
      </c>
      <c r="B20" s="140">
        <f t="shared" si="0"/>
        <v>-2.5839613886557977E-4</v>
      </c>
      <c r="C20" s="141">
        <v>3949.94</v>
      </c>
      <c r="D20" s="140">
        <f t="shared" si="1"/>
        <v>-1.3398008782139925E-2</v>
      </c>
    </row>
    <row r="21" spans="1:4">
      <c r="A21" s="140">
        <v>225.21000699999999</v>
      </c>
      <c r="B21" s="140">
        <f t="shared" si="0"/>
        <v>-2.9810872575477765E-2</v>
      </c>
      <c r="C21" s="141">
        <v>3965.34</v>
      </c>
      <c r="D21" s="140">
        <f t="shared" si="1"/>
        <v>3.8987933993934742E-3</v>
      </c>
    </row>
    <row r="22" spans="1:4">
      <c r="A22" s="140">
        <v>221.61999499999999</v>
      </c>
      <c r="B22" s="140">
        <f t="shared" si="0"/>
        <v>-1.5940730377935641E-2</v>
      </c>
      <c r="C22" s="141">
        <v>3946.56</v>
      </c>
      <c r="D22" s="140">
        <f t="shared" si="1"/>
        <v>-4.7360377672532872E-3</v>
      </c>
    </row>
    <row r="23" spans="1:4">
      <c r="A23" s="140">
        <v>222.11399800000001</v>
      </c>
      <c r="B23" s="140">
        <f t="shared" si="0"/>
        <v>2.2290542872722696E-3</v>
      </c>
      <c r="C23" s="141">
        <v>3958.79</v>
      </c>
      <c r="D23" s="140">
        <f t="shared" si="1"/>
        <v>3.0989013216573547E-3</v>
      </c>
    </row>
    <row r="24" spans="1:4">
      <c r="A24" s="140">
        <v>216.301117</v>
      </c>
      <c r="B24" s="140">
        <f t="shared" si="0"/>
        <v>-2.6170709871243703E-2</v>
      </c>
      <c r="C24" s="141">
        <v>3991.73</v>
      </c>
      <c r="D24" s="140">
        <f t="shared" si="1"/>
        <v>8.3207242617062693E-3</v>
      </c>
    </row>
    <row r="25" spans="1:4">
      <c r="A25" s="140">
        <v>217.10734600000001</v>
      </c>
      <c r="B25" s="140">
        <f t="shared" si="0"/>
        <v>3.7273455226771723E-3</v>
      </c>
      <c r="C25" s="141">
        <v>3957.25</v>
      </c>
      <c r="D25" s="140">
        <f t="shared" si="1"/>
        <v>-8.6378587730132628E-3</v>
      </c>
    </row>
    <row r="26" spans="1:4">
      <c r="A26" s="140">
        <v>217.863831</v>
      </c>
      <c r="B26" s="140">
        <f t="shared" si="0"/>
        <v>3.4843823294674614E-3</v>
      </c>
      <c r="C26" s="141">
        <v>3992.93</v>
      </c>
      <c r="D26" s="140">
        <f t="shared" si="1"/>
        <v>9.0163623728598541E-3</v>
      </c>
    </row>
    <row r="27" spans="1:4">
      <c r="A27" s="140">
        <v>225.24937399999999</v>
      </c>
      <c r="B27" s="140">
        <f t="shared" si="0"/>
        <v>3.3899812401628093E-2</v>
      </c>
      <c r="C27" s="141">
        <v>3956.37</v>
      </c>
      <c r="D27" s="140">
        <f t="shared" si="1"/>
        <v>-9.1561835544324843E-3</v>
      </c>
    </row>
    <row r="28" spans="1:4">
      <c r="A28" s="140">
        <v>229.648865</v>
      </c>
      <c r="B28" s="140">
        <f t="shared" si="0"/>
        <v>1.953164584599465E-2</v>
      </c>
      <c r="C28" s="141">
        <v>3748.57</v>
      </c>
      <c r="D28" s="140">
        <f t="shared" si="1"/>
        <v>-5.2522893460419495E-2</v>
      </c>
    </row>
    <row r="29" spans="1:4">
      <c r="A29" s="140">
        <v>229.99723800000001</v>
      </c>
      <c r="B29" s="140">
        <f t="shared" si="0"/>
        <v>1.5169811529440747E-3</v>
      </c>
      <c r="C29" s="141">
        <v>3828.11</v>
      </c>
      <c r="D29" s="140">
        <f t="shared" si="1"/>
        <v>2.1218758086416933E-2</v>
      </c>
    </row>
    <row r="30" spans="1:4">
      <c r="A30" s="140">
        <v>228.23545799999999</v>
      </c>
      <c r="B30" s="140">
        <f t="shared" si="0"/>
        <v>-7.6600050301474099E-3</v>
      </c>
      <c r="C30" s="141">
        <v>3806.8</v>
      </c>
      <c r="D30" s="140">
        <f t="shared" si="1"/>
        <v>-5.566715689988011E-3</v>
      </c>
    </row>
    <row r="31" spans="1:4">
      <c r="A31" s="140">
        <v>227.96670499999999</v>
      </c>
      <c r="B31" s="140">
        <f t="shared" si="0"/>
        <v>-1.1775251854162505E-3</v>
      </c>
      <c r="C31" s="141">
        <v>3770.55</v>
      </c>
      <c r="D31" s="140">
        <f t="shared" si="1"/>
        <v>-9.5224335399810567E-3</v>
      </c>
    </row>
    <row r="32" spans="1:4">
      <c r="A32" s="140">
        <v>231.012497</v>
      </c>
      <c r="B32" s="140">
        <f t="shared" si="0"/>
        <v>1.3360687912737035E-2</v>
      </c>
      <c r="C32" s="141">
        <v>3719.89</v>
      </c>
      <c r="D32" s="140">
        <f t="shared" si="1"/>
        <v>-1.3435705666282161E-2</v>
      </c>
    </row>
    <row r="33" spans="1:4">
      <c r="A33" s="140">
        <v>234.01847799999999</v>
      </c>
      <c r="B33" s="140">
        <f t="shared" si="0"/>
        <v>1.3012200807474006E-2</v>
      </c>
      <c r="C33" s="141">
        <v>3759.69</v>
      </c>
      <c r="D33" s="140">
        <f t="shared" si="1"/>
        <v>1.0699241106591817E-2</v>
      </c>
    </row>
    <row r="34" spans="1:4">
      <c r="A34" s="140">
        <v>236.65617399999999</v>
      </c>
      <c r="B34" s="140">
        <f t="shared" si="0"/>
        <v>1.1271315079657951E-2</v>
      </c>
      <c r="C34" s="141">
        <v>3856.1</v>
      </c>
      <c r="D34" s="140">
        <f t="shared" si="1"/>
        <v>2.5643071636225256E-2</v>
      </c>
    </row>
    <row r="35" spans="1:4">
      <c r="A35" s="140">
        <v>237.661484</v>
      </c>
      <c r="B35" s="140">
        <f t="shared" si="0"/>
        <v>4.2479770673551354E-3</v>
      </c>
      <c r="C35" s="141">
        <v>3871.98</v>
      </c>
      <c r="D35" s="140">
        <f t="shared" si="1"/>
        <v>4.1181504629028698E-3</v>
      </c>
    </row>
    <row r="36" spans="1:4">
      <c r="A36" s="140">
        <v>238.84596300000001</v>
      </c>
      <c r="B36" s="140">
        <f t="shared" si="0"/>
        <v>4.9838912896800203E-3</v>
      </c>
      <c r="C36" s="141">
        <v>3901.06</v>
      </c>
      <c r="D36" s="140">
        <f t="shared" si="1"/>
        <v>7.5103693717426534E-3</v>
      </c>
    </row>
    <row r="37" spans="1:4">
      <c r="A37" s="140">
        <v>233.34162900000001</v>
      </c>
      <c r="B37" s="140">
        <f t="shared" si="0"/>
        <v>-2.3045539187111941E-2</v>
      </c>
      <c r="C37" s="141">
        <v>3807.3</v>
      </c>
      <c r="D37" s="140">
        <f t="shared" si="1"/>
        <v>-2.4034493189030615E-2</v>
      </c>
    </row>
    <row r="38" spans="1:4">
      <c r="A38" s="140">
        <v>231.70924400000001</v>
      </c>
      <c r="B38" s="140">
        <f t="shared" si="0"/>
        <v>-6.9956869976253166E-3</v>
      </c>
      <c r="C38" s="141">
        <v>3830.6</v>
      </c>
      <c r="D38" s="140">
        <f t="shared" si="1"/>
        <v>6.1198224463530071E-3</v>
      </c>
    </row>
    <row r="39" spans="1:4">
      <c r="A39" s="140">
        <v>233.03306599999999</v>
      </c>
      <c r="B39" s="140">
        <f t="shared" si="0"/>
        <v>5.7132895397129513E-3</v>
      </c>
      <c r="C39" s="141">
        <v>3859.11</v>
      </c>
      <c r="D39" s="140">
        <f t="shared" si="1"/>
        <v>7.44269827181121E-3</v>
      </c>
    </row>
    <row r="40" spans="1:4">
      <c r="A40" s="140">
        <v>230.88310200000001</v>
      </c>
      <c r="B40" s="140">
        <f t="shared" si="0"/>
        <v>-9.2260040040840208E-3</v>
      </c>
      <c r="C40" s="141">
        <v>3797.34</v>
      </c>
      <c r="D40" s="140">
        <f t="shared" si="1"/>
        <v>-1.6006281241011555E-2</v>
      </c>
    </row>
    <row r="41" spans="1:4">
      <c r="A41" s="140">
        <v>227.160461</v>
      </c>
      <c r="B41" s="140">
        <f t="shared" si="0"/>
        <v>-1.6123488327006275E-2</v>
      </c>
      <c r="C41" s="141">
        <v>3752.75</v>
      </c>
      <c r="D41" s="140">
        <f t="shared" si="1"/>
        <v>-1.1742430227475009E-2</v>
      </c>
    </row>
    <row r="42" spans="1:4">
      <c r="A42" s="140">
        <v>223.69662500000001</v>
      </c>
      <c r="B42" s="140">
        <f t="shared" si="0"/>
        <v>-1.5248410681821922E-2</v>
      </c>
      <c r="C42" s="141">
        <v>3665.78</v>
      </c>
      <c r="D42" s="140">
        <f t="shared" si="1"/>
        <v>-2.3175004996335957E-2</v>
      </c>
    </row>
    <row r="43" spans="1:4">
      <c r="A43" s="140">
        <v>225.209564</v>
      </c>
      <c r="B43" s="140">
        <f t="shared" si="0"/>
        <v>6.7633519280856369E-3</v>
      </c>
      <c r="C43" s="141">
        <v>3695.16</v>
      </c>
      <c r="D43" s="140">
        <f t="shared" si="1"/>
        <v>8.0146653645334354E-3</v>
      </c>
    </row>
    <row r="44" spans="1:4">
      <c r="A44" s="140">
        <v>226.254684</v>
      </c>
      <c r="B44" s="140">
        <f t="shared" si="0"/>
        <v>4.6406554918778653E-3</v>
      </c>
      <c r="C44" s="141">
        <v>3719.98</v>
      </c>
      <c r="D44" s="140">
        <f t="shared" si="1"/>
        <v>6.7168945323070606E-3</v>
      </c>
    </row>
    <row r="45" spans="1:4">
      <c r="A45" s="140">
        <v>224.67207300000001</v>
      </c>
      <c r="B45" s="140">
        <f t="shared" si="0"/>
        <v>-6.9948209337402645E-3</v>
      </c>
      <c r="C45" s="141">
        <v>3677.95</v>
      </c>
      <c r="D45" s="140">
        <f t="shared" si="1"/>
        <v>-1.1298447841117443E-2</v>
      </c>
    </row>
    <row r="46" spans="1:4">
      <c r="A46" s="140">
        <v>221.67605599999999</v>
      </c>
      <c r="B46" s="140">
        <f t="shared" si="0"/>
        <v>-1.3335066348010294E-2</v>
      </c>
      <c r="C46" s="141">
        <v>3583.07</v>
      </c>
      <c r="D46" s="140">
        <f t="shared" si="1"/>
        <v>-2.5796979295531375E-2</v>
      </c>
    </row>
    <row r="47" spans="1:4">
      <c r="A47" s="140">
        <v>226.74241599999999</v>
      </c>
      <c r="B47" s="140">
        <f t="shared" si="0"/>
        <v>2.2854791317651335E-2</v>
      </c>
      <c r="C47" s="141">
        <v>3669.91</v>
      </c>
      <c r="D47" s="140">
        <f t="shared" si="1"/>
        <v>2.4236199683511428E-2</v>
      </c>
    </row>
    <row r="48" spans="1:4">
      <c r="A48" s="140">
        <v>223.487595</v>
      </c>
      <c r="B48" s="140">
        <f t="shared" si="0"/>
        <v>-1.4354707237484776E-2</v>
      </c>
      <c r="C48" s="141">
        <v>3577.03</v>
      </c>
      <c r="D48" s="140">
        <f t="shared" si="1"/>
        <v>-2.5308522552324075E-2</v>
      </c>
    </row>
    <row r="49" spans="1:4">
      <c r="A49" s="140">
        <v>224.413284</v>
      </c>
      <c r="B49" s="140">
        <f t="shared" si="0"/>
        <v>4.1420151306383879E-3</v>
      </c>
      <c r="C49" s="141">
        <v>3588.84</v>
      </c>
      <c r="D49" s="140">
        <f t="shared" si="1"/>
        <v>3.3016217364685296E-3</v>
      </c>
    </row>
    <row r="50" spans="1:4">
      <c r="A50" s="140">
        <v>222.512146</v>
      </c>
      <c r="B50" s="140">
        <f t="shared" si="0"/>
        <v>-8.4715929739702656E-3</v>
      </c>
      <c r="C50" s="141">
        <v>3612.39</v>
      </c>
      <c r="D50" s="140">
        <f t="shared" si="1"/>
        <v>6.5620088942386356E-3</v>
      </c>
    </row>
    <row r="51" spans="1:4">
      <c r="A51" s="140">
        <v>219.496216</v>
      </c>
      <c r="B51" s="140">
        <f t="shared" si="0"/>
        <v>-1.3554001676834293E-2</v>
      </c>
      <c r="C51" s="141">
        <v>3639.66</v>
      </c>
      <c r="D51" s="140">
        <f t="shared" si="1"/>
        <v>7.5490187936517739E-3</v>
      </c>
    </row>
    <row r="52" spans="1:4">
      <c r="A52" s="140">
        <v>219.62560999999999</v>
      </c>
      <c r="B52" s="140">
        <f t="shared" si="0"/>
        <v>5.8950446781280696E-4</v>
      </c>
      <c r="C52" s="141">
        <v>3744.52</v>
      </c>
      <c r="D52" s="140">
        <f t="shared" si="1"/>
        <v>2.8810383387459337E-2</v>
      </c>
    </row>
    <row r="53" spans="1:4">
      <c r="A53" s="140">
        <v>224.04499799999999</v>
      </c>
      <c r="B53" s="140">
        <f t="shared" si="0"/>
        <v>2.012237097486036E-2</v>
      </c>
      <c r="C53" s="141">
        <v>3783.28</v>
      </c>
      <c r="D53" s="140">
        <f t="shared" si="1"/>
        <v>1.0351126446113357E-2</v>
      </c>
    </row>
    <row r="54" spans="1:4">
      <c r="A54" s="140">
        <v>224.622299</v>
      </c>
      <c r="B54" s="140">
        <f t="shared" si="0"/>
        <v>2.5767189857102135E-3</v>
      </c>
      <c r="C54" s="141">
        <v>3790.93</v>
      </c>
      <c r="D54" s="140">
        <f t="shared" si="1"/>
        <v>2.0220549364571294E-3</v>
      </c>
    </row>
    <row r="55" spans="1:4">
      <c r="A55" s="140">
        <v>223.51745600000001</v>
      </c>
      <c r="B55" s="140">
        <f t="shared" si="0"/>
        <v>-4.9186701628407548E-3</v>
      </c>
      <c r="C55" s="141">
        <v>3678.43</v>
      </c>
      <c r="D55" s="140">
        <f t="shared" si="1"/>
        <v>-2.9676095311704564E-2</v>
      </c>
    </row>
    <row r="56" spans="1:4">
      <c r="A56" s="140">
        <v>219.44644199999999</v>
      </c>
      <c r="B56" s="140">
        <f t="shared" si="0"/>
        <v>-1.8213405220574908E-2</v>
      </c>
      <c r="C56" s="141">
        <v>3585.62</v>
      </c>
      <c r="D56" s="140">
        <f t="shared" si="1"/>
        <v>-2.5230872953950434E-2</v>
      </c>
    </row>
    <row r="57" spans="1:4">
      <c r="A57" s="140">
        <v>222.760986</v>
      </c>
      <c r="B57" s="140">
        <f t="shared" si="0"/>
        <v>1.5104113649744288E-2</v>
      </c>
      <c r="C57" s="141">
        <v>3640.47</v>
      </c>
      <c r="D57" s="140">
        <f t="shared" si="1"/>
        <v>1.5297214986529584E-2</v>
      </c>
    </row>
    <row r="58" spans="1:4">
      <c r="A58" s="140">
        <v>225.24937399999999</v>
      </c>
      <c r="B58" s="140">
        <f t="shared" si="0"/>
        <v>1.1170663430265071E-2</v>
      </c>
      <c r="C58" s="141">
        <v>3719.04</v>
      </c>
      <c r="D58" s="140">
        <f t="shared" si="1"/>
        <v>2.158237809953123E-2</v>
      </c>
    </row>
    <row r="59" spans="1:4">
      <c r="A59" s="140">
        <v>220.40197800000001</v>
      </c>
      <c r="B59" s="140">
        <f t="shared" si="0"/>
        <v>-2.152013083951998E-2</v>
      </c>
      <c r="C59" s="141">
        <v>3647.29</v>
      </c>
      <c r="D59" s="140">
        <f t="shared" si="1"/>
        <v>-1.9292613147478876E-2</v>
      </c>
    </row>
    <row r="60" spans="1:4">
      <c r="A60" s="140">
        <v>222.741074</v>
      </c>
      <c r="B60" s="140">
        <f t="shared" si="0"/>
        <v>1.0612863011601359E-2</v>
      </c>
      <c r="C60" s="141">
        <v>3655.04</v>
      </c>
      <c r="D60" s="140">
        <f t="shared" si="1"/>
        <v>2.1248653109569027E-3</v>
      </c>
    </row>
    <row r="61" spans="1:4">
      <c r="A61" s="140">
        <v>222.90034499999999</v>
      </c>
      <c r="B61" s="140">
        <f t="shared" si="0"/>
        <v>7.1504997771532075E-4</v>
      </c>
      <c r="C61" s="141">
        <v>3693.23</v>
      </c>
      <c r="D61" s="140">
        <f t="shared" si="1"/>
        <v>1.0448586061985621E-2</v>
      </c>
    </row>
    <row r="62" spans="1:4">
      <c r="A62" s="140">
        <v>224.473007</v>
      </c>
      <c r="B62" s="140">
        <f t="shared" si="0"/>
        <v>7.0554489271876797E-3</v>
      </c>
      <c r="C62" s="141">
        <v>3757.99</v>
      </c>
      <c r="D62" s="140">
        <f t="shared" si="1"/>
        <v>1.753478662309127E-2</v>
      </c>
    </row>
    <row r="63" spans="1:4">
      <c r="A63" s="140">
        <v>222.372803</v>
      </c>
      <c r="B63" s="140">
        <f t="shared" si="0"/>
        <v>-9.3561539004999306E-3</v>
      </c>
      <c r="C63" s="141">
        <v>3789.93</v>
      </c>
      <c r="D63" s="140">
        <f t="shared" si="1"/>
        <v>8.4992243193835471E-3</v>
      </c>
    </row>
    <row r="64" spans="1:4">
      <c r="A64" s="140">
        <v>221.437164</v>
      </c>
      <c r="B64" s="140">
        <f t="shared" si="0"/>
        <v>-4.2075244246483345E-3</v>
      </c>
      <c r="C64" s="141">
        <v>3855.93</v>
      </c>
      <c r="D64" s="140">
        <f t="shared" si="1"/>
        <v>1.7414569662236534E-2</v>
      </c>
    </row>
    <row r="65" spans="1:4">
      <c r="A65" s="140">
        <v>221.835297</v>
      </c>
      <c r="B65" s="140">
        <f t="shared" si="0"/>
        <v>1.7979502302514216E-3</v>
      </c>
      <c r="C65" s="141">
        <v>3899.89</v>
      </c>
      <c r="D65" s="140">
        <f t="shared" si="1"/>
        <v>1.1400621899256391E-2</v>
      </c>
    </row>
    <row r="66" spans="1:4">
      <c r="A66" s="140">
        <v>218.86914100000001</v>
      </c>
      <c r="B66" s="140">
        <f t="shared" si="0"/>
        <v>-1.3370983067676478E-2</v>
      </c>
      <c r="C66" s="141">
        <v>3873.33</v>
      </c>
      <c r="D66" s="140">
        <f t="shared" si="1"/>
        <v>-6.8104484998294801E-3</v>
      </c>
    </row>
    <row r="67" spans="1:4">
      <c r="A67" s="140">
        <v>218.60038800000001</v>
      </c>
      <c r="B67" s="140">
        <f t="shared" si="0"/>
        <v>-1.2279163648748481E-3</v>
      </c>
      <c r="C67" s="141">
        <v>3901.35</v>
      </c>
      <c r="D67" s="140">
        <f t="shared" si="1"/>
        <v>7.2340853993850818E-3</v>
      </c>
    </row>
    <row r="68" spans="1:4">
      <c r="A68" s="140">
        <v>220.720505</v>
      </c>
      <c r="B68" s="140">
        <f t="shared" si="0"/>
        <v>9.698596692335304E-3</v>
      </c>
      <c r="C68" s="141">
        <v>3946.01</v>
      </c>
      <c r="D68" s="140">
        <f t="shared" si="1"/>
        <v>1.1447319517603027E-2</v>
      </c>
    </row>
    <row r="69" spans="1:4">
      <c r="A69" s="140">
        <v>221.86515800000001</v>
      </c>
      <c r="B69" s="140">
        <f t="shared" si="0"/>
        <v>5.1859839664647467E-3</v>
      </c>
      <c r="C69" s="141">
        <v>3932.69</v>
      </c>
      <c r="D69" s="140">
        <f t="shared" si="1"/>
        <v>-3.3755616432802338E-3</v>
      </c>
    </row>
    <row r="70" spans="1:4">
      <c r="A70" s="140">
        <v>226.12529000000001</v>
      </c>
      <c r="B70" s="140">
        <f t="shared" ref="B70:B133" si="2">(A70/A69)-1</f>
        <v>1.9201446673298816E-2</v>
      </c>
      <c r="C70" s="141">
        <v>4110.41</v>
      </c>
      <c r="D70" s="140">
        <f t="shared" ref="D70:D133" si="3">(C70/C69)-1</f>
        <v>4.519044216554069E-2</v>
      </c>
    </row>
    <row r="71" spans="1:4">
      <c r="A71" s="140">
        <v>225.19961499999999</v>
      </c>
      <c r="B71" s="140">
        <f t="shared" si="2"/>
        <v>-4.0936376466339519E-3</v>
      </c>
      <c r="C71" s="141">
        <v>4067.36</v>
      </c>
      <c r="D71" s="140">
        <f t="shared" si="3"/>
        <v>-1.0473407762242593E-2</v>
      </c>
    </row>
    <row r="72" spans="1:4">
      <c r="A72" s="140">
        <v>224.43318199999999</v>
      </c>
      <c r="B72" s="140">
        <f t="shared" si="2"/>
        <v>-3.4033495128311664E-3</v>
      </c>
      <c r="C72" s="141">
        <v>4006.18</v>
      </c>
      <c r="D72" s="140">
        <f t="shared" si="3"/>
        <v>-1.5041697808898191E-2</v>
      </c>
    </row>
    <row r="73" spans="1:4">
      <c r="A73" s="140">
        <v>227.19032300000001</v>
      </c>
      <c r="B73" s="140">
        <f t="shared" si="2"/>
        <v>1.2284908031112929E-2</v>
      </c>
      <c r="C73" s="141">
        <v>3979.87</v>
      </c>
      <c r="D73" s="140">
        <f t="shared" si="3"/>
        <v>-6.5673534389367738E-3</v>
      </c>
    </row>
    <row r="74" spans="1:4">
      <c r="A74" s="140">
        <v>221.71586600000001</v>
      </c>
      <c r="B74" s="140">
        <f t="shared" si="2"/>
        <v>-2.4096347624806169E-2</v>
      </c>
      <c r="C74" s="141">
        <v>3908.19</v>
      </c>
      <c r="D74" s="140">
        <f t="shared" si="3"/>
        <v>-1.8010638538444645E-2</v>
      </c>
    </row>
    <row r="75" spans="1:4">
      <c r="A75" s="140">
        <v>223.009827</v>
      </c>
      <c r="B75" s="140">
        <f t="shared" si="2"/>
        <v>5.836122706707858E-3</v>
      </c>
      <c r="C75" s="141">
        <v>3924.26</v>
      </c>
      <c r="D75" s="140">
        <f t="shared" si="3"/>
        <v>4.1118778769713149E-3</v>
      </c>
    </row>
    <row r="76" spans="1:4">
      <c r="A76" s="140">
        <v>226.503525</v>
      </c>
      <c r="B76" s="140">
        <f t="shared" si="2"/>
        <v>1.5666116811973385E-2</v>
      </c>
      <c r="C76" s="141">
        <v>3966.85</v>
      </c>
      <c r="D76" s="140">
        <f t="shared" si="3"/>
        <v>1.0853001585012123E-2</v>
      </c>
    </row>
    <row r="77" spans="1:4">
      <c r="A77" s="140">
        <v>223.626938</v>
      </c>
      <c r="B77" s="140">
        <f t="shared" si="2"/>
        <v>-1.2699965706935434E-2</v>
      </c>
      <c r="C77" s="141">
        <v>3955</v>
      </c>
      <c r="D77" s="140">
        <f t="shared" si="3"/>
        <v>-2.9872568914881548E-3</v>
      </c>
    </row>
    <row r="78" spans="1:4">
      <c r="A78" s="140">
        <v>225.15980500000001</v>
      </c>
      <c r="B78" s="140">
        <f t="shared" si="2"/>
        <v>6.8545722340480619E-3</v>
      </c>
      <c r="C78" s="141">
        <v>3986.16</v>
      </c>
      <c r="D78" s="140">
        <f t="shared" si="3"/>
        <v>7.8786346396966245E-3</v>
      </c>
    </row>
    <row r="79" spans="1:4">
      <c r="A79" s="140">
        <v>226.83200099999999</v>
      </c>
      <c r="B79" s="140">
        <f t="shared" si="2"/>
        <v>7.4267074445191206E-3</v>
      </c>
      <c r="C79" s="141">
        <v>4030.61</v>
      </c>
      <c r="D79" s="140">
        <f t="shared" si="3"/>
        <v>1.1151082746302166E-2</v>
      </c>
    </row>
    <row r="80" spans="1:4">
      <c r="A80" s="140">
        <v>227.60836800000001</v>
      </c>
      <c r="B80" s="140">
        <f t="shared" si="2"/>
        <v>3.4226519916826792E-3</v>
      </c>
      <c r="C80" s="141">
        <v>4057.66</v>
      </c>
      <c r="D80" s="140">
        <f t="shared" si="3"/>
        <v>6.7111429783579535E-3</v>
      </c>
    </row>
    <row r="81" spans="1:4">
      <c r="A81" s="140">
        <v>232.27659600000001</v>
      </c>
      <c r="B81" s="140">
        <f t="shared" si="2"/>
        <v>2.0509913765560661E-2</v>
      </c>
      <c r="C81" s="141">
        <v>4199.12</v>
      </c>
      <c r="D81" s="140">
        <f t="shared" si="3"/>
        <v>3.4862457672648839E-2</v>
      </c>
    </row>
    <row r="82" spans="1:4">
      <c r="A82" s="140">
        <v>232.29650899999999</v>
      </c>
      <c r="B82" s="140">
        <f t="shared" si="2"/>
        <v>8.5729687548719014E-5</v>
      </c>
      <c r="C82" s="141">
        <v>4140.7700000000004</v>
      </c>
      <c r="D82" s="140">
        <f t="shared" si="3"/>
        <v>-1.3895768637238182E-2</v>
      </c>
    </row>
    <row r="83" spans="1:4">
      <c r="A83" s="140">
        <v>231.48031599999999</v>
      </c>
      <c r="B83" s="140">
        <f t="shared" si="2"/>
        <v>-3.5135827202638081E-3</v>
      </c>
      <c r="C83" s="141">
        <v>4128.7299999999996</v>
      </c>
      <c r="D83" s="140">
        <f t="shared" si="3"/>
        <v>-2.9076717615325043E-3</v>
      </c>
    </row>
    <row r="84" spans="1:4">
      <c r="A84" s="140">
        <v>230.34561199999999</v>
      </c>
      <c r="B84" s="140">
        <f t="shared" si="2"/>
        <v>-4.9019459607096971E-3</v>
      </c>
      <c r="C84" s="141">
        <v>4137.99</v>
      </c>
      <c r="D84" s="140">
        <f t="shared" si="3"/>
        <v>2.2428204314643985E-3</v>
      </c>
    </row>
    <row r="85" spans="1:4">
      <c r="A85" s="140">
        <v>232.09742700000001</v>
      </c>
      <c r="B85" s="140">
        <f t="shared" si="2"/>
        <v>7.6051589817132115E-3</v>
      </c>
      <c r="C85" s="141">
        <v>4228.4799999999996</v>
      </c>
      <c r="D85" s="140">
        <f t="shared" si="3"/>
        <v>2.1868105046169761E-2</v>
      </c>
    </row>
    <row r="86" spans="1:4">
      <c r="A86" s="140">
        <v>229.57917800000001</v>
      </c>
      <c r="B86" s="140">
        <f t="shared" si="2"/>
        <v>-1.0849965174323128E-2</v>
      </c>
      <c r="C86" s="141">
        <v>4283.74</v>
      </c>
      <c r="D86" s="140">
        <f t="shared" si="3"/>
        <v>1.3068525805963516E-2</v>
      </c>
    </row>
    <row r="87" spans="1:4">
      <c r="A87" s="140">
        <v>228.378784</v>
      </c>
      <c r="B87" s="140">
        <f t="shared" si="2"/>
        <v>-5.2286710426326932E-3</v>
      </c>
      <c r="C87" s="141">
        <v>4274.04</v>
      </c>
      <c r="D87" s="140">
        <f t="shared" si="3"/>
        <v>-2.2643764560873469E-3</v>
      </c>
    </row>
    <row r="88" spans="1:4">
      <c r="A88" s="140">
        <v>228.61660800000001</v>
      </c>
      <c r="B88" s="140">
        <f t="shared" si="2"/>
        <v>1.0413576770775812E-3</v>
      </c>
      <c r="C88" s="141">
        <v>4305.2</v>
      </c>
      <c r="D88" s="140">
        <f t="shared" si="3"/>
        <v>7.2905260596531907E-3</v>
      </c>
    </row>
    <row r="89" spans="1:4">
      <c r="A89" s="140">
        <v>228.22024500000001</v>
      </c>
      <c r="B89" s="140">
        <f t="shared" si="2"/>
        <v>-1.7337454328777424E-3</v>
      </c>
      <c r="C89" s="141">
        <v>4297.1400000000003</v>
      </c>
      <c r="D89" s="140">
        <f t="shared" si="3"/>
        <v>-1.8721546037349102E-3</v>
      </c>
    </row>
    <row r="90" spans="1:4">
      <c r="A90" s="140">
        <v>223.70181299999999</v>
      </c>
      <c r="B90" s="140">
        <f t="shared" si="2"/>
        <v>-1.9798559062978893E-2</v>
      </c>
      <c r="C90" s="141">
        <v>4280.1499999999996</v>
      </c>
      <c r="D90" s="140">
        <f t="shared" si="3"/>
        <v>-3.9537925224686354E-3</v>
      </c>
    </row>
    <row r="91" spans="1:4">
      <c r="A91" s="140">
        <v>223.12709000000001</v>
      </c>
      <c r="B91" s="140">
        <f t="shared" si="2"/>
        <v>-2.5691477073543911E-3</v>
      </c>
      <c r="C91" s="141">
        <v>4207.2700000000004</v>
      </c>
      <c r="D91" s="140">
        <f t="shared" si="3"/>
        <v>-1.7027440627080614E-2</v>
      </c>
    </row>
    <row r="92" spans="1:4">
      <c r="A92" s="140">
        <v>224.39544699999999</v>
      </c>
      <c r="B92" s="140">
        <f t="shared" si="2"/>
        <v>5.6844599192324985E-3</v>
      </c>
      <c r="C92" s="141">
        <v>4210.24</v>
      </c>
      <c r="D92" s="140">
        <f t="shared" si="3"/>
        <v>7.0592094160804031E-4</v>
      </c>
    </row>
    <row r="93" spans="1:4">
      <c r="A93" s="140">
        <v>226.20874000000001</v>
      </c>
      <c r="B93" s="140">
        <f t="shared" si="2"/>
        <v>8.080792298784889E-3</v>
      </c>
      <c r="C93" s="141">
        <v>4122.47</v>
      </c>
      <c r="D93" s="140">
        <f t="shared" si="3"/>
        <v>-2.0846792581895479E-2</v>
      </c>
    </row>
    <row r="94" spans="1:4">
      <c r="A94" s="140">
        <v>224.27652</v>
      </c>
      <c r="B94" s="140">
        <f t="shared" si="2"/>
        <v>-8.5417566094042607E-3</v>
      </c>
      <c r="C94" s="141">
        <v>4140.0600000000004</v>
      </c>
      <c r="D94" s="140">
        <f t="shared" si="3"/>
        <v>4.2668594313604036E-3</v>
      </c>
    </row>
    <row r="95" spans="1:4">
      <c r="A95" s="140">
        <v>225.03950499999999</v>
      </c>
      <c r="B95" s="140">
        <f t="shared" si="2"/>
        <v>3.4019834086955747E-3</v>
      </c>
      <c r="C95" s="141">
        <v>4145.1899999999996</v>
      </c>
      <c r="D95" s="140">
        <f t="shared" si="3"/>
        <v>1.239112476630666E-3</v>
      </c>
    </row>
    <row r="96" spans="1:4">
      <c r="A96" s="140">
        <v>223.186554</v>
      </c>
      <c r="B96" s="140">
        <f t="shared" si="2"/>
        <v>-8.2338920893022527E-3</v>
      </c>
      <c r="C96" s="141">
        <v>4151.9399999999996</v>
      </c>
      <c r="D96" s="140">
        <f t="shared" si="3"/>
        <v>1.6283933908940451E-3</v>
      </c>
    </row>
    <row r="97" spans="1:4">
      <c r="A97" s="140">
        <v>226.04029800000001</v>
      </c>
      <c r="B97" s="140">
        <f t="shared" si="2"/>
        <v>1.2786361673024382E-2</v>
      </c>
      <c r="C97" s="141">
        <v>4155.17</v>
      </c>
      <c r="D97" s="140">
        <f t="shared" si="3"/>
        <v>7.7794958501331557E-4</v>
      </c>
    </row>
    <row r="98" spans="1:4">
      <c r="A98" s="140">
        <v>227.07081600000001</v>
      </c>
      <c r="B98" s="140">
        <f t="shared" si="2"/>
        <v>4.5590012449903128E-3</v>
      </c>
      <c r="C98" s="141">
        <v>4091.19</v>
      </c>
      <c r="D98" s="140">
        <f t="shared" si="3"/>
        <v>-1.5397685293261132E-2</v>
      </c>
    </row>
    <row r="99" spans="1:4">
      <c r="A99" s="140">
        <v>227.68516500000001</v>
      </c>
      <c r="B99" s="140">
        <f t="shared" si="2"/>
        <v>2.7055392270225465E-3</v>
      </c>
      <c r="C99" s="141">
        <v>4118.63</v>
      </c>
      <c r="D99" s="140">
        <f t="shared" si="3"/>
        <v>6.7070950016987485E-3</v>
      </c>
    </row>
    <row r="100" spans="1:4">
      <c r="A100" s="140">
        <v>225.88176000000001</v>
      </c>
      <c r="B100" s="140">
        <f t="shared" si="2"/>
        <v>-7.9206082662434119E-3</v>
      </c>
      <c r="C100" s="141">
        <v>4130.29</v>
      </c>
      <c r="D100" s="140">
        <f t="shared" si="3"/>
        <v>2.8310384763865493E-3</v>
      </c>
    </row>
    <row r="101" spans="1:4">
      <c r="A101" s="140">
        <v>222.225403</v>
      </c>
      <c r="B101" s="140">
        <f t="shared" si="2"/>
        <v>-1.6187039626395783E-2</v>
      </c>
      <c r="C101" s="141">
        <v>4072.43</v>
      </c>
      <c r="D101" s="140">
        <f t="shared" si="3"/>
        <v>-1.40087015681708E-2</v>
      </c>
    </row>
    <row r="102" spans="1:4">
      <c r="A102" s="140">
        <v>216.24046300000001</v>
      </c>
      <c r="B102" s="140">
        <f t="shared" si="2"/>
        <v>-2.6931844511043579E-2</v>
      </c>
      <c r="C102" s="141">
        <v>4023.61</v>
      </c>
      <c r="D102" s="140">
        <f t="shared" si="3"/>
        <v>-1.1987928583179985E-2</v>
      </c>
    </row>
    <row r="103" spans="1:4">
      <c r="A103" s="140">
        <v>216.02246099999999</v>
      </c>
      <c r="B103" s="140">
        <f t="shared" si="2"/>
        <v>-1.0081461950995907E-3</v>
      </c>
      <c r="C103" s="141">
        <v>3921.05</v>
      </c>
      <c r="D103" s="140">
        <f t="shared" si="3"/>
        <v>-2.5489547943264856E-2</v>
      </c>
    </row>
    <row r="104" spans="1:4">
      <c r="A104" s="140">
        <v>214.88296500000001</v>
      </c>
      <c r="B104" s="140">
        <f t="shared" si="2"/>
        <v>-5.2748959285302544E-3</v>
      </c>
      <c r="C104" s="141">
        <v>3966.84</v>
      </c>
      <c r="D104" s="140">
        <f t="shared" si="3"/>
        <v>1.1677994414761361E-2</v>
      </c>
    </row>
    <row r="105" spans="1:4">
      <c r="A105" s="140">
        <v>213.95152300000001</v>
      </c>
      <c r="B105" s="140">
        <f t="shared" si="2"/>
        <v>-4.3346479326549225E-3</v>
      </c>
      <c r="C105" s="141">
        <v>3961.63</v>
      </c>
      <c r="D105" s="140">
        <f t="shared" si="3"/>
        <v>-1.3133879864073439E-3</v>
      </c>
    </row>
    <row r="106" spans="1:4">
      <c r="A106" s="140">
        <v>213.94162</v>
      </c>
      <c r="B106" s="140">
        <f t="shared" si="2"/>
        <v>-4.6286186053512424E-5</v>
      </c>
      <c r="C106" s="141">
        <v>3998.95</v>
      </c>
      <c r="D106" s="140">
        <f t="shared" si="3"/>
        <v>9.4203648498218939E-3</v>
      </c>
    </row>
    <row r="107" spans="1:4">
      <c r="A107" s="140">
        <v>213.41644299999999</v>
      </c>
      <c r="B107" s="140">
        <f t="shared" si="2"/>
        <v>-2.4547678006738849E-3</v>
      </c>
      <c r="C107" s="141">
        <v>3959.9</v>
      </c>
      <c r="D107" s="140">
        <f t="shared" si="3"/>
        <v>-9.7650633291238575E-3</v>
      </c>
    </row>
    <row r="108" spans="1:4">
      <c r="A108" s="140">
        <v>214.13978599999999</v>
      </c>
      <c r="B108" s="140">
        <f t="shared" si="2"/>
        <v>3.3893499012163097E-3</v>
      </c>
      <c r="C108" s="141">
        <v>3936.69</v>
      </c>
      <c r="D108" s="140">
        <f t="shared" si="3"/>
        <v>-5.8612591227050759E-3</v>
      </c>
    </row>
    <row r="109" spans="1:4">
      <c r="A109" s="140">
        <v>213.09934999999999</v>
      </c>
      <c r="B109" s="140">
        <f t="shared" si="2"/>
        <v>-4.8586767523901564E-3</v>
      </c>
      <c r="C109" s="141">
        <v>3830.85</v>
      </c>
      <c r="D109" s="140">
        <f t="shared" si="3"/>
        <v>-2.6885530737751795E-2</v>
      </c>
    </row>
    <row r="110" spans="1:4">
      <c r="A110" s="140">
        <v>214.82350199999999</v>
      </c>
      <c r="B110" s="140">
        <f t="shared" si="2"/>
        <v>8.0908365041938435E-3</v>
      </c>
      <c r="C110" s="141">
        <v>3863.16</v>
      </c>
      <c r="D110" s="140">
        <f t="shared" si="3"/>
        <v>8.4341595207328979E-3</v>
      </c>
    </row>
    <row r="111" spans="1:4">
      <c r="A111" s="140">
        <v>215.88372799999999</v>
      </c>
      <c r="B111" s="140">
        <f t="shared" si="2"/>
        <v>4.9353352409271523E-3</v>
      </c>
      <c r="C111" s="141">
        <v>3790.38</v>
      </c>
      <c r="D111" s="140">
        <f t="shared" si="3"/>
        <v>-1.8839499270027593E-2</v>
      </c>
    </row>
    <row r="112" spans="1:4">
      <c r="A112" s="140">
        <v>217.776321</v>
      </c>
      <c r="B112" s="140">
        <f t="shared" si="2"/>
        <v>8.7667237245412366E-3</v>
      </c>
      <c r="C112" s="141">
        <v>3801.78</v>
      </c>
      <c r="D112" s="140">
        <f t="shared" si="3"/>
        <v>3.0076140123154183E-3</v>
      </c>
    </row>
    <row r="113" spans="1:4">
      <c r="A113" s="140">
        <v>218.123154</v>
      </c>
      <c r="B113" s="140">
        <f t="shared" si="2"/>
        <v>1.5926111636352935E-3</v>
      </c>
      <c r="C113" s="141">
        <v>3818.8</v>
      </c>
      <c r="D113" s="140">
        <f t="shared" si="3"/>
        <v>4.4768503174827945E-3</v>
      </c>
    </row>
    <row r="114" spans="1:4">
      <c r="A114" s="140">
        <v>218.48976099999999</v>
      </c>
      <c r="B114" s="140">
        <f t="shared" si="2"/>
        <v>1.6807339948878841E-3</v>
      </c>
      <c r="C114" s="141">
        <v>3854.43</v>
      </c>
      <c r="D114" s="140">
        <f t="shared" si="3"/>
        <v>9.330156069969453E-3</v>
      </c>
    </row>
    <row r="115" spans="1:4">
      <c r="A115" s="140">
        <v>217.786224</v>
      </c>
      <c r="B115" s="140">
        <f t="shared" si="2"/>
        <v>-3.219999860771483E-3</v>
      </c>
      <c r="C115" s="141">
        <v>3899.38</v>
      </c>
      <c r="D115" s="140">
        <f t="shared" si="3"/>
        <v>1.1661905910861137E-2</v>
      </c>
    </row>
    <row r="116" spans="1:4">
      <c r="A116" s="140">
        <v>217.92495700000001</v>
      </c>
      <c r="B116" s="140">
        <f t="shared" si="2"/>
        <v>6.3701457994880251E-4</v>
      </c>
      <c r="C116" s="141">
        <v>3902.62</v>
      </c>
      <c r="D116" s="140">
        <f t="shared" si="3"/>
        <v>8.3090132277430229E-4</v>
      </c>
    </row>
    <row r="117" spans="1:4">
      <c r="A117" s="140">
        <v>218.62849399999999</v>
      </c>
      <c r="B117" s="140">
        <f t="shared" si="2"/>
        <v>3.2283452509753729E-3</v>
      </c>
      <c r="C117" s="141">
        <v>3845.08</v>
      </c>
      <c r="D117" s="140">
        <f t="shared" si="3"/>
        <v>-1.4743941249724557E-2</v>
      </c>
    </row>
    <row r="118" spans="1:4">
      <c r="A118" s="140">
        <v>216.349457</v>
      </c>
      <c r="B118" s="140">
        <f t="shared" si="2"/>
        <v>-1.0424245066610549E-2</v>
      </c>
      <c r="C118" s="141">
        <v>3831.39</v>
      </c>
      <c r="D118" s="140">
        <f t="shared" si="3"/>
        <v>-3.5603940620221319E-3</v>
      </c>
    </row>
    <row r="119" spans="1:4">
      <c r="A119" s="140">
        <v>218.98521400000001</v>
      </c>
      <c r="B119" s="140">
        <f t="shared" si="2"/>
        <v>1.2182868570823402E-2</v>
      </c>
      <c r="C119" s="141">
        <v>3825.33</v>
      </c>
      <c r="D119" s="140">
        <f t="shared" si="3"/>
        <v>-1.5816714038507929E-3</v>
      </c>
    </row>
    <row r="120" spans="1:4">
      <c r="A120" s="140">
        <v>213.19845599999999</v>
      </c>
      <c r="B120" s="140">
        <f t="shared" si="2"/>
        <v>-2.642533664396185E-2</v>
      </c>
      <c r="C120" s="141">
        <v>3785.38</v>
      </c>
      <c r="D120" s="140">
        <f t="shared" si="3"/>
        <v>-1.0443543432854141E-2</v>
      </c>
    </row>
    <row r="121" spans="1:4">
      <c r="A121" s="140">
        <v>216.91426100000001</v>
      </c>
      <c r="B121" s="140">
        <f t="shared" si="2"/>
        <v>1.7428855113284847E-2</v>
      </c>
      <c r="C121" s="141">
        <v>3818.83</v>
      </c>
      <c r="D121" s="140">
        <f t="shared" si="3"/>
        <v>8.8366293476480617E-3</v>
      </c>
    </row>
    <row r="122" spans="1:4">
      <c r="A122" s="140">
        <v>216.42872600000001</v>
      </c>
      <c r="B122" s="140">
        <f t="shared" si="2"/>
        <v>-2.2383728841138817E-3</v>
      </c>
      <c r="C122" s="141">
        <v>3821.55</v>
      </c>
      <c r="D122" s="140">
        <f t="shared" si="3"/>
        <v>7.1226003776025948E-4</v>
      </c>
    </row>
    <row r="123" spans="1:4">
      <c r="A123" s="140">
        <v>218.945572</v>
      </c>
      <c r="B123" s="140">
        <f t="shared" si="2"/>
        <v>1.1628983113821878E-2</v>
      </c>
      <c r="C123" s="141">
        <v>3900.11</v>
      </c>
      <c r="D123" s="140">
        <f t="shared" si="3"/>
        <v>2.0557103792963494E-2</v>
      </c>
    </row>
    <row r="124" spans="1:4">
      <c r="A124" s="140">
        <v>218.945572</v>
      </c>
      <c r="B124" s="140">
        <f t="shared" si="2"/>
        <v>0</v>
      </c>
      <c r="C124" s="141">
        <v>3911.74</v>
      </c>
      <c r="D124" s="140">
        <f t="shared" si="3"/>
        <v>2.9819671752846499E-3</v>
      </c>
    </row>
    <row r="125" spans="1:4">
      <c r="A125" s="140">
        <v>216.12155200000001</v>
      </c>
      <c r="B125" s="140">
        <f t="shared" si="2"/>
        <v>-1.2898274097089213E-2</v>
      </c>
      <c r="C125" s="141">
        <v>3795.73</v>
      </c>
      <c r="D125" s="140">
        <f t="shared" si="3"/>
        <v>-2.965687903592773E-2</v>
      </c>
    </row>
    <row r="126" spans="1:4">
      <c r="A126" s="140">
        <v>212.940811</v>
      </c>
      <c r="B126" s="140">
        <f t="shared" si="2"/>
        <v>-1.4717370713680622E-2</v>
      </c>
      <c r="C126" s="141">
        <v>3759.89</v>
      </c>
      <c r="D126" s="140">
        <f t="shared" si="3"/>
        <v>-9.4421889860448749E-3</v>
      </c>
    </row>
    <row r="127" spans="1:4">
      <c r="A127" s="140">
        <v>213.10926799999999</v>
      </c>
      <c r="B127" s="140">
        <f t="shared" si="2"/>
        <v>7.9109776659946895E-4</v>
      </c>
      <c r="C127" s="141">
        <v>3764.79</v>
      </c>
      <c r="D127" s="140">
        <f t="shared" si="3"/>
        <v>1.3032296157600154E-3</v>
      </c>
    </row>
    <row r="128" spans="1:4">
      <c r="A128" s="140">
        <v>204.15168800000001</v>
      </c>
      <c r="B128" s="140">
        <f t="shared" si="2"/>
        <v>-4.2032803566290577E-2</v>
      </c>
      <c r="C128" s="141">
        <v>3674.84</v>
      </c>
      <c r="D128" s="140">
        <f t="shared" si="3"/>
        <v>-2.3892434903407533E-2</v>
      </c>
    </row>
    <row r="129" spans="1:4">
      <c r="A129" s="140">
        <v>200.41604599999999</v>
      </c>
      <c r="B129" s="140">
        <f t="shared" si="2"/>
        <v>-1.8298364498460673E-2</v>
      </c>
      <c r="C129" s="141">
        <v>3666.77</v>
      </c>
      <c r="D129" s="140">
        <f t="shared" si="3"/>
        <v>-2.1960139761186825E-3</v>
      </c>
    </row>
    <row r="130" spans="1:4">
      <c r="A130" s="140">
        <v>204.310226</v>
      </c>
      <c r="B130" s="140">
        <f t="shared" si="2"/>
        <v>1.9430480132314409E-2</v>
      </c>
      <c r="C130" s="141">
        <v>3789.99</v>
      </c>
      <c r="D130" s="140">
        <f t="shared" si="3"/>
        <v>3.3604507509333859E-2</v>
      </c>
    </row>
    <row r="131" spans="1:4">
      <c r="A131" s="140">
        <v>204.90475499999999</v>
      </c>
      <c r="B131" s="140">
        <f t="shared" si="2"/>
        <v>2.9099326628907463E-3</v>
      </c>
      <c r="C131" s="141">
        <v>3735.48</v>
      </c>
      <c r="D131" s="140">
        <f t="shared" si="3"/>
        <v>-1.438262370085408E-2</v>
      </c>
    </row>
    <row r="132" spans="1:4">
      <c r="A132" s="140">
        <v>208.14494300000001</v>
      </c>
      <c r="B132" s="140">
        <f t="shared" si="2"/>
        <v>1.5813142062027774E-2</v>
      </c>
      <c r="C132" s="141">
        <v>3749.63</v>
      </c>
      <c r="D132" s="140">
        <f t="shared" si="3"/>
        <v>3.788000471157682E-3</v>
      </c>
    </row>
    <row r="133" spans="1:4">
      <c r="A133" s="140">
        <v>211.404968</v>
      </c>
      <c r="B133" s="140">
        <f t="shared" si="2"/>
        <v>1.5662282989022724E-2</v>
      </c>
      <c r="C133" s="141">
        <v>3900.86</v>
      </c>
      <c r="D133" s="140">
        <f t="shared" si="3"/>
        <v>4.0331979421969644E-2</v>
      </c>
    </row>
    <row r="134" spans="1:4">
      <c r="A134" s="140">
        <v>207.54049699999999</v>
      </c>
      <c r="B134" s="140">
        <f t="shared" ref="B134:B197" si="4">(A134/A133)-1</f>
        <v>-1.8279944111814883E-2</v>
      </c>
      <c r="C134" s="141">
        <v>4017.82</v>
      </c>
      <c r="D134" s="140">
        <f t="shared" ref="D134:D197" si="5">(C134/C133)-1</f>
        <v>2.9983131924754991E-2</v>
      </c>
    </row>
    <row r="135" spans="1:4">
      <c r="A135" s="140">
        <v>208.630493</v>
      </c>
      <c r="B135" s="140">
        <f t="shared" si="4"/>
        <v>5.2519677641515994E-3</v>
      </c>
      <c r="C135" s="141">
        <v>4115.7700000000004</v>
      </c>
      <c r="D135" s="140">
        <f t="shared" si="5"/>
        <v>2.437889203597976E-2</v>
      </c>
    </row>
    <row r="136" spans="1:4">
      <c r="A136" s="140">
        <v>209.83935500000001</v>
      </c>
      <c r="B136" s="140">
        <f t="shared" si="4"/>
        <v>5.7942728439031033E-3</v>
      </c>
      <c r="C136" s="141">
        <v>4160.68</v>
      </c>
      <c r="D136" s="140">
        <f t="shared" si="5"/>
        <v>1.0911688456837876E-2</v>
      </c>
    </row>
    <row r="137" spans="1:4">
      <c r="A137" s="140">
        <v>209.482651</v>
      </c>
      <c r="B137" s="140">
        <f t="shared" si="4"/>
        <v>-1.6998908522188882E-3</v>
      </c>
      <c r="C137" s="141">
        <v>4121.43</v>
      </c>
      <c r="D137" s="140">
        <f t="shared" si="5"/>
        <v>-9.4335541305747839E-3</v>
      </c>
    </row>
    <row r="138" spans="1:4">
      <c r="A138" s="140">
        <v>207.27294900000001</v>
      </c>
      <c r="B138" s="140">
        <f t="shared" si="4"/>
        <v>-1.0548377106417206E-2</v>
      </c>
      <c r="C138" s="141">
        <v>4108.54</v>
      </c>
      <c r="D138" s="140">
        <f t="shared" si="5"/>
        <v>-3.1275552417486807E-3</v>
      </c>
    </row>
    <row r="139" spans="1:4">
      <c r="A139" s="140">
        <v>207.32250999999999</v>
      </c>
      <c r="B139" s="140">
        <f t="shared" si="4"/>
        <v>2.3910983193453639E-4</v>
      </c>
      <c r="C139" s="141">
        <v>4176.82</v>
      </c>
      <c r="D139" s="140">
        <f t="shared" si="5"/>
        <v>1.6619042287527863E-2</v>
      </c>
    </row>
    <row r="140" spans="1:4">
      <c r="A140" s="140">
        <v>207.77832000000001</v>
      </c>
      <c r="B140" s="140">
        <f t="shared" si="4"/>
        <v>2.1985552847108014E-3</v>
      </c>
      <c r="C140" s="141">
        <v>4101.2299999999996</v>
      </c>
      <c r="D140" s="140">
        <f t="shared" si="5"/>
        <v>-1.8097500011970857E-2</v>
      </c>
    </row>
    <row r="141" spans="1:4">
      <c r="A141" s="140">
        <v>209.779922</v>
      </c>
      <c r="B141" s="140">
        <f t="shared" si="4"/>
        <v>9.633353470179129E-3</v>
      </c>
      <c r="C141" s="141">
        <v>4132.1499999999996</v>
      </c>
      <c r="D141" s="140">
        <f t="shared" si="5"/>
        <v>7.5392016541380169E-3</v>
      </c>
    </row>
    <row r="142" spans="1:4">
      <c r="A142" s="140">
        <v>210.671707</v>
      </c>
      <c r="B142" s="140">
        <f t="shared" si="4"/>
        <v>4.2510502983217346E-3</v>
      </c>
      <c r="C142" s="141">
        <v>4158.24</v>
      </c>
      <c r="D142" s="140">
        <f t="shared" si="5"/>
        <v>6.3139043839164355E-3</v>
      </c>
    </row>
    <row r="143" spans="1:4">
      <c r="A143" s="140">
        <v>207.629684</v>
      </c>
      <c r="B143" s="140">
        <f t="shared" si="4"/>
        <v>-1.4439637117479642E-2</v>
      </c>
      <c r="C143" s="141">
        <v>4057.84</v>
      </c>
      <c r="D143" s="140">
        <f t="shared" si="5"/>
        <v>-2.4144830505213655E-2</v>
      </c>
    </row>
    <row r="144" spans="1:4">
      <c r="A144" s="140">
        <v>209.50245699999999</v>
      </c>
      <c r="B144" s="140">
        <f t="shared" si="4"/>
        <v>9.0197748410578704E-3</v>
      </c>
      <c r="C144" s="141">
        <v>3978.73</v>
      </c>
      <c r="D144" s="140">
        <f t="shared" si="5"/>
        <v>-1.9495593714882853E-2</v>
      </c>
    </row>
    <row r="145" spans="1:4">
      <c r="A145" s="140">
        <v>211.50402800000001</v>
      </c>
      <c r="B145" s="140">
        <f t="shared" si="4"/>
        <v>9.5539261384414154E-3</v>
      </c>
      <c r="C145" s="141">
        <v>3941.48</v>
      </c>
      <c r="D145" s="140">
        <f t="shared" si="5"/>
        <v>-9.3622839448769257E-3</v>
      </c>
    </row>
    <row r="146" spans="1:4">
      <c r="A146" s="140">
        <v>207.342331</v>
      </c>
      <c r="B146" s="140">
        <f t="shared" si="4"/>
        <v>-1.9676679632786964E-2</v>
      </c>
      <c r="C146" s="141">
        <v>3973.75</v>
      </c>
      <c r="D146" s="140">
        <f t="shared" si="5"/>
        <v>8.1872799050102252E-3</v>
      </c>
    </row>
    <row r="147" spans="1:4">
      <c r="A147" s="140">
        <v>205.093018</v>
      </c>
      <c r="B147" s="140">
        <f t="shared" si="4"/>
        <v>-1.0848305742255815E-2</v>
      </c>
      <c r="C147" s="141">
        <v>3901.36</v>
      </c>
      <c r="D147" s="140">
        <f t="shared" si="5"/>
        <v>-1.8217049386599515E-2</v>
      </c>
    </row>
    <row r="148" spans="1:4">
      <c r="A148" s="140">
        <v>203.24998500000001</v>
      </c>
      <c r="B148" s="140">
        <f t="shared" si="4"/>
        <v>-8.986327364883695E-3</v>
      </c>
      <c r="C148" s="141">
        <v>3900.79</v>
      </c>
      <c r="D148" s="140">
        <f t="shared" si="5"/>
        <v>-1.4610289745120575E-4</v>
      </c>
    </row>
    <row r="149" spans="1:4">
      <c r="A149" s="140">
        <v>204.903763</v>
      </c>
      <c r="B149" s="140">
        <f t="shared" si="4"/>
        <v>8.1366697271834099E-3</v>
      </c>
      <c r="C149" s="141">
        <v>3923.68</v>
      </c>
      <c r="D149" s="140">
        <f t="shared" si="5"/>
        <v>5.8680421145460571E-3</v>
      </c>
    </row>
    <row r="150" spans="1:4">
      <c r="A150" s="140">
        <v>222.38604699999999</v>
      </c>
      <c r="B150" s="140">
        <f t="shared" si="4"/>
        <v>8.5319487275594907E-2</v>
      </c>
      <c r="C150" s="141">
        <v>4088.85</v>
      </c>
      <c r="D150" s="140">
        <f t="shared" si="5"/>
        <v>4.2095685682828288E-2</v>
      </c>
    </row>
    <row r="151" spans="1:4">
      <c r="A151" s="140">
        <v>226.24359100000001</v>
      </c>
      <c r="B151" s="140">
        <f t="shared" si="4"/>
        <v>1.7346160211211492E-2</v>
      </c>
      <c r="C151" s="141">
        <v>4008.01</v>
      </c>
      <c r="D151" s="140">
        <f t="shared" si="5"/>
        <v>-1.9770840211795426E-2</v>
      </c>
    </row>
    <row r="152" spans="1:4">
      <c r="A152" s="140">
        <v>222.879333</v>
      </c>
      <c r="B152" s="140">
        <f t="shared" si="4"/>
        <v>-1.4870069844321043E-2</v>
      </c>
      <c r="C152" s="141">
        <v>4023.89</v>
      </c>
      <c r="D152" s="140">
        <f t="shared" si="5"/>
        <v>3.9620659629091559E-3</v>
      </c>
    </row>
    <row r="153" spans="1:4">
      <c r="A153" s="140">
        <v>219.544678</v>
      </c>
      <c r="B153" s="140">
        <f t="shared" si="4"/>
        <v>-1.4961705758514632E-2</v>
      </c>
      <c r="C153" s="141">
        <v>3930.08</v>
      </c>
      <c r="D153" s="140">
        <f t="shared" si="5"/>
        <v>-2.3313261545420016E-2</v>
      </c>
    </row>
    <row r="154" spans="1:4">
      <c r="A154" s="140">
        <v>221.61651599999999</v>
      </c>
      <c r="B154" s="140">
        <f t="shared" si="4"/>
        <v>9.4369766503745733E-3</v>
      </c>
      <c r="C154" s="141">
        <v>3935.18</v>
      </c>
      <c r="D154" s="140">
        <f t="shared" si="5"/>
        <v>1.297683507714753E-3</v>
      </c>
    </row>
    <row r="155" spans="1:4">
      <c r="A155" s="140">
        <v>220.15635700000001</v>
      </c>
      <c r="B155" s="140">
        <f t="shared" si="4"/>
        <v>-6.5886741040545038E-3</v>
      </c>
      <c r="C155" s="141">
        <v>4001.05</v>
      </c>
      <c r="D155" s="140">
        <f t="shared" si="5"/>
        <v>1.6738751467531454E-2</v>
      </c>
    </row>
    <row r="156" spans="1:4">
      <c r="A156" s="140">
        <v>220.20567299999999</v>
      </c>
      <c r="B156" s="140">
        <f t="shared" si="4"/>
        <v>2.2400443335812703E-4</v>
      </c>
      <c r="C156" s="141">
        <v>3991.24</v>
      </c>
      <c r="D156" s="140">
        <f t="shared" si="5"/>
        <v>-2.4518563876982924E-3</v>
      </c>
    </row>
    <row r="157" spans="1:4">
      <c r="A157" s="140">
        <v>223.01745600000001</v>
      </c>
      <c r="B157" s="140">
        <f t="shared" si="4"/>
        <v>1.2768894468945025E-2</v>
      </c>
      <c r="C157" s="141">
        <v>4123.34</v>
      </c>
      <c r="D157" s="140">
        <f t="shared" si="5"/>
        <v>3.3097483488840673E-2</v>
      </c>
    </row>
    <row r="158" spans="1:4">
      <c r="A158" s="140">
        <v>220.837097</v>
      </c>
      <c r="B158" s="140">
        <f t="shared" si="4"/>
        <v>-9.776629323580921E-3</v>
      </c>
      <c r="C158" s="141">
        <v>4146.87</v>
      </c>
      <c r="D158" s="140">
        <f t="shared" si="5"/>
        <v>5.7065388738255507E-3</v>
      </c>
    </row>
    <row r="159" spans="1:4">
      <c r="A159" s="140">
        <v>222.307129</v>
      </c>
      <c r="B159" s="140">
        <f t="shared" si="4"/>
        <v>6.656635230085417E-3</v>
      </c>
      <c r="C159" s="141">
        <v>4300.17</v>
      </c>
      <c r="D159" s="140">
        <f t="shared" si="5"/>
        <v>3.6967640654276712E-2</v>
      </c>
    </row>
    <row r="160" spans="1:4">
      <c r="A160" s="140">
        <v>217.11767599999999</v>
      </c>
      <c r="B160" s="140">
        <f t="shared" si="4"/>
        <v>-2.3343619358243806E-2</v>
      </c>
      <c r="C160" s="141">
        <v>4175.4799999999996</v>
      </c>
      <c r="D160" s="140">
        <f t="shared" si="5"/>
        <v>-2.8996528044240244E-2</v>
      </c>
    </row>
    <row r="161" spans="1:4">
      <c r="A161" s="140">
        <v>214.61175499999999</v>
      </c>
      <c r="B161" s="140">
        <f t="shared" si="4"/>
        <v>-1.1541764107681374E-2</v>
      </c>
      <c r="C161" s="141">
        <v>4155.38</v>
      </c>
      <c r="D161" s="140">
        <f t="shared" si="5"/>
        <v>-4.8138178125627373E-3</v>
      </c>
    </row>
    <row r="162" spans="1:4">
      <c r="A162" s="140">
        <v>222.74122600000001</v>
      </c>
      <c r="B162" s="140">
        <f t="shared" si="4"/>
        <v>3.7879896187420048E-2</v>
      </c>
      <c r="C162" s="141">
        <v>4131.93</v>
      </c>
      <c r="D162" s="140">
        <f t="shared" si="5"/>
        <v>-5.6432865345648064E-3</v>
      </c>
    </row>
    <row r="163" spans="1:4">
      <c r="A163" s="140">
        <v>224.92155500000001</v>
      </c>
      <c r="B163" s="140">
        <f t="shared" si="4"/>
        <v>9.7886190138865015E-3</v>
      </c>
      <c r="C163" s="141">
        <v>4287.5</v>
      </c>
      <c r="D163" s="140">
        <f t="shared" si="5"/>
        <v>3.7650686241054387E-2</v>
      </c>
    </row>
    <row r="164" spans="1:4">
      <c r="A164" s="140">
        <v>219.25857500000001</v>
      </c>
      <c r="B164" s="140">
        <f t="shared" si="4"/>
        <v>-2.5177578022702152E-2</v>
      </c>
      <c r="C164" s="141">
        <v>4183.96</v>
      </c>
      <c r="D164" s="140">
        <f t="shared" si="5"/>
        <v>-2.4149271137026251E-2</v>
      </c>
    </row>
    <row r="165" spans="1:4">
      <c r="A165" s="140">
        <v>217.17688000000001</v>
      </c>
      <c r="B165" s="140">
        <f t="shared" si="4"/>
        <v>-9.4942466902377953E-3</v>
      </c>
      <c r="C165" s="141">
        <v>4175.2</v>
      </c>
      <c r="D165" s="140">
        <f t="shared" si="5"/>
        <v>-2.0937102649165595E-3</v>
      </c>
    </row>
    <row r="166" spans="1:4">
      <c r="A166" s="140">
        <v>221.96180699999999</v>
      </c>
      <c r="B166" s="140">
        <f t="shared" si="4"/>
        <v>2.2032395897758406E-2</v>
      </c>
      <c r="C166" s="141">
        <v>4296.12</v>
      </c>
      <c r="D166" s="140">
        <f t="shared" si="5"/>
        <v>2.8961486874880205E-2</v>
      </c>
    </row>
    <row r="167" spans="1:4">
      <c r="A167" s="140">
        <v>221.13308699999999</v>
      </c>
      <c r="B167" s="140">
        <f t="shared" si="4"/>
        <v>-3.7336153061684474E-3</v>
      </c>
      <c r="C167" s="141">
        <v>4271.78</v>
      </c>
      <c r="D167" s="140">
        <f t="shared" si="5"/>
        <v>-5.6655773116207619E-3</v>
      </c>
    </row>
    <row r="168" spans="1:4">
      <c r="A168" s="140">
        <v>225.72070299999999</v>
      </c>
      <c r="B168" s="140">
        <f t="shared" si="4"/>
        <v>2.0745950152633696E-2</v>
      </c>
      <c r="C168" s="141">
        <v>4393.66</v>
      </c>
      <c r="D168" s="140">
        <f t="shared" si="5"/>
        <v>2.8531431862127699E-2</v>
      </c>
    </row>
    <row r="169" spans="1:4">
      <c r="A169" s="140">
        <v>226.59875500000001</v>
      </c>
      <c r="B169" s="140">
        <f t="shared" si="4"/>
        <v>3.889993201022568E-3</v>
      </c>
      <c r="C169" s="141">
        <v>4459.45</v>
      </c>
      <c r="D169" s="140">
        <f t="shared" si="5"/>
        <v>1.4973848681964386E-2</v>
      </c>
    </row>
    <row r="170" spans="1:4">
      <c r="A170" s="140">
        <v>223.93498199999999</v>
      </c>
      <c r="B170" s="140">
        <f t="shared" si="4"/>
        <v>-1.1755461763238828E-2</v>
      </c>
      <c r="C170" s="141">
        <v>4462.21</v>
      </c>
      <c r="D170" s="140">
        <f t="shared" si="5"/>
        <v>6.189104037492843E-4</v>
      </c>
    </row>
    <row r="171" spans="1:4">
      <c r="A171" s="140">
        <v>221.39946</v>
      </c>
      <c r="B171" s="140">
        <f t="shared" si="4"/>
        <v>-1.1322581123122566E-2</v>
      </c>
      <c r="C171" s="141">
        <v>4391.6899999999996</v>
      </c>
      <c r="D171" s="140">
        <f t="shared" si="5"/>
        <v>-1.5803828147935794E-2</v>
      </c>
    </row>
    <row r="172" spans="1:4">
      <c r="A172" s="140">
        <v>222.948395</v>
      </c>
      <c r="B172" s="140">
        <f t="shared" si="4"/>
        <v>6.9961101079469845E-3</v>
      </c>
      <c r="C172" s="141">
        <v>4392.59</v>
      </c>
      <c r="D172" s="140">
        <f t="shared" si="5"/>
        <v>2.0493249751241116E-4</v>
      </c>
    </row>
    <row r="173" spans="1:4">
      <c r="A173" s="140">
        <v>222.55377200000001</v>
      </c>
      <c r="B173" s="140">
        <f t="shared" si="4"/>
        <v>-1.7700194702007233E-3</v>
      </c>
      <c r="C173" s="141">
        <v>4446.59</v>
      </c>
      <c r="D173" s="140">
        <f t="shared" si="5"/>
        <v>1.2293430527319904E-2</v>
      </c>
    </row>
    <row r="174" spans="1:4">
      <c r="A174" s="140">
        <v>222.98786899999999</v>
      </c>
      <c r="B174" s="140">
        <f t="shared" si="4"/>
        <v>1.9505263653765148E-3</v>
      </c>
      <c r="C174" s="141">
        <v>4397.45</v>
      </c>
      <c r="D174" s="140">
        <f t="shared" si="5"/>
        <v>-1.1051165050072198E-2</v>
      </c>
    </row>
    <row r="175" spans="1:4">
      <c r="A175" s="140">
        <v>220.92588799999999</v>
      </c>
      <c r="B175" s="140">
        <f t="shared" si="4"/>
        <v>-9.2470546009837395E-3</v>
      </c>
      <c r="C175" s="141">
        <v>4412.53</v>
      </c>
      <c r="D175" s="140">
        <f t="shared" si="5"/>
        <v>3.4292601393990374E-3</v>
      </c>
    </row>
    <row r="176" spans="1:4">
      <c r="A176" s="140">
        <v>220.71871899999999</v>
      </c>
      <c r="B176" s="140">
        <f t="shared" si="4"/>
        <v>-9.3773075611669476E-4</v>
      </c>
      <c r="C176" s="141">
        <v>4488.28</v>
      </c>
      <c r="D176" s="140">
        <f t="shared" si="5"/>
        <v>1.7167022093900863E-2</v>
      </c>
    </row>
    <row r="177" spans="1:4">
      <c r="A177" s="140">
        <v>219.72228999999999</v>
      </c>
      <c r="B177" s="140">
        <f t="shared" si="4"/>
        <v>-4.5144743704316204E-3</v>
      </c>
      <c r="C177" s="141">
        <v>4500.21</v>
      </c>
      <c r="D177" s="140">
        <f t="shared" si="5"/>
        <v>2.6580338125072878E-3</v>
      </c>
    </row>
    <row r="178" spans="1:4">
      <c r="A178" s="140">
        <v>218.77516199999999</v>
      </c>
      <c r="B178" s="140">
        <f t="shared" si="4"/>
        <v>-4.3105685818219941E-3</v>
      </c>
      <c r="C178" s="141">
        <v>4481.1499999999996</v>
      </c>
      <c r="D178" s="140">
        <f t="shared" si="5"/>
        <v>-4.2353579055200985E-3</v>
      </c>
    </row>
    <row r="179" spans="1:4">
      <c r="A179" s="140">
        <v>215.47995</v>
      </c>
      <c r="B179" s="140">
        <f t="shared" si="4"/>
        <v>-1.5062093749015237E-2</v>
      </c>
      <c r="C179" s="141">
        <v>4525.12</v>
      </c>
      <c r="D179" s="140">
        <f t="shared" si="5"/>
        <v>9.812213382725421E-3</v>
      </c>
    </row>
    <row r="180" spans="1:4">
      <c r="A180" s="140">
        <v>213.61532600000001</v>
      </c>
      <c r="B180" s="140">
        <f t="shared" si="4"/>
        <v>-8.653352666918579E-3</v>
      </c>
      <c r="C180" s="141">
        <v>4582.6400000000003</v>
      </c>
      <c r="D180" s="140">
        <f t="shared" si="5"/>
        <v>1.2711265115621373E-2</v>
      </c>
    </row>
    <row r="181" spans="1:4">
      <c r="A181" s="140">
        <v>215.83512899999999</v>
      </c>
      <c r="B181" s="140">
        <f t="shared" si="4"/>
        <v>1.0391590535971051E-2</v>
      </c>
      <c r="C181" s="141">
        <v>4545.8599999999997</v>
      </c>
      <c r="D181" s="140">
        <f t="shared" si="5"/>
        <v>-8.025941378768664E-3</v>
      </c>
    </row>
    <row r="182" spans="1:4">
      <c r="A182" s="140">
        <v>213.72384600000001</v>
      </c>
      <c r="B182" s="140">
        <f t="shared" si="4"/>
        <v>-9.7819247950132748E-3</v>
      </c>
      <c r="C182" s="141">
        <v>4530.41</v>
      </c>
      <c r="D182" s="140">
        <f t="shared" si="5"/>
        <v>-3.3986968362421655E-3</v>
      </c>
    </row>
    <row r="183" spans="1:4">
      <c r="A183" s="140">
        <v>213.74357599999999</v>
      </c>
      <c r="B183" s="140">
        <f t="shared" si="4"/>
        <v>9.2315389083719168E-5</v>
      </c>
      <c r="C183" s="141">
        <v>4602.45</v>
      </c>
      <c r="D183" s="140">
        <f t="shared" si="5"/>
        <v>1.5901430554850382E-2</v>
      </c>
    </row>
    <row r="184" spans="1:4">
      <c r="A184" s="140">
        <v>211.85919200000001</v>
      </c>
      <c r="B184" s="140">
        <f t="shared" si="4"/>
        <v>-8.8160965361596677E-3</v>
      </c>
      <c r="C184" s="141">
        <v>4631.6000000000004</v>
      </c>
      <c r="D184" s="140">
        <f t="shared" si="5"/>
        <v>6.3335832002522352E-3</v>
      </c>
    </row>
    <row r="185" spans="1:4">
      <c r="A185" s="140">
        <v>211.770386</v>
      </c>
      <c r="B185" s="140">
        <f t="shared" si="4"/>
        <v>-4.1917463746399264E-4</v>
      </c>
      <c r="C185" s="141">
        <v>4575.5200000000004</v>
      </c>
      <c r="D185" s="140">
        <f t="shared" si="5"/>
        <v>-1.2108126781241846E-2</v>
      </c>
    </row>
    <row r="186" spans="1:4">
      <c r="A186" s="140">
        <v>211.49414100000001</v>
      </c>
      <c r="B186" s="140">
        <f t="shared" si="4"/>
        <v>-1.3044552886634087E-3</v>
      </c>
      <c r="C186" s="141">
        <v>4543.0600000000004</v>
      </c>
      <c r="D186" s="140">
        <f t="shared" si="5"/>
        <v>-7.0942756233171034E-3</v>
      </c>
    </row>
    <row r="187" spans="1:4">
      <c r="A187" s="140">
        <v>208.40614299999999</v>
      </c>
      <c r="B187" s="140">
        <f t="shared" si="4"/>
        <v>-1.4600867832078701E-2</v>
      </c>
      <c r="C187" s="141">
        <v>4520.16</v>
      </c>
      <c r="D187" s="140">
        <f t="shared" si="5"/>
        <v>-5.0406554172739426E-3</v>
      </c>
    </row>
    <row r="188" spans="1:4">
      <c r="A188" s="140">
        <v>204.972824</v>
      </c>
      <c r="B188" s="140">
        <f t="shared" si="4"/>
        <v>-1.6474173700340433E-2</v>
      </c>
      <c r="C188" s="141">
        <v>4456.24</v>
      </c>
      <c r="D188" s="140">
        <f t="shared" si="5"/>
        <v>-1.4141092350713258E-2</v>
      </c>
    </row>
    <row r="189" spans="1:4">
      <c r="A189" s="140">
        <v>205.505585</v>
      </c>
      <c r="B189" s="140">
        <f t="shared" si="4"/>
        <v>2.5991787086858675E-3</v>
      </c>
      <c r="C189" s="141">
        <v>4511.6099999999997</v>
      </c>
      <c r="D189" s="140">
        <f t="shared" si="5"/>
        <v>1.242527332459642E-2</v>
      </c>
    </row>
    <row r="190" spans="1:4">
      <c r="A190" s="140">
        <v>205.564774</v>
      </c>
      <c r="B190" s="140">
        <f t="shared" si="4"/>
        <v>2.8801650329834949E-4</v>
      </c>
      <c r="C190" s="141">
        <v>4461.18</v>
      </c>
      <c r="D190" s="140">
        <f t="shared" si="5"/>
        <v>-1.1177827870759938E-2</v>
      </c>
    </row>
    <row r="191" spans="1:4">
      <c r="A191" s="140">
        <v>203.95665</v>
      </c>
      <c r="B191" s="140">
        <f t="shared" si="4"/>
        <v>-7.8229551138951914E-3</v>
      </c>
      <c r="C191" s="141">
        <v>4463.12</v>
      </c>
      <c r="D191" s="140">
        <f t="shared" si="5"/>
        <v>4.3486252516133916E-4</v>
      </c>
    </row>
    <row r="192" spans="1:4">
      <c r="A192" s="140">
        <v>203.93693500000001</v>
      </c>
      <c r="B192" s="140">
        <f t="shared" si="4"/>
        <v>-9.6662697685934162E-5</v>
      </c>
      <c r="C192" s="141">
        <v>4411.67</v>
      </c>
      <c r="D192" s="140">
        <f t="shared" si="5"/>
        <v>-1.1527810141784167E-2</v>
      </c>
    </row>
    <row r="193" spans="1:4">
      <c r="A193" s="140">
        <v>202.94046</v>
      </c>
      <c r="B193" s="140">
        <f t="shared" si="4"/>
        <v>-4.8861919004520304E-3</v>
      </c>
      <c r="C193" s="141">
        <v>4357.8599999999997</v>
      </c>
      <c r="D193" s="140">
        <f t="shared" si="5"/>
        <v>-1.2197195166456343E-2</v>
      </c>
    </row>
    <row r="194" spans="1:4">
      <c r="A194" s="140">
        <v>206.018631</v>
      </c>
      <c r="B194" s="140">
        <f t="shared" si="4"/>
        <v>1.5167852679549343E-2</v>
      </c>
      <c r="C194" s="141">
        <v>4262.45</v>
      </c>
      <c r="D194" s="140">
        <f t="shared" si="5"/>
        <v>-2.1893773549402695E-2</v>
      </c>
    </row>
    <row r="195" spans="1:4">
      <c r="A195" s="140">
        <v>203.93693500000001</v>
      </c>
      <c r="B195" s="140">
        <f t="shared" si="4"/>
        <v>-1.0104406528164911E-2</v>
      </c>
      <c r="C195" s="141">
        <v>4173.1099999999997</v>
      </c>
      <c r="D195" s="140">
        <f t="shared" si="5"/>
        <v>-2.0959776654271622E-2</v>
      </c>
    </row>
    <row r="196" spans="1:4">
      <c r="A196" s="140">
        <v>201.944016</v>
      </c>
      <c r="B196" s="140">
        <f t="shared" si="4"/>
        <v>-9.7722317931275837E-3</v>
      </c>
      <c r="C196" s="141">
        <v>4204.3100000000004</v>
      </c>
      <c r="D196" s="140">
        <f t="shared" si="5"/>
        <v>7.4764384356034164E-3</v>
      </c>
    </row>
    <row r="197" spans="1:4">
      <c r="A197" s="140">
        <v>202.38797</v>
      </c>
      <c r="B197" s="140">
        <f t="shared" si="4"/>
        <v>2.1984013628806309E-3</v>
      </c>
      <c r="C197" s="141">
        <v>4259.5200000000004</v>
      </c>
      <c r="D197" s="140">
        <f t="shared" si="5"/>
        <v>1.313176240572167E-2</v>
      </c>
    </row>
    <row r="198" spans="1:4">
      <c r="A198" s="140">
        <v>202.13147000000001</v>
      </c>
      <c r="B198" s="140">
        <f t="shared" ref="B198:B255" si="6">(A198/A197)-1</f>
        <v>-1.2673678183540149E-3</v>
      </c>
      <c r="C198" s="141">
        <v>4277.88</v>
      </c>
      <c r="D198" s="140">
        <f t="shared" ref="D198:D255" si="7">(C198/C197)-1</f>
        <v>4.3103448275860767E-3</v>
      </c>
    </row>
    <row r="199" spans="1:4">
      <c r="A199" s="140">
        <v>201.273132</v>
      </c>
      <c r="B199" s="140">
        <f t="shared" si="6"/>
        <v>-4.2464342637986707E-3</v>
      </c>
      <c r="C199" s="141">
        <v>4170.7</v>
      </c>
      <c r="D199" s="140">
        <f t="shared" si="7"/>
        <v>-2.5054466230936878E-2</v>
      </c>
    </row>
    <row r="200" spans="1:4">
      <c r="A200" s="140">
        <v>210.517426</v>
      </c>
      <c r="B200" s="140">
        <f t="shared" si="6"/>
        <v>4.5929100959188007E-2</v>
      </c>
      <c r="C200" s="141">
        <v>4201.09</v>
      </c>
      <c r="D200" s="140">
        <f t="shared" si="7"/>
        <v>7.2865466228690945E-3</v>
      </c>
    </row>
    <row r="201" spans="1:4">
      <c r="A201" s="140">
        <v>209.96495100000001</v>
      </c>
      <c r="B201" s="140">
        <f t="shared" si="6"/>
        <v>-2.6243670678359754E-3</v>
      </c>
      <c r="C201" s="141">
        <v>4328.87</v>
      </c>
      <c r="D201" s="140">
        <f t="shared" si="7"/>
        <v>3.0415915869452803E-2</v>
      </c>
    </row>
    <row r="202" spans="1:4">
      <c r="A202" s="140">
        <v>205.34773300000001</v>
      </c>
      <c r="B202" s="140">
        <f t="shared" si="6"/>
        <v>-2.1990422582481406E-2</v>
      </c>
      <c r="C202" s="141">
        <v>4363.49</v>
      </c>
      <c r="D202" s="140">
        <f t="shared" si="7"/>
        <v>7.9974681614369825E-3</v>
      </c>
    </row>
    <row r="203" spans="1:4">
      <c r="A203" s="140">
        <v>205.23919699999999</v>
      </c>
      <c r="B203" s="140">
        <f t="shared" si="6"/>
        <v>-5.2854734948559745E-4</v>
      </c>
      <c r="C203" s="141">
        <v>4386.54</v>
      </c>
      <c r="D203" s="140">
        <f t="shared" si="7"/>
        <v>5.2824688494761407E-3</v>
      </c>
    </row>
    <row r="204" spans="1:4">
      <c r="A204" s="140">
        <v>202.11174</v>
      </c>
      <c r="B204" s="140">
        <f t="shared" si="6"/>
        <v>-1.5238107757749586E-2</v>
      </c>
      <c r="C204" s="141">
        <v>4306.26</v>
      </c>
      <c r="D204" s="140">
        <f t="shared" si="7"/>
        <v>-1.83014403151458E-2</v>
      </c>
    </row>
    <row r="205" spans="1:4">
      <c r="A205" s="140">
        <v>199.546616</v>
      </c>
      <c r="B205" s="140">
        <f t="shared" si="6"/>
        <v>-1.2691613065129226E-2</v>
      </c>
      <c r="C205" s="141">
        <v>4373.9399999999996</v>
      </c>
      <c r="D205" s="140">
        <f t="shared" si="7"/>
        <v>1.5716654359002824E-2</v>
      </c>
    </row>
    <row r="206" spans="1:4">
      <c r="A206" s="140">
        <v>201.578979</v>
      </c>
      <c r="B206" s="140">
        <f t="shared" si="6"/>
        <v>1.0184903361127429E-2</v>
      </c>
      <c r="C206" s="141">
        <v>4384.6499999999996</v>
      </c>
      <c r="D206" s="140">
        <f t="shared" si="7"/>
        <v>2.4485932591669091E-3</v>
      </c>
    </row>
    <row r="207" spans="1:4">
      <c r="A207" s="140">
        <v>194.169724</v>
      </c>
      <c r="B207" s="140">
        <f t="shared" si="6"/>
        <v>-3.6756089532530067E-2</v>
      </c>
      <c r="C207" s="141">
        <v>4288.7</v>
      </c>
      <c r="D207" s="140">
        <f t="shared" si="7"/>
        <v>-2.1883160571539273E-2</v>
      </c>
    </row>
    <row r="208" spans="1:4">
      <c r="A208" s="140">
        <v>199.852463</v>
      </c>
      <c r="B208" s="140">
        <f t="shared" si="6"/>
        <v>2.9266864488101119E-2</v>
      </c>
      <c r="C208" s="141">
        <v>4225.5</v>
      </c>
      <c r="D208" s="140">
        <f t="shared" si="7"/>
        <v>-1.4736400307785558E-2</v>
      </c>
    </row>
    <row r="209" spans="1:4">
      <c r="A209" s="140">
        <v>199.31968699999999</v>
      </c>
      <c r="B209" s="140">
        <f t="shared" si="6"/>
        <v>-2.6658465550160049E-3</v>
      </c>
      <c r="C209" s="141">
        <v>4304.76</v>
      </c>
      <c r="D209" s="140">
        <f t="shared" si="7"/>
        <v>1.8757543485978134E-2</v>
      </c>
    </row>
    <row r="210" spans="1:4">
      <c r="A210" s="140">
        <v>199.87217699999999</v>
      </c>
      <c r="B210" s="140">
        <f t="shared" si="6"/>
        <v>2.7718787256574284E-3</v>
      </c>
      <c r="C210" s="141">
        <v>4348.87</v>
      </c>
      <c r="D210" s="140">
        <f t="shared" si="7"/>
        <v>1.024679656937888E-2</v>
      </c>
    </row>
    <row r="211" spans="1:4">
      <c r="A211" s="140">
        <v>199.31968699999999</v>
      </c>
      <c r="B211" s="140">
        <f t="shared" si="6"/>
        <v>-2.764216652325735E-3</v>
      </c>
      <c r="C211" s="141">
        <v>4380.26</v>
      </c>
      <c r="D211" s="140">
        <f t="shared" si="7"/>
        <v>7.2179669661314172E-3</v>
      </c>
    </row>
    <row r="212" spans="1:4">
      <c r="A212" s="140">
        <v>199.04246499999999</v>
      </c>
      <c r="B212" s="140">
        <f t="shared" si="6"/>
        <v>-1.3908410361892498E-3</v>
      </c>
      <c r="C212" s="141">
        <v>4475.01</v>
      </c>
      <c r="D212" s="140">
        <f t="shared" si="7"/>
        <v>2.1631136051284638E-2</v>
      </c>
    </row>
    <row r="213" spans="1:4">
      <c r="A213" s="140">
        <v>199.268372</v>
      </c>
      <c r="B213" s="140">
        <f t="shared" si="6"/>
        <v>1.1349688620465592E-3</v>
      </c>
      <c r="C213" s="141">
        <v>4471.07</v>
      </c>
      <c r="D213" s="140">
        <f t="shared" si="7"/>
        <v>-8.8044495989969551E-4</v>
      </c>
    </row>
    <row r="214" spans="1:4">
      <c r="A214" s="140">
        <v>199.73002600000001</v>
      </c>
      <c r="B214" s="140">
        <f t="shared" si="6"/>
        <v>2.3167449774719184E-3</v>
      </c>
      <c r="C214" s="141">
        <v>4401.67</v>
      </c>
      <c r="D214" s="140">
        <f t="shared" si="7"/>
        <v>-1.5522011509549127E-2</v>
      </c>
    </row>
    <row r="215" spans="1:4">
      <c r="A215" s="140">
        <v>201.53724700000001</v>
      </c>
      <c r="B215" s="140">
        <f t="shared" si="6"/>
        <v>9.0483190544419223E-3</v>
      </c>
      <c r="C215" s="141">
        <v>4418.6400000000003</v>
      </c>
      <c r="D215" s="140">
        <f t="shared" si="7"/>
        <v>3.855354899390484E-3</v>
      </c>
    </row>
    <row r="216" spans="1:4">
      <c r="A216" s="140">
        <v>199.79875200000001</v>
      </c>
      <c r="B216" s="140">
        <f t="shared" si="6"/>
        <v>-8.626172213218708E-3</v>
      </c>
      <c r="C216" s="141">
        <v>4504.08</v>
      </c>
      <c r="D216" s="140">
        <f t="shared" si="7"/>
        <v>1.933626636250052E-2</v>
      </c>
    </row>
    <row r="217" spans="1:4">
      <c r="A217" s="140">
        <v>200.014847</v>
      </c>
      <c r="B217" s="140">
        <f t="shared" si="6"/>
        <v>1.0815633122673862E-3</v>
      </c>
      <c r="C217" s="141">
        <v>4587.18</v>
      </c>
      <c r="D217" s="140">
        <f t="shared" si="7"/>
        <v>1.8449938722225223E-2</v>
      </c>
    </row>
    <row r="218" spans="1:4">
      <c r="A218" s="140">
        <v>203.315033</v>
      </c>
      <c r="B218" s="140">
        <f t="shared" si="6"/>
        <v>1.6499705144388699E-2</v>
      </c>
      <c r="C218" s="141">
        <v>4521.54</v>
      </c>
      <c r="D218" s="140">
        <f t="shared" si="7"/>
        <v>-1.4309445018508171E-2</v>
      </c>
    </row>
    <row r="219" spans="1:4">
      <c r="A219" s="140">
        <v>201.06579600000001</v>
      </c>
      <c r="B219" s="140">
        <f t="shared" si="6"/>
        <v>-1.1062816983139601E-2</v>
      </c>
      <c r="C219" s="141">
        <v>4483.87</v>
      </c>
      <c r="D219" s="140">
        <f t="shared" si="7"/>
        <v>-8.3312322792676863E-3</v>
      </c>
    </row>
    <row r="220" spans="1:4">
      <c r="A220" s="140">
        <v>199.170151</v>
      </c>
      <c r="B220" s="140">
        <f t="shared" si="6"/>
        <v>-9.4279834646764371E-3</v>
      </c>
      <c r="C220" s="141">
        <v>4500.53</v>
      </c>
      <c r="D220" s="140">
        <f t="shared" si="7"/>
        <v>3.7155403702604506E-3</v>
      </c>
    </row>
    <row r="221" spans="1:4">
      <c r="A221" s="140">
        <v>200.28985599999999</v>
      </c>
      <c r="B221" s="140">
        <f t="shared" si="6"/>
        <v>5.6218514389738683E-3</v>
      </c>
      <c r="C221" s="141">
        <v>4477.4399999999996</v>
      </c>
      <c r="D221" s="140">
        <f t="shared" si="7"/>
        <v>-5.1305068514153618E-3</v>
      </c>
    </row>
    <row r="222" spans="1:4">
      <c r="A222" s="140">
        <v>195.00563</v>
      </c>
      <c r="B222" s="140">
        <f t="shared" si="6"/>
        <v>-2.6382893799673957E-2</v>
      </c>
      <c r="C222" s="141">
        <v>4589.38</v>
      </c>
      <c r="D222" s="140">
        <f t="shared" si="7"/>
        <v>2.5000893367638666E-2</v>
      </c>
    </row>
    <row r="223" spans="1:4">
      <c r="A223" s="140">
        <v>192.24565100000001</v>
      </c>
      <c r="B223" s="140">
        <f t="shared" si="6"/>
        <v>-1.4153329829502792E-2</v>
      </c>
      <c r="C223" s="141">
        <v>4546.54</v>
      </c>
      <c r="D223" s="140">
        <f t="shared" si="7"/>
        <v>-9.3345942153406636E-3</v>
      </c>
    </row>
    <row r="224" spans="1:4">
      <c r="A224" s="140">
        <v>193.56179800000001</v>
      </c>
      <c r="B224" s="140">
        <f t="shared" si="6"/>
        <v>6.8461730767579443E-3</v>
      </c>
      <c r="C224" s="141">
        <v>4515.55</v>
      </c>
      <c r="D224" s="140">
        <f t="shared" si="7"/>
        <v>-6.8161722980552009E-3</v>
      </c>
    </row>
    <row r="225" spans="1:4">
      <c r="A225" s="140">
        <v>193.32607999999999</v>
      </c>
      <c r="B225" s="140">
        <f t="shared" si="6"/>
        <v>-1.2177919529349213E-3</v>
      </c>
      <c r="C225" s="141">
        <v>4431.8500000000004</v>
      </c>
      <c r="D225" s="140">
        <f t="shared" si="7"/>
        <v>-1.8535948001904501E-2</v>
      </c>
    </row>
    <row r="226" spans="1:4">
      <c r="A226" s="140">
        <v>190.909851</v>
      </c>
      <c r="B226" s="140">
        <f t="shared" si="6"/>
        <v>-1.2498205105074267E-2</v>
      </c>
      <c r="C226" s="141">
        <v>4326.51</v>
      </c>
      <c r="D226" s="140">
        <f t="shared" si="7"/>
        <v>-2.3768854992835986E-2</v>
      </c>
    </row>
    <row r="227" spans="1:4">
      <c r="A227" s="140">
        <v>190.67413300000001</v>
      </c>
      <c r="B227" s="140">
        <f t="shared" si="6"/>
        <v>-1.2347084174298972E-3</v>
      </c>
      <c r="C227" s="141">
        <v>4349.93</v>
      </c>
      <c r="D227" s="140">
        <f t="shared" si="7"/>
        <v>5.4131389965583754E-3</v>
      </c>
    </row>
    <row r="228" spans="1:4">
      <c r="A228" s="140">
        <v>191.30273399999999</v>
      </c>
      <c r="B228" s="140">
        <f t="shared" si="6"/>
        <v>3.2967292946861626E-3</v>
      </c>
      <c r="C228" s="141">
        <v>4356.45</v>
      </c>
      <c r="D228" s="140">
        <f t="shared" si="7"/>
        <v>1.498874694535246E-3</v>
      </c>
    </row>
    <row r="229" spans="1:4">
      <c r="A229" s="140">
        <v>196.36106899999999</v>
      </c>
      <c r="B229" s="140">
        <f t="shared" si="6"/>
        <v>2.6441519649164968E-2</v>
      </c>
      <c r="C229" s="141">
        <v>4410.13</v>
      </c>
      <c r="D229" s="140">
        <f t="shared" si="7"/>
        <v>1.232195939354308E-2</v>
      </c>
    </row>
    <row r="230" spans="1:4">
      <c r="A230" s="140">
        <v>196.783401</v>
      </c>
      <c r="B230" s="140">
        <f t="shared" si="6"/>
        <v>2.1507929354367405E-3</v>
      </c>
      <c r="C230" s="141">
        <v>4397.9399999999996</v>
      </c>
      <c r="D230" s="140">
        <f t="shared" si="7"/>
        <v>-2.764090854464718E-3</v>
      </c>
    </row>
    <row r="231" spans="1:4">
      <c r="A231" s="140">
        <v>195.61459400000001</v>
      </c>
      <c r="B231" s="140">
        <f t="shared" si="6"/>
        <v>-5.9395609287187234E-3</v>
      </c>
      <c r="C231" s="141">
        <v>4482.7299999999996</v>
      </c>
      <c r="D231" s="140">
        <f t="shared" si="7"/>
        <v>1.9279480847851582E-2</v>
      </c>
    </row>
    <row r="232" spans="1:4">
      <c r="A232" s="140">
        <v>196.08604399999999</v>
      </c>
      <c r="B232" s="140">
        <f t="shared" si="6"/>
        <v>2.4100962528388337E-3</v>
      </c>
      <c r="C232" s="141">
        <v>4532.76</v>
      </c>
      <c r="D232" s="140">
        <f t="shared" si="7"/>
        <v>1.1160609717739023E-2</v>
      </c>
    </row>
    <row r="233" spans="1:4">
      <c r="A233" s="140">
        <v>194.78955099999999</v>
      </c>
      <c r="B233" s="140">
        <f t="shared" si="6"/>
        <v>-6.6118575985958383E-3</v>
      </c>
      <c r="C233" s="141">
        <v>4577.1099999999997</v>
      </c>
      <c r="D233" s="140">
        <f t="shared" si="7"/>
        <v>9.7843256647163201E-3</v>
      </c>
    </row>
    <row r="234" spans="1:4">
      <c r="A234" s="140">
        <v>195.97801200000001</v>
      </c>
      <c r="B234" s="140">
        <f t="shared" si="6"/>
        <v>6.1012564272506786E-3</v>
      </c>
      <c r="C234" s="141">
        <v>4662.8500000000004</v>
      </c>
      <c r="D234" s="140">
        <f t="shared" si="7"/>
        <v>1.8732344208463481E-2</v>
      </c>
    </row>
    <row r="235" spans="1:4">
      <c r="A235" s="140">
        <v>193.23767100000001</v>
      </c>
      <c r="B235" s="140">
        <f t="shared" si="6"/>
        <v>-1.398290028577287E-2</v>
      </c>
      <c r="C235" s="141">
        <v>4659.03</v>
      </c>
      <c r="D235" s="140">
        <f t="shared" si="7"/>
        <v>-8.1924145104406154E-4</v>
      </c>
    </row>
    <row r="236" spans="1:4">
      <c r="A236" s="140">
        <v>192.35369900000001</v>
      </c>
      <c r="B236" s="140">
        <f t="shared" si="6"/>
        <v>-4.5745324678436727E-3</v>
      </c>
      <c r="C236" s="141">
        <v>4726.3500000000004</v>
      </c>
      <c r="D236" s="140">
        <f t="shared" si="7"/>
        <v>1.4449359630652969E-2</v>
      </c>
    </row>
    <row r="237" spans="1:4">
      <c r="A237" s="140">
        <v>190.57591199999999</v>
      </c>
      <c r="B237" s="140">
        <f t="shared" si="6"/>
        <v>-9.2422813246758606E-3</v>
      </c>
      <c r="C237" s="141">
        <v>4713.07</v>
      </c>
      <c r="D237" s="140">
        <f t="shared" si="7"/>
        <v>-2.8097792165202584E-3</v>
      </c>
    </row>
    <row r="238" spans="1:4">
      <c r="A238" s="140">
        <v>191.175049</v>
      </c>
      <c r="B238" s="140">
        <f t="shared" si="6"/>
        <v>3.1438233390168602E-3</v>
      </c>
      <c r="C238" s="141">
        <v>4670.29</v>
      </c>
      <c r="D238" s="140">
        <f t="shared" si="7"/>
        <v>-9.0768861909540366E-3</v>
      </c>
    </row>
    <row r="239" spans="1:4">
      <c r="A239" s="140">
        <v>192.36352500000001</v>
      </c>
      <c r="B239" s="140">
        <f t="shared" si="6"/>
        <v>6.2166899196138825E-3</v>
      </c>
      <c r="C239" s="141">
        <v>4677.03</v>
      </c>
      <c r="D239" s="140">
        <f t="shared" si="7"/>
        <v>1.443165199591423E-3</v>
      </c>
    </row>
    <row r="240" spans="1:4">
      <c r="A240" s="140">
        <v>193.07070899999999</v>
      </c>
      <c r="B240" s="140">
        <f t="shared" si="6"/>
        <v>3.6762894628801224E-3</v>
      </c>
      <c r="C240" s="141">
        <v>4696.05</v>
      </c>
      <c r="D240" s="140">
        <f t="shared" si="7"/>
        <v>4.0666833439171324E-3</v>
      </c>
    </row>
    <row r="241" spans="1:4">
      <c r="A241" s="140">
        <v>193.49302700000001</v>
      </c>
      <c r="B241" s="140">
        <f t="shared" si="6"/>
        <v>2.1873747819511902E-3</v>
      </c>
      <c r="C241" s="141">
        <v>4700.58</v>
      </c>
      <c r="D241" s="140">
        <f t="shared" si="7"/>
        <v>9.6464049573574684E-4</v>
      </c>
    </row>
    <row r="242" spans="1:4">
      <c r="A242" s="140">
        <v>191.39115899999999</v>
      </c>
      <c r="B242" s="140">
        <f t="shared" si="6"/>
        <v>-1.0862758377334303E-2</v>
      </c>
      <c r="C242" s="141">
        <v>4793.54</v>
      </c>
      <c r="D242" s="140">
        <f t="shared" si="7"/>
        <v>1.9776282926787792E-2</v>
      </c>
    </row>
    <row r="243" spans="1:4">
      <c r="A243" s="140">
        <v>189.770523</v>
      </c>
      <c r="B243" s="140">
        <f t="shared" si="6"/>
        <v>-8.4676638590186482E-3</v>
      </c>
      <c r="C243" s="141">
        <v>4796.5600000000004</v>
      </c>
      <c r="D243" s="140">
        <f t="shared" si="7"/>
        <v>6.3001456126388078E-4</v>
      </c>
    </row>
    <row r="244" spans="1:4">
      <c r="A244" s="140">
        <v>190.02589399999999</v>
      </c>
      <c r="B244" s="140">
        <f t="shared" si="6"/>
        <v>1.3456831754634635E-3</v>
      </c>
      <c r="C244" s="141">
        <v>4766.18</v>
      </c>
      <c r="D244" s="140">
        <f t="shared" si="7"/>
        <v>-6.3337058225061416E-3</v>
      </c>
    </row>
    <row r="245" spans="1:4">
      <c r="A245" s="140">
        <v>187.86505099999999</v>
      </c>
      <c r="B245" s="140">
        <f t="shared" si="6"/>
        <v>-1.1371308164980887E-2</v>
      </c>
      <c r="C245" s="141">
        <v>4778.7299999999996</v>
      </c>
      <c r="D245" s="140">
        <f t="shared" si="7"/>
        <v>2.633135970525613E-3</v>
      </c>
    </row>
    <row r="246" spans="1:4">
      <c r="A246" s="140">
        <v>188.40527299999999</v>
      </c>
      <c r="B246" s="140">
        <f t="shared" si="6"/>
        <v>2.8755854115729562E-3</v>
      </c>
      <c r="C246" s="141">
        <v>4793.0600000000004</v>
      </c>
      <c r="D246" s="140">
        <f t="shared" si="7"/>
        <v>2.9987046767656622E-3</v>
      </c>
    </row>
    <row r="247" spans="1:4">
      <c r="A247" s="140">
        <v>187.570404</v>
      </c>
      <c r="B247" s="140">
        <f t="shared" si="6"/>
        <v>-4.4312400959181097E-3</v>
      </c>
      <c r="C247" s="141">
        <v>4786.3500000000004</v>
      </c>
      <c r="D247" s="140">
        <f t="shared" si="7"/>
        <v>-1.3999407476643633E-3</v>
      </c>
    </row>
    <row r="248" spans="1:4">
      <c r="A248" s="140">
        <v>186.499786</v>
      </c>
      <c r="B248" s="140">
        <f t="shared" si="6"/>
        <v>-5.7078194489573741E-3</v>
      </c>
      <c r="C248" s="141">
        <v>4791.1899999999996</v>
      </c>
      <c r="D248" s="140">
        <f t="shared" si="7"/>
        <v>1.011208958809684E-3</v>
      </c>
    </row>
    <row r="249" spans="1:4">
      <c r="A249" s="140">
        <v>185.10507200000001</v>
      </c>
      <c r="B249" s="140">
        <f t="shared" si="6"/>
        <v>-7.4783678304058965E-3</v>
      </c>
      <c r="C249" s="141">
        <v>4725.79</v>
      </c>
      <c r="D249" s="140">
        <f t="shared" si="7"/>
        <v>-1.365005353576032E-2</v>
      </c>
    </row>
    <row r="250" spans="1:4">
      <c r="A250" s="140">
        <v>185.50778199999999</v>
      </c>
      <c r="B250" s="140">
        <f t="shared" si="6"/>
        <v>2.1755751781884491E-3</v>
      </c>
      <c r="C250" s="141">
        <v>4696.5600000000004</v>
      </c>
      <c r="D250" s="140">
        <f t="shared" si="7"/>
        <v>-6.1852092454381946E-3</v>
      </c>
    </row>
    <row r="251" spans="1:4">
      <c r="A251" s="140">
        <v>183.99517800000001</v>
      </c>
      <c r="B251" s="140">
        <f t="shared" si="6"/>
        <v>-8.1538573945106885E-3</v>
      </c>
      <c r="C251" s="141">
        <v>4649.2299999999996</v>
      </c>
      <c r="D251" s="140">
        <f t="shared" si="7"/>
        <v>-1.0077588703221285E-2</v>
      </c>
    </row>
    <row r="252" spans="1:4">
      <c r="A252" s="140">
        <v>184.446991</v>
      </c>
      <c r="B252" s="140">
        <f t="shared" si="6"/>
        <v>2.4555697867254533E-3</v>
      </c>
      <c r="C252" s="141">
        <v>4568.0200000000004</v>
      </c>
      <c r="D252" s="140">
        <f t="shared" si="7"/>
        <v>-1.7467408581635868E-2</v>
      </c>
    </row>
    <row r="253" spans="1:4">
      <c r="A253" s="140">
        <v>184.28002900000001</v>
      </c>
      <c r="B253" s="140">
        <f t="shared" si="6"/>
        <v>-9.0520316484854479E-4</v>
      </c>
      <c r="C253" s="141">
        <v>4620.6400000000003</v>
      </c>
      <c r="D253" s="140">
        <f t="shared" si="7"/>
        <v>1.1519214013949064E-2</v>
      </c>
    </row>
    <row r="254" spans="1:4">
      <c r="A254" s="140">
        <v>188.70974699999999</v>
      </c>
      <c r="B254" s="140">
        <f t="shared" si="6"/>
        <v>2.4037971038087802E-2</v>
      </c>
      <c r="C254" s="141">
        <v>4668.67</v>
      </c>
      <c r="D254" s="140">
        <f t="shared" si="7"/>
        <v>1.0394663942657312E-2</v>
      </c>
    </row>
    <row r="255" spans="1:4">
      <c r="A255" s="140">
        <v>186.39175399999999</v>
      </c>
      <c r="B255" s="140">
        <f t="shared" si="6"/>
        <v>-1.2283377180300037E-2</v>
      </c>
      <c r="C255" s="141">
        <v>4709.8500000000004</v>
      </c>
      <c r="D255" s="140">
        <f t="shared" si="7"/>
        <v>8.820499199986287E-3</v>
      </c>
    </row>
  </sheetData>
  <mergeCells count="5">
    <mergeCell ref="A1:D1"/>
    <mergeCell ref="A2:B2"/>
    <mergeCell ref="C2:D2"/>
    <mergeCell ref="H4:N4"/>
    <mergeCell ref="H5:N5"/>
  </mergeCells>
  <hyperlinks>
    <hyperlink ref="I8" r:id="rId1" xr:uid="{3B346867-0041-504C-9731-D38434B28DA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6BE7B-5B4E-324A-866B-8CB13C8A0F1D}">
  <dimension ref="B2:Z36"/>
  <sheetViews>
    <sheetView showGridLines="0" workbookViewId="0">
      <selection activeCell="C6" sqref="C6:C17"/>
    </sheetView>
  </sheetViews>
  <sheetFormatPr defaultColWidth="10.7109375" defaultRowHeight="12.4"/>
  <cols>
    <col min="4" max="4" width="17.42578125" bestFit="1" customWidth="1"/>
  </cols>
  <sheetData>
    <row r="2" spans="2:26" ht="20.100000000000001">
      <c r="B2" s="348" t="s">
        <v>147</v>
      </c>
      <c r="C2" s="348"/>
      <c r="D2" s="348"/>
      <c r="E2" s="348"/>
      <c r="F2" s="348"/>
      <c r="G2" s="216" t="s">
        <v>148</v>
      </c>
    </row>
    <row r="4" spans="2:26">
      <c r="B4" s="347" t="s">
        <v>149</v>
      </c>
      <c r="C4" s="347"/>
      <c r="D4" s="140" t="s">
        <v>150</v>
      </c>
      <c r="E4" s="140" t="s">
        <v>151</v>
      </c>
      <c r="F4" s="140" t="s">
        <v>152</v>
      </c>
    </row>
    <row r="5" spans="2:26">
      <c r="B5" s="171" t="s">
        <v>153</v>
      </c>
      <c r="C5" s="171" t="s">
        <v>154</v>
      </c>
      <c r="D5" s="140"/>
      <c r="E5" s="140"/>
      <c r="F5" s="140"/>
    </row>
    <row r="6" spans="2:26">
      <c r="B6" s="173">
        <v>2.6249999999999999E-2</v>
      </c>
      <c r="C6" s="174" t="s">
        <v>7</v>
      </c>
      <c r="D6" s="174" t="s">
        <v>155</v>
      </c>
      <c r="E6" s="175">
        <v>250000</v>
      </c>
      <c r="F6" s="140">
        <f t="shared" ref="F6:F17" si="0">E6*B6</f>
        <v>6562.5</v>
      </c>
    </row>
    <row r="7" spans="2:26">
      <c r="B7" s="173">
        <v>3.3750000000000002E-2</v>
      </c>
      <c r="C7" s="174" t="s">
        <v>7</v>
      </c>
      <c r="D7" s="174" t="s">
        <v>156</v>
      </c>
      <c r="E7" s="175">
        <v>500000</v>
      </c>
      <c r="F7" s="140">
        <f t="shared" si="0"/>
        <v>16875</v>
      </c>
      <c r="I7" s="104"/>
      <c r="J7" s="104"/>
      <c r="K7" s="104"/>
    </row>
    <row r="8" spans="2:26">
      <c r="B8" s="173">
        <v>2.0500000000000001E-2</v>
      </c>
      <c r="C8" s="174" t="s">
        <v>7</v>
      </c>
      <c r="D8" s="174" t="s">
        <v>157</v>
      </c>
      <c r="E8" s="175">
        <v>300000</v>
      </c>
      <c r="F8" s="140">
        <f t="shared" si="0"/>
        <v>6150</v>
      </c>
      <c r="I8" s="104"/>
      <c r="K8" s="104"/>
    </row>
    <row r="9" spans="2:26">
      <c r="B9" s="173">
        <v>8.9999999999999993E-3</v>
      </c>
      <c r="C9" s="174" t="s">
        <v>7</v>
      </c>
      <c r="D9" s="174" t="s">
        <v>158</v>
      </c>
      <c r="E9" s="175">
        <v>300000</v>
      </c>
      <c r="F9" s="140">
        <f t="shared" si="0"/>
        <v>2700</v>
      </c>
      <c r="I9" s="104"/>
    </row>
    <row r="10" spans="2:26">
      <c r="B10" s="173">
        <v>3.2000000000000001E-2</v>
      </c>
      <c r="C10" s="174" t="s">
        <v>7</v>
      </c>
      <c r="D10" s="174" t="s">
        <v>159</v>
      </c>
      <c r="E10" s="175">
        <v>300000</v>
      </c>
      <c r="F10" s="140">
        <f t="shared" si="0"/>
        <v>9600</v>
      </c>
      <c r="I10" s="104"/>
    </row>
    <row r="11" spans="2:26">
      <c r="B11" s="173">
        <v>2.3E-2</v>
      </c>
      <c r="C11" s="174" t="s">
        <v>7</v>
      </c>
      <c r="D11" s="174" t="s">
        <v>160</v>
      </c>
      <c r="E11" s="175">
        <v>500000</v>
      </c>
      <c r="F11" s="140">
        <f t="shared" si="0"/>
        <v>11500</v>
      </c>
      <c r="I11" s="104"/>
    </row>
    <row r="12" spans="2:26">
      <c r="B12" s="173">
        <v>7.1999999999999995E-2</v>
      </c>
      <c r="C12" s="174" t="s">
        <v>161</v>
      </c>
      <c r="D12" s="174" t="s">
        <v>162</v>
      </c>
      <c r="E12" s="175">
        <v>193639</v>
      </c>
      <c r="F12" s="172">
        <f t="shared" si="0"/>
        <v>13942.008</v>
      </c>
      <c r="I12" s="104"/>
    </row>
    <row r="13" spans="2:26">
      <c r="B13" s="173">
        <v>2.4500000000000001E-2</v>
      </c>
      <c r="C13" s="174" t="s">
        <v>7</v>
      </c>
      <c r="D13" s="174" t="s">
        <v>163</v>
      </c>
      <c r="E13" s="175">
        <v>300000</v>
      </c>
      <c r="F13" s="140">
        <f t="shared" si="0"/>
        <v>7350</v>
      </c>
      <c r="I13" s="104"/>
    </row>
    <row r="14" spans="2:26">
      <c r="B14" s="173">
        <v>1.7000000000000001E-2</v>
      </c>
      <c r="C14" s="174" t="s">
        <v>7</v>
      </c>
      <c r="D14" s="174" t="s">
        <v>164</v>
      </c>
      <c r="E14" s="175">
        <v>350000</v>
      </c>
      <c r="F14" s="140">
        <f t="shared" si="0"/>
        <v>5950</v>
      </c>
      <c r="I14" s="104"/>
    </row>
    <row r="15" spans="2:26">
      <c r="B15" s="173">
        <v>3.3750000000000002E-2</v>
      </c>
      <c r="C15" s="174" t="s">
        <v>7</v>
      </c>
      <c r="D15" s="174" t="s">
        <v>165</v>
      </c>
      <c r="E15" s="175">
        <v>300000</v>
      </c>
      <c r="F15" s="140">
        <f t="shared" si="0"/>
        <v>10125</v>
      </c>
      <c r="H15" s="161"/>
      <c r="I15" s="164"/>
      <c r="J15" s="161"/>
      <c r="K15" s="161"/>
      <c r="L15" s="161"/>
      <c r="M15" s="161"/>
      <c r="N15" s="161"/>
      <c r="O15" s="161"/>
      <c r="P15" s="161"/>
      <c r="Q15" s="161"/>
      <c r="R15" s="161"/>
      <c r="S15" s="161"/>
      <c r="T15" s="161"/>
      <c r="U15" s="161"/>
      <c r="V15" s="161"/>
      <c r="W15" s="161"/>
      <c r="X15" s="161"/>
      <c r="Y15" s="161"/>
      <c r="Z15" s="161"/>
    </row>
    <row r="16" spans="2:26">
      <c r="B16" s="173">
        <v>3.125E-2</v>
      </c>
      <c r="C16" s="174" t="s">
        <v>7</v>
      </c>
      <c r="D16" s="174" t="s">
        <v>166</v>
      </c>
      <c r="E16" s="175">
        <v>400000</v>
      </c>
      <c r="F16" s="140">
        <f t="shared" si="0"/>
        <v>12500</v>
      </c>
      <c r="H16" s="162"/>
      <c r="I16" s="161"/>
      <c r="J16" s="162"/>
      <c r="K16" s="161"/>
      <c r="L16" s="162"/>
    </row>
    <row r="17" spans="2:16" ht="12.6">
      <c r="B17" s="173">
        <v>2.6499999999999999E-2</v>
      </c>
      <c r="C17" s="174" t="s">
        <v>7</v>
      </c>
      <c r="D17" s="174" t="s">
        <v>167</v>
      </c>
      <c r="E17" s="175">
        <v>350000</v>
      </c>
      <c r="F17" s="140">
        <f t="shared" si="0"/>
        <v>9275</v>
      </c>
      <c r="G17" s="161"/>
      <c r="H17" s="118"/>
      <c r="I17" s="161"/>
      <c r="J17" s="118"/>
      <c r="K17" s="118"/>
      <c r="L17" s="161"/>
      <c r="M17" s="161"/>
      <c r="N17" s="118"/>
      <c r="O17" s="118"/>
      <c r="P17" s="161"/>
    </row>
    <row r="18" spans="2:16" ht="12.6">
      <c r="D18" s="174" t="s">
        <v>168</v>
      </c>
      <c r="E18" s="172">
        <f>SUM(E6:E17)</f>
        <v>4043639</v>
      </c>
      <c r="F18" s="172">
        <f>SUM(F6:F17)</f>
        <v>112529.508</v>
      </c>
      <c r="G18" s="118"/>
      <c r="H18" s="161"/>
      <c r="I18" s="118"/>
      <c r="J18" s="161"/>
      <c r="K18" s="118"/>
      <c r="L18" s="161"/>
      <c r="M18" s="161"/>
      <c r="N18" s="118"/>
      <c r="O18" s="161"/>
    </row>
    <row r="19" spans="2:16" ht="12.6">
      <c r="H19" s="161"/>
      <c r="I19" s="118"/>
      <c r="J19" s="161"/>
      <c r="K19" s="118"/>
      <c r="L19" s="165"/>
      <c r="M19" s="161"/>
      <c r="N19" s="118"/>
      <c r="O19" s="161"/>
    </row>
    <row r="20" spans="2:16" ht="12.6">
      <c r="G20" s="118"/>
      <c r="H20" s="161"/>
      <c r="I20" s="118"/>
      <c r="J20" s="161"/>
      <c r="K20" s="118"/>
      <c r="L20" s="161"/>
      <c r="M20" s="161"/>
      <c r="N20" s="118"/>
      <c r="O20" s="161"/>
    </row>
    <row r="21" spans="2:16" ht="12.6">
      <c r="D21" s="174" t="s">
        <v>169</v>
      </c>
      <c r="E21" s="169">
        <f>F18/E18</f>
        <v>2.7828772054082969E-2</v>
      </c>
      <c r="G21" s="118"/>
      <c r="H21" s="161"/>
      <c r="I21" s="118"/>
      <c r="J21" s="161"/>
      <c r="K21" s="118"/>
      <c r="L21" s="161"/>
      <c r="M21" s="161"/>
      <c r="N21" s="118"/>
      <c r="O21" s="161"/>
    </row>
    <row r="22" spans="2:16" ht="12.6">
      <c r="D22" s="174" t="s">
        <v>170</v>
      </c>
      <c r="E22" s="140">
        <f>E21*(1-DCF!D17)</f>
        <v>2.2376230991338026E-2</v>
      </c>
      <c r="G22" s="118"/>
      <c r="H22" s="161"/>
      <c r="I22" s="118"/>
      <c r="J22" s="161"/>
      <c r="K22" s="118"/>
      <c r="L22" s="161"/>
      <c r="M22" s="161"/>
      <c r="N22" s="118"/>
      <c r="O22" s="161"/>
    </row>
    <row r="23" spans="2:16" ht="12.6">
      <c r="G23" s="118"/>
      <c r="H23" s="161"/>
      <c r="I23" s="118"/>
      <c r="J23" s="161"/>
      <c r="K23" s="118"/>
      <c r="L23" s="161"/>
      <c r="M23" s="161"/>
      <c r="N23" s="118"/>
      <c r="O23" s="161"/>
    </row>
    <row r="24" spans="2:16" ht="12.6">
      <c r="G24" s="118"/>
      <c r="H24" s="161"/>
      <c r="I24" s="118"/>
      <c r="J24" s="161"/>
      <c r="K24" s="118"/>
      <c r="L24" s="161"/>
      <c r="M24" s="161"/>
      <c r="N24" s="118"/>
      <c r="O24" s="161"/>
    </row>
    <row r="25" spans="2:16" ht="12.6">
      <c r="G25" s="118"/>
      <c r="H25" s="161"/>
      <c r="I25" s="118"/>
      <c r="J25" s="161"/>
      <c r="K25" s="118"/>
      <c r="L25" s="161"/>
      <c r="M25" s="161"/>
      <c r="N25" s="118"/>
      <c r="O25" s="161"/>
    </row>
    <row r="26" spans="2:16" ht="12.6">
      <c r="G26" s="118"/>
      <c r="H26" s="161"/>
      <c r="I26" s="118"/>
      <c r="J26" s="161"/>
      <c r="K26" s="118"/>
      <c r="L26" s="161"/>
      <c r="M26" s="161"/>
      <c r="N26" s="118"/>
      <c r="O26" s="161"/>
    </row>
    <row r="27" spans="2:16" ht="12.6">
      <c r="B27" s="47" t="s">
        <v>25</v>
      </c>
      <c r="C27" s="18"/>
      <c r="D27" s="28"/>
      <c r="E27" s="28"/>
      <c r="F27" s="46"/>
      <c r="G27" s="118"/>
      <c r="H27" s="161"/>
      <c r="I27" s="118"/>
      <c r="J27" s="161"/>
      <c r="K27" s="118"/>
      <c r="L27" s="161"/>
      <c r="M27" s="161"/>
      <c r="N27" s="118"/>
      <c r="O27" s="161"/>
    </row>
    <row r="28" spans="2:16" ht="12.6">
      <c r="B28" s="18"/>
      <c r="C28" s="18"/>
      <c r="D28" s="28"/>
      <c r="E28" s="28"/>
      <c r="F28" s="46"/>
      <c r="G28" s="118"/>
      <c r="H28" s="161"/>
      <c r="I28" s="118"/>
      <c r="J28" s="161"/>
      <c r="K28" s="118"/>
      <c r="L28" s="161"/>
      <c r="M28" s="161"/>
      <c r="N28" s="118"/>
      <c r="O28" s="161"/>
    </row>
    <row r="29" spans="2:16" ht="12.6">
      <c r="B29" s="349" t="s">
        <v>171</v>
      </c>
      <c r="C29" s="350"/>
      <c r="D29" s="350"/>
      <c r="E29" s="177">
        <f>Beta!$H$9+Beta!$H$7*(Beta!$H$8)</f>
        <v>5.4538774093197573E-2</v>
      </c>
      <c r="F29" s="46"/>
      <c r="G29" s="118"/>
      <c r="H29" s="161"/>
      <c r="I29" s="118"/>
      <c r="J29" s="161"/>
      <c r="K29" s="163"/>
      <c r="L29" s="161"/>
      <c r="M29" s="163"/>
    </row>
    <row r="30" spans="2:16" ht="12.6">
      <c r="B30" s="351" t="s">
        <v>172</v>
      </c>
      <c r="C30" s="352"/>
      <c r="D30" s="352"/>
      <c r="E30" s="178">
        <f>'FINANCIAL STATEMENTS'!L60</f>
        <v>0.34818254210991956</v>
      </c>
      <c r="F30" s="46"/>
      <c r="G30" s="116"/>
      <c r="H30" s="161"/>
      <c r="I30" s="118"/>
      <c r="J30" s="161"/>
      <c r="K30" s="163"/>
      <c r="L30" s="161"/>
      <c r="M30" s="163"/>
    </row>
    <row r="31" spans="2:16" ht="12.6">
      <c r="B31" s="351" t="s">
        <v>170</v>
      </c>
      <c r="C31" s="352"/>
      <c r="D31" s="352"/>
      <c r="E31" s="178">
        <f>E22</f>
        <v>2.2376230991338026E-2</v>
      </c>
      <c r="F31" s="46"/>
      <c r="G31" s="118"/>
      <c r="H31" s="161"/>
      <c r="I31" s="161"/>
      <c r="J31" s="161"/>
      <c r="K31" s="163"/>
      <c r="L31" s="161"/>
      <c r="M31" s="163"/>
    </row>
    <row r="32" spans="2:16" ht="12.6">
      <c r="B32" s="345" t="s">
        <v>173</v>
      </c>
      <c r="C32" s="346"/>
      <c r="D32" s="346"/>
      <c r="E32" s="179">
        <f>'FINANCIAL STATEMENTS'!L61</f>
        <v>0.65181745789008039</v>
      </c>
      <c r="F32" s="46"/>
      <c r="G32" s="118"/>
      <c r="H32" s="161"/>
      <c r="I32" s="161"/>
      <c r="J32" s="161"/>
      <c r="K32" s="163"/>
      <c r="L32" s="161"/>
      <c r="M32" s="163"/>
    </row>
    <row r="33" spans="2:15" ht="12.6">
      <c r="B33" s="18"/>
      <c r="C33" s="18"/>
      <c r="D33" s="28"/>
      <c r="E33" s="168"/>
      <c r="F33" s="46"/>
      <c r="G33" s="118"/>
      <c r="H33" s="161"/>
      <c r="I33" s="161"/>
      <c r="J33" s="161"/>
      <c r="K33" s="118"/>
      <c r="L33" s="161"/>
      <c r="M33" s="161"/>
      <c r="N33" s="118"/>
      <c r="O33" s="161"/>
    </row>
    <row r="34" spans="2:15" ht="12.6">
      <c r="B34" s="18"/>
      <c r="C34" s="18"/>
      <c r="D34" s="41" t="s">
        <v>25</v>
      </c>
      <c r="E34" s="176">
        <f>(E29*E30)+(E31*E32)</f>
        <v>3.3574667009263343E-2</v>
      </c>
      <c r="F34" s="46"/>
      <c r="I34" s="161"/>
      <c r="J34" s="161"/>
      <c r="K34" s="163"/>
      <c r="L34" s="161"/>
      <c r="M34" s="118"/>
    </row>
    <row r="35" spans="2:15">
      <c r="B35" s="18"/>
      <c r="C35" s="18"/>
      <c r="D35" s="28"/>
      <c r="E35" s="28"/>
      <c r="F35" s="46"/>
    </row>
    <row r="36" spans="2:15">
      <c r="B36" s="18"/>
      <c r="C36" s="18"/>
      <c r="F36" s="22"/>
    </row>
  </sheetData>
  <mergeCells count="6">
    <mergeCell ref="B32:D32"/>
    <mergeCell ref="B4:C4"/>
    <mergeCell ref="B2:F2"/>
    <mergeCell ref="B29:D29"/>
    <mergeCell ref="B30:D30"/>
    <mergeCell ref="B31:D3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84270-76FF-4D21-BEBC-F0F3556AEAD6}">
  <dimension ref="B1:U103"/>
  <sheetViews>
    <sheetView showGridLines="0" zoomScale="47" zoomScaleNormal="100" workbookViewId="0">
      <pane ySplit="5" topLeftCell="A45" activePane="bottomLeft" state="frozen"/>
      <selection pane="bottomLeft" activeCell="D84" sqref="D84"/>
    </sheetView>
  </sheetViews>
  <sheetFormatPr defaultColWidth="9.140625" defaultRowHeight="12.4"/>
  <cols>
    <col min="1" max="1" width="7.42578125" style="29" customWidth="1"/>
    <col min="2" max="2" width="69.28515625" style="29" bestFit="1" customWidth="1"/>
    <col min="3" max="8" width="14" style="29" customWidth="1"/>
    <col min="9" max="9" width="12" style="29" bestFit="1" customWidth="1"/>
    <col min="10" max="10" width="11.42578125" style="29" customWidth="1"/>
    <col min="11" max="11" width="14.42578125" style="29" customWidth="1"/>
    <col min="12" max="12" width="16.28515625" style="29" bestFit="1" customWidth="1"/>
    <col min="13" max="13" width="11.42578125" style="29" customWidth="1"/>
    <col min="14" max="14" width="15.85546875" style="29" customWidth="1"/>
    <col min="15" max="15" width="11.42578125" style="29" customWidth="1"/>
    <col min="16" max="16384" width="9.140625" style="29"/>
  </cols>
  <sheetData>
    <row r="1" spans="2:12" ht="12.95" customHeight="1">
      <c r="B1" s="334" t="s">
        <v>174</v>
      </c>
      <c r="C1" s="334"/>
      <c r="D1" s="334"/>
      <c r="E1" s="334"/>
      <c r="F1" s="334"/>
      <c r="G1" s="334"/>
      <c r="H1" s="334"/>
      <c r="I1" s="137"/>
      <c r="J1" s="18"/>
      <c r="K1" s="18"/>
      <c r="L1" s="18"/>
    </row>
    <row r="2" spans="2:12" ht="12.95" customHeight="1">
      <c r="B2" s="334"/>
      <c r="C2" s="334"/>
      <c r="D2" s="334"/>
      <c r="E2" s="334"/>
      <c r="F2" s="334"/>
      <c r="G2" s="334"/>
      <c r="H2" s="334"/>
      <c r="I2" s="18"/>
      <c r="J2" s="18"/>
      <c r="K2" s="18"/>
    </row>
    <row r="3" spans="2:12" ht="12.95" customHeight="1">
      <c r="B3" s="337" t="s">
        <v>34</v>
      </c>
      <c r="C3" s="334"/>
      <c r="D3" s="334">
        <v>2022</v>
      </c>
      <c r="E3" s="334">
        <f t="shared" ref="E3:H3" si="0">+D3+1</f>
        <v>2023</v>
      </c>
      <c r="F3" s="334">
        <f t="shared" si="0"/>
        <v>2024</v>
      </c>
      <c r="G3" s="334">
        <f t="shared" si="0"/>
        <v>2025</v>
      </c>
      <c r="H3" s="334">
        <f t="shared" si="0"/>
        <v>2026</v>
      </c>
      <c r="I3" s="30"/>
      <c r="J3" s="30"/>
      <c r="K3" s="30"/>
    </row>
    <row r="4" spans="2:12" ht="12.95" customHeight="1">
      <c r="B4" s="337"/>
      <c r="C4" s="334"/>
      <c r="D4" s="334"/>
      <c r="E4" s="334"/>
      <c r="F4" s="334"/>
      <c r="G4" s="334"/>
      <c r="H4" s="334"/>
      <c r="I4" s="30"/>
    </row>
    <row r="5" spans="2:12" ht="12.95" customHeight="1">
      <c r="B5" s="337"/>
      <c r="C5" s="334"/>
      <c r="D5" s="334"/>
      <c r="E5" s="334"/>
      <c r="F5" s="334"/>
      <c r="G5" s="334"/>
      <c r="H5" s="334"/>
    </row>
    <row r="6" spans="2:12" ht="20.100000000000001">
      <c r="B6" s="200"/>
      <c r="C6" s="200"/>
      <c r="D6" s="200"/>
      <c r="E6" s="200"/>
      <c r="F6" s="200"/>
      <c r="G6" s="200"/>
      <c r="H6" s="200"/>
    </row>
    <row r="7" spans="2:12">
      <c r="B7" s="15" t="s">
        <v>175</v>
      </c>
      <c r="C7" s="31"/>
      <c r="D7" s="31"/>
      <c r="E7" s="31"/>
      <c r="F7" s="31"/>
      <c r="G7" s="31"/>
      <c r="H7" s="31"/>
      <c r="I7" s="18"/>
      <c r="J7" s="18"/>
      <c r="K7" s="18"/>
    </row>
    <row r="8" spans="2:12">
      <c r="B8" s="18"/>
      <c r="C8" s="18"/>
      <c r="D8" s="33"/>
      <c r="E8" s="33"/>
      <c r="F8" s="33"/>
      <c r="G8" s="33"/>
      <c r="H8" s="33"/>
      <c r="I8" s="18"/>
      <c r="J8" s="18"/>
      <c r="K8" s="18"/>
    </row>
    <row r="9" spans="2:12">
      <c r="B9" s="34"/>
      <c r="C9" s="35"/>
      <c r="D9" s="36"/>
      <c r="E9" s="36"/>
      <c r="F9" s="36"/>
      <c r="G9" s="36"/>
      <c r="H9" s="36"/>
      <c r="I9" s="18"/>
      <c r="J9" s="18"/>
      <c r="K9" s="18"/>
    </row>
    <row r="10" spans="2:12">
      <c r="B10" s="19" t="s">
        <v>176</v>
      </c>
      <c r="C10" s="16"/>
      <c r="D10" s="37">
        <f>'FINANCIAL STATEMENTS'!$P$13</f>
        <v>4.5753289945549669E-2</v>
      </c>
      <c r="E10" s="37">
        <f>'FINANCIAL STATEMENTS'!$P$13</f>
        <v>4.5753289945549669E-2</v>
      </c>
      <c r="F10" s="37">
        <f>'FINANCIAL STATEMENTS'!$P$13</f>
        <v>4.5753289945549669E-2</v>
      </c>
      <c r="G10" s="37">
        <f>'FINANCIAL STATEMENTS'!$P$13</f>
        <v>4.5753289945549669E-2</v>
      </c>
      <c r="H10" s="37">
        <f>'FINANCIAL STATEMENTS'!$P$13</f>
        <v>4.5753289945549669E-2</v>
      </c>
      <c r="I10" s="158" t="s">
        <v>177</v>
      </c>
      <c r="J10" s="16"/>
      <c r="K10" s="16"/>
    </row>
    <row r="11" spans="2:12">
      <c r="B11" s="19" t="s">
        <v>178</v>
      </c>
      <c r="C11" s="19"/>
      <c r="D11" s="37">
        <f>'FINANCIAL STATEMENTS'!$P$14</f>
        <v>0.54445972509619411</v>
      </c>
      <c r="E11" s="37">
        <f>'FINANCIAL STATEMENTS'!$P$14</f>
        <v>0.54445972509619411</v>
      </c>
      <c r="F11" s="37">
        <f>'FINANCIAL STATEMENTS'!$P$14</f>
        <v>0.54445972509619411</v>
      </c>
      <c r="G11" s="37">
        <f>'FINANCIAL STATEMENTS'!$P$14</f>
        <v>0.54445972509619411</v>
      </c>
      <c r="H11" s="37">
        <f>'FINANCIAL STATEMENTS'!$P$14</f>
        <v>0.54445972509619411</v>
      </c>
      <c r="I11" s="158" t="s">
        <v>179</v>
      </c>
      <c r="J11" s="38"/>
      <c r="K11" s="19"/>
    </row>
    <row r="12" spans="2:12">
      <c r="B12" s="19" t="s">
        <v>180</v>
      </c>
      <c r="C12" s="19"/>
      <c r="D12" s="37">
        <f>'FINANCIAL STATEMENTS'!$P$17</f>
        <v>0.23705570546438884</v>
      </c>
      <c r="E12" s="37">
        <f>'FINANCIAL STATEMENTS'!$P$17</f>
        <v>0.23705570546438884</v>
      </c>
      <c r="F12" s="37">
        <f>'FINANCIAL STATEMENTS'!$P$17</f>
        <v>0.23705570546438884</v>
      </c>
      <c r="G12" s="37">
        <f>'FINANCIAL STATEMENTS'!$P$17</f>
        <v>0.23705570546438884</v>
      </c>
      <c r="H12" s="37">
        <f>'FINANCIAL STATEMENTS'!$P$17</f>
        <v>0.23705570546438884</v>
      </c>
      <c r="I12" s="158" t="s">
        <v>181</v>
      </c>
      <c r="J12" s="16"/>
      <c r="K12" s="16"/>
    </row>
    <row r="13" spans="2:12">
      <c r="B13" s="19" t="s">
        <v>182</v>
      </c>
      <c r="C13" s="19"/>
      <c r="D13" s="37">
        <v>3.5900000000000001E-2</v>
      </c>
      <c r="E13" s="37">
        <v>3.5900000000000001E-2</v>
      </c>
      <c r="F13" s="37">
        <v>3.5900000000000001E-2</v>
      </c>
      <c r="G13" s="37">
        <v>3.5900000000000001E-2</v>
      </c>
      <c r="H13" s="37">
        <v>3.5900000000000001E-2</v>
      </c>
      <c r="I13" s="158" t="s">
        <v>183</v>
      </c>
      <c r="J13" s="38"/>
      <c r="K13" s="19"/>
    </row>
    <row r="14" spans="2:12">
      <c r="B14" s="19" t="s">
        <v>45</v>
      </c>
      <c r="C14" s="19"/>
      <c r="D14" s="37">
        <f>'FINANCIAL STATEMENTS'!$P$19</f>
        <v>2.497257394335815E-3</v>
      </c>
      <c r="E14" s="37">
        <f>'FINANCIAL STATEMENTS'!$P$19</f>
        <v>2.497257394335815E-3</v>
      </c>
      <c r="F14" s="37">
        <f>'FINANCIAL STATEMENTS'!$P$19</f>
        <v>2.497257394335815E-3</v>
      </c>
      <c r="G14" s="37">
        <f>'FINANCIAL STATEMENTS'!$P$19</f>
        <v>2.497257394335815E-3</v>
      </c>
      <c r="H14" s="37">
        <f>'FINANCIAL STATEMENTS'!$P$19</f>
        <v>2.497257394335815E-3</v>
      </c>
      <c r="I14" s="158" t="s">
        <v>184</v>
      </c>
      <c r="J14" s="38"/>
      <c r="K14" s="19"/>
    </row>
    <row r="15" spans="2:12">
      <c r="B15" s="19" t="s">
        <v>185</v>
      </c>
      <c r="C15" s="19"/>
      <c r="D15" s="37">
        <f>'FINANCIAL STATEMENTS'!$P$22</f>
        <v>7.9356258238167471E-2</v>
      </c>
      <c r="E15" s="37">
        <f>'FINANCIAL STATEMENTS'!$P$22</f>
        <v>7.9356258238167471E-2</v>
      </c>
      <c r="F15" s="37">
        <f>'FINANCIAL STATEMENTS'!$P$22</f>
        <v>7.9356258238167471E-2</v>
      </c>
      <c r="G15" s="37">
        <f>'FINANCIAL STATEMENTS'!$P$22</f>
        <v>7.9356258238167471E-2</v>
      </c>
      <c r="H15" s="37">
        <f>'FINANCIAL STATEMENTS'!$P$22</f>
        <v>7.9356258238167471E-2</v>
      </c>
      <c r="I15" s="158" t="s">
        <v>186</v>
      </c>
      <c r="J15" s="26"/>
      <c r="K15" s="19"/>
    </row>
    <row r="16" spans="2:12">
      <c r="B16" s="19" t="s">
        <v>187</v>
      </c>
      <c r="C16" s="19"/>
      <c r="D16" s="37">
        <f>'FINANCIAL STATEMENTS'!$P$23</f>
        <v>6.1191169088386635E-2</v>
      </c>
      <c r="E16" s="37">
        <f>'FINANCIAL STATEMENTS'!$P$23</f>
        <v>6.1191169088386635E-2</v>
      </c>
      <c r="F16" s="37">
        <f>'FINANCIAL STATEMENTS'!$P$23</f>
        <v>6.1191169088386635E-2</v>
      </c>
      <c r="G16" s="37">
        <f>'FINANCIAL STATEMENTS'!$P$23</f>
        <v>6.1191169088386635E-2</v>
      </c>
      <c r="H16" s="37">
        <f>'FINANCIAL STATEMENTS'!$P$23</f>
        <v>6.1191169088386635E-2</v>
      </c>
      <c r="I16" s="158" t="s">
        <v>188</v>
      </c>
      <c r="J16" s="26"/>
      <c r="K16" s="19"/>
    </row>
    <row r="17" spans="2:11" ht="12.6">
      <c r="B17" s="19" t="s">
        <v>189</v>
      </c>
      <c r="C17" s="39"/>
      <c r="D17" s="37">
        <f>'FINANCIAL STATEMENTS'!$P$26</f>
        <v>0.19593178786862642</v>
      </c>
      <c r="E17" s="37">
        <f>'FINANCIAL STATEMENTS'!$P$26</f>
        <v>0.19593178786862642</v>
      </c>
      <c r="F17" s="37">
        <f>'FINANCIAL STATEMENTS'!$P$26</f>
        <v>0.19593178786862642</v>
      </c>
      <c r="G17" s="37">
        <f>'FINANCIAL STATEMENTS'!$P$26</f>
        <v>0.19593178786862642</v>
      </c>
      <c r="H17" s="37">
        <f>'FINANCIAL STATEMENTS'!$P$26</f>
        <v>0.19593178786862642</v>
      </c>
      <c r="I17" s="158" t="s">
        <v>190</v>
      </c>
      <c r="J17" s="26"/>
      <c r="K17" s="19"/>
    </row>
    <row r="18" spans="2:11">
      <c r="B18" s="19" t="s">
        <v>191</v>
      </c>
      <c r="C18" s="18"/>
      <c r="D18" s="33">
        <f>1.14*'FINANCIAL STATEMENTS'!H101</f>
        <v>-565299.77999999991</v>
      </c>
      <c r="E18" s="33">
        <f>1.14*D18</f>
        <v>-644441.74919999985</v>
      </c>
      <c r="F18" s="33">
        <f t="shared" ref="F18:G18" si="1">1.14*E18</f>
        <v>-734663.59408799978</v>
      </c>
      <c r="G18" s="33">
        <f t="shared" si="1"/>
        <v>-837516.49726031965</v>
      </c>
      <c r="H18" s="33">
        <f>1.14*G18</f>
        <v>-954768.80687676428</v>
      </c>
      <c r="I18" s="158" t="s">
        <v>192</v>
      </c>
      <c r="J18" s="26"/>
      <c r="K18" s="19"/>
    </row>
    <row r="19" spans="2:11">
      <c r="B19" s="19" t="s">
        <v>193</v>
      </c>
      <c r="C19" s="18"/>
      <c r="D19" s="33">
        <f>'FINANCIAL STATEMENTS'!$P$37</f>
        <v>27.452120316251467</v>
      </c>
      <c r="E19" s="33">
        <f>'FINANCIAL STATEMENTS'!$P$37</f>
        <v>27.452120316251467</v>
      </c>
      <c r="F19" s="33">
        <f>'FINANCIAL STATEMENTS'!$P$37</f>
        <v>27.452120316251467</v>
      </c>
      <c r="G19" s="33">
        <f>'FINANCIAL STATEMENTS'!$P$37</f>
        <v>27.452120316251467</v>
      </c>
      <c r="H19" s="33">
        <f>'FINANCIAL STATEMENTS'!$P$37</f>
        <v>27.452120316251467</v>
      </c>
      <c r="I19" s="158" t="s">
        <v>194</v>
      </c>
      <c r="J19" s="26"/>
      <c r="K19" s="19"/>
    </row>
    <row r="20" spans="2:11">
      <c r="B20" s="19" t="s">
        <v>195</v>
      </c>
      <c r="C20" s="18"/>
      <c r="D20" s="33">
        <f>'FINANCIAL STATEMENTS'!$P$38</f>
        <v>25.653162671957922</v>
      </c>
      <c r="E20" s="33">
        <f>'FINANCIAL STATEMENTS'!$P$38</f>
        <v>25.653162671957922</v>
      </c>
      <c r="F20" s="33">
        <f>'FINANCIAL STATEMENTS'!$P$38</f>
        <v>25.653162671957922</v>
      </c>
      <c r="G20" s="33">
        <f>'FINANCIAL STATEMENTS'!$P$38</f>
        <v>25.653162671957922</v>
      </c>
      <c r="H20" s="33">
        <f>'FINANCIAL STATEMENTS'!$P$38</f>
        <v>25.653162671957922</v>
      </c>
      <c r="I20" s="158" t="s">
        <v>196</v>
      </c>
      <c r="J20" s="26"/>
      <c r="K20" s="19"/>
    </row>
    <row r="21" spans="2:11">
      <c r="B21" s="18" t="s">
        <v>63</v>
      </c>
      <c r="C21" s="18"/>
      <c r="D21" s="33">
        <f>'FINANCIAL STATEMENTS'!$P$39</f>
        <v>38.798910263358216</v>
      </c>
      <c r="E21" s="33">
        <f>'FINANCIAL STATEMENTS'!$P$39</f>
        <v>38.798910263358216</v>
      </c>
      <c r="F21" s="33">
        <f>'FINANCIAL STATEMENTS'!$P$39</f>
        <v>38.798910263358216</v>
      </c>
      <c r="G21" s="33">
        <f>'FINANCIAL STATEMENTS'!$P$39</f>
        <v>38.798910263358216</v>
      </c>
      <c r="H21" s="33">
        <f>'FINANCIAL STATEMENTS'!$P$39</f>
        <v>38.798910263358216</v>
      </c>
      <c r="I21" s="158" t="s">
        <v>197</v>
      </c>
      <c r="J21" s="26"/>
      <c r="K21" s="19"/>
    </row>
    <row r="22" spans="2:11">
      <c r="B22" s="18" t="s">
        <v>198</v>
      </c>
      <c r="C22" s="18"/>
      <c r="D22" s="33">
        <v>365</v>
      </c>
      <c r="E22" s="33">
        <v>365</v>
      </c>
      <c r="F22" s="33">
        <v>365</v>
      </c>
      <c r="G22" s="33">
        <v>365</v>
      </c>
      <c r="H22" s="33">
        <v>365</v>
      </c>
      <c r="I22" s="158" t="s">
        <v>199</v>
      </c>
      <c r="J22" s="16"/>
      <c r="K22" s="16"/>
    </row>
    <row r="24" spans="2:11">
      <c r="B24" s="18"/>
      <c r="C24" s="18"/>
      <c r="D24" s="33"/>
      <c r="E24" s="33"/>
      <c r="F24" s="33"/>
      <c r="G24" s="33"/>
      <c r="H24" s="33"/>
    </row>
    <row r="25" spans="2:11">
      <c r="B25" s="18"/>
      <c r="C25" s="18"/>
      <c r="D25" s="33"/>
      <c r="E25" s="33"/>
      <c r="F25" s="33"/>
      <c r="G25" s="33"/>
      <c r="H25" s="33"/>
    </row>
    <row r="26" spans="2:11">
      <c r="B26" s="131" t="s">
        <v>36</v>
      </c>
      <c r="C26" s="31"/>
      <c r="D26" s="31"/>
      <c r="E26" s="31"/>
      <c r="F26" s="31"/>
      <c r="G26" s="31"/>
      <c r="H26" s="31"/>
    </row>
    <row r="27" spans="2:11">
      <c r="B27" s="132"/>
      <c r="C27" s="16"/>
      <c r="D27" s="40"/>
      <c r="E27" s="40"/>
      <c r="F27" s="40"/>
      <c r="G27" s="40"/>
      <c r="H27" s="40"/>
    </row>
    <row r="28" spans="2:11">
      <c r="B28" s="133" t="s">
        <v>39</v>
      </c>
      <c r="C28" s="17"/>
      <c r="D28" s="81">
        <f>'FINANCIAL STATEMENTS'!H13*(1+DCF!D10)</f>
        <v>9381805.1829602383</v>
      </c>
      <c r="E28" s="81">
        <f>D28*((1+E10))</f>
        <v>9811053.6357088797</v>
      </c>
      <c r="F28" s="81">
        <f>E28*((1+F10))</f>
        <v>10259941.617374808</v>
      </c>
      <c r="G28" s="81">
        <f>F28*((1+G10))</f>
        <v>10729367.70101897</v>
      </c>
      <c r="H28" s="81">
        <f>G28*((1+H10))</f>
        <v>11220271.572376108</v>
      </c>
    </row>
    <row r="29" spans="2:11">
      <c r="B29" s="134" t="s">
        <v>40</v>
      </c>
      <c r="C29" s="19"/>
      <c r="D29" s="81">
        <f>D28*(D11)</f>
        <v>5108015.0708205802</v>
      </c>
      <c r="E29" s="81">
        <f>E28*(E11)</f>
        <v>5341723.5654020729</v>
      </c>
      <c r="F29" s="81">
        <f>F28*(F11)</f>
        <v>5586124.9924988886</v>
      </c>
      <c r="G29" s="81">
        <f>G28*(G11)</f>
        <v>5841708.5889527733</v>
      </c>
      <c r="H29" s="81">
        <f>H28*(H11)</f>
        <v>6108985.9758005375</v>
      </c>
    </row>
    <row r="30" spans="2:11" ht="12.6" thickBot="1">
      <c r="B30" s="135" t="s">
        <v>41</v>
      </c>
      <c r="C30" s="16"/>
      <c r="D30" s="135">
        <f t="shared" ref="D30:H30" si="2">D28-D29</f>
        <v>4273790.1121396581</v>
      </c>
      <c r="E30" s="135">
        <f t="shared" si="2"/>
        <v>4469330.0703068068</v>
      </c>
      <c r="F30" s="135">
        <f t="shared" si="2"/>
        <v>4673816.624875919</v>
      </c>
      <c r="G30" s="135">
        <f t="shared" si="2"/>
        <v>4887659.1120661972</v>
      </c>
      <c r="H30" s="135">
        <f t="shared" si="2"/>
        <v>5111285.5965755703</v>
      </c>
    </row>
    <row r="31" spans="2:11" ht="12.6" thickTop="1">
      <c r="B31" s="136" t="s">
        <v>42</v>
      </c>
      <c r="C31" s="16"/>
      <c r="D31" s="42"/>
      <c r="E31" s="42"/>
      <c r="F31" s="42"/>
      <c r="G31" s="40"/>
      <c r="H31" s="40"/>
    </row>
    <row r="32" spans="2:11">
      <c r="B32" s="70" t="s">
        <v>43</v>
      </c>
      <c r="C32" s="19"/>
      <c r="D32" s="81">
        <f>D28*D12</f>
        <v>2224010.4461760987</v>
      </c>
      <c r="E32" s="81">
        <f>E28*E12</f>
        <v>2325766.2409619256</v>
      </c>
      <c r="F32" s="81">
        <f>F28*F12</f>
        <v>2432177.6981302276</v>
      </c>
      <c r="G32" s="81">
        <f>G28*G12</f>
        <v>2543457.8295518798</v>
      </c>
      <c r="H32" s="81">
        <f>H28*H12</f>
        <v>2659829.3930916456</v>
      </c>
    </row>
    <row r="33" spans="2:8">
      <c r="B33" s="70" t="s">
        <v>200</v>
      </c>
      <c r="C33" s="19"/>
      <c r="D33" s="81">
        <f>D28*D13</f>
        <v>336806.80606827256</v>
      </c>
      <c r="E33" s="81">
        <f>E28*E13</f>
        <v>352216.82552194881</v>
      </c>
      <c r="F33" s="81">
        <f>F28*F13</f>
        <v>368331.90406375559</v>
      </c>
      <c r="G33" s="81">
        <f>G28*G13</f>
        <v>385184.30046658107</v>
      </c>
      <c r="H33" s="81">
        <f>H28*H13</f>
        <v>402807.74944830226</v>
      </c>
    </row>
    <row r="34" spans="2:8">
      <c r="B34" s="70" t="s">
        <v>45</v>
      </c>
      <c r="C34" s="19"/>
      <c r="D34" s="81">
        <f>D28*D14</f>
        <v>23428.782365365529</v>
      </c>
      <c r="E34" s="81">
        <f t="shared" ref="E34:H34" si="3">E28*E14</f>
        <v>24500.726237999283</v>
      </c>
      <c r="F34" s="81">
        <f t="shared" si="3"/>
        <v>25621.715069442998</v>
      </c>
      <c r="G34" s="81">
        <f t="shared" si="3"/>
        <v>26793.992827917489</v>
      </c>
      <c r="H34" s="81">
        <f t="shared" si="3"/>
        <v>28019.906150572177</v>
      </c>
    </row>
    <row r="35" spans="2:8" ht="12.6" thickBot="1">
      <c r="B35" s="135" t="s">
        <v>46</v>
      </c>
      <c r="C35" s="19"/>
      <c r="D35" s="135">
        <f>D30-SUM(D32:D34)</f>
        <v>1689544.0775299217</v>
      </c>
      <c r="E35" s="135">
        <f t="shared" ref="E35:H35" si="4">E30-SUM(E32:E34)</f>
        <v>1766846.2775849332</v>
      </c>
      <c r="F35" s="135">
        <f t="shared" si="4"/>
        <v>1847685.3076124927</v>
      </c>
      <c r="G35" s="135">
        <f t="shared" si="4"/>
        <v>1932222.9892198187</v>
      </c>
      <c r="H35" s="135">
        <f t="shared" si="4"/>
        <v>2020628.5478850505</v>
      </c>
    </row>
    <row r="36" spans="2:8" ht="12.6" thickTop="1">
      <c r="B36" s="136"/>
      <c r="C36" s="16"/>
      <c r="D36" s="43"/>
      <c r="E36" s="43"/>
      <c r="F36" s="43"/>
      <c r="G36" s="43"/>
      <c r="H36" s="43"/>
    </row>
    <row r="37" spans="2:8">
      <c r="B37" s="70" t="s">
        <v>47</v>
      </c>
      <c r="C37" s="19"/>
      <c r="D37" s="81">
        <f>D35*D15</f>
        <v>134075.89612123091</v>
      </c>
      <c r="E37" s="81">
        <f t="shared" ref="E37:H37" si="5">E35*E15</f>
        <v>140210.3094711749</v>
      </c>
      <c r="F37" s="81">
        <f t="shared" si="5"/>
        <v>146625.39241376487</v>
      </c>
      <c r="G37" s="81">
        <f t="shared" si="5"/>
        <v>153333.98650625182</v>
      </c>
      <c r="H37" s="81">
        <f t="shared" si="5"/>
        <v>160349.52084937942</v>
      </c>
    </row>
    <row r="38" spans="2:8">
      <c r="B38" s="70" t="s">
        <v>48</v>
      </c>
      <c r="C38" s="19"/>
      <c r="D38" s="81">
        <f>D35*D16</f>
        <v>103385.17733041565</v>
      </c>
      <c r="E38" s="81">
        <f t="shared" ref="E38:H38" si="6">E35*E16</f>
        <v>108115.38932488616</v>
      </c>
      <c r="F38" s="81">
        <f t="shared" si="6"/>
        <v>113062.02408024372</v>
      </c>
      <c r="G38" s="81">
        <f t="shared" si="6"/>
        <v>118234.98364981779</v>
      </c>
      <c r="H38" s="81">
        <f t="shared" si="6"/>
        <v>123644.62313845528</v>
      </c>
    </row>
    <row r="39" spans="2:8" ht="12.6" thickBot="1">
      <c r="B39" s="135" t="s">
        <v>49</v>
      </c>
      <c r="C39" s="19"/>
      <c r="D39" s="135">
        <f>D35-SUM(D37:D38)</f>
        <v>1452083.0040782751</v>
      </c>
      <c r="E39" s="135">
        <f t="shared" ref="E39:H39" si="7">E35-SUM(E37:E38)</f>
        <v>1518520.5787888721</v>
      </c>
      <c r="F39" s="135">
        <f t="shared" si="7"/>
        <v>1587997.8911184841</v>
      </c>
      <c r="G39" s="135">
        <f t="shared" si="7"/>
        <v>1660654.0190637491</v>
      </c>
      <c r="H39" s="135">
        <f t="shared" si="7"/>
        <v>1736634.4038972158</v>
      </c>
    </row>
    <row r="40" spans="2:8" ht="12.6" thickTop="1">
      <c r="B40" s="136"/>
      <c r="C40" s="19"/>
      <c r="D40" s="44"/>
      <c r="E40" s="44"/>
      <c r="F40" s="44"/>
      <c r="G40" s="44"/>
      <c r="H40" s="44"/>
    </row>
    <row r="41" spans="2:8">
      <c r="B41" s="70" t="s">
        <v>201</v>
      </c>
      <c r="C41" s="16"/>
      <c r="D41" s="81">
        <f>D17*D39</f>
        <v>284509.21912270237</v>
      </c>
      <c r="E41" s="81">
        <f t="shared" ref="E41:H41" si="8">E17*E39</f>
        <v>297526.45191740512</v>
      </c>
      <c r="F41" s="81">
        <f t="shared" si="8"/>
        <v>311139.26593845291</v>
      </c>
      <c r="G41" s="81">
        <f t="shared" si="8"/>
        <v>325374.91098638036</v>
      </c>
      <c r="H41" s="81">
        <f t="shared" si="8"/>
        <v>340261.88362974778</v>
      </c>
    </row>
    <row r="42" spans="2:8">
      <c r="B42" s="70"/>
      <c r="C42" s="19"/>
      <c r="D42" s="45"/>
      <c r="E42" s="45"/>
      <c r="F42" s="45"/>
      <c r="G42" s="45"/>
      <c r="H42" s="45"/>
    </row>
    <row r="43" spans="2:8" ht="12.6" thickBot="1">
      <c r="B43" s="102" t="s">
        <v>202</v>
      </c>
      <c r="C43" s="16"/>
      <c r="D43" s="159">
        <f>D39-D41</f>
        <v>1167573.7849555728</v>
      </c>
      <c r="E43" s="159">
        <f t="shared" ref="E43:H43" si="9">E39-E41</f>
        <v>1220994.1268714671</v>
      </c>
      <c r="F43" s="159">
        <f t="shared" si="9"/>
        <v>1276858.6251800312</v>
      </c>
      <c r="G43" s="159">
        <f t="shared" si="9"/>
        <v>1335279.1080773687</v>
      </c>
      <c r="H43" s="159">
        <f t="shared" si="9"/>
        <v>1396372.5202674679</v>
      </c>
    </row>
    <row r="44" spans="2:8" ht="12.6" collapsed="1" thickTop="1">
      <c r="B44" s="18"/>
      <c r="C44" s="19"/>
      <c r="D44" s="18"/>
      <c r="E44" s="18"/>
      <c r="F44" s="18"/>
      <c r="G44" s="18"/>
      <c r="H44" s="18"/>
    </row>
    <row r="45" spans="2:8">
      <c r="B45" s="18"/>
      <c r="C45" s="19"/>
      <c r="D45" s="18"/>
      <c r="E45" s="18"/>
      <c r="F45" s="18"/>
      <c r="G45" s="18"/>
      <c r="H45" s="18"/>
    </row>
    <row r="46" spans="2:8">
      <c r="B46" s="18"/>
      <c r="C46" s="18"/>
      <c r="D46" s="18"/>
      <c r="E46" s="18"/>
      <c r="F46" s="18"/>
      <c r="G46" s="18"/>
      <c r="H46" s="18"/>
    </row>
    <row r="47" spans="2:8">
      <c r="B47" s="18"/>
      <c r="C47" s="18"/>
      <c r="D47" s="18"/>
      <c r="E47" s="18"/>
      <c r="F47" s="18"/>
      <c r="G47" s="18"/>
      <c r="H47" s="18"/>
    </row>
    <row r="48" spans="2:8">
      <c r="B48" s="15" t="s">
        <v>203</v>
      </c>
      <c r="C48" s="170"/>
      <c r="D48" s="31"/>
      <c r="E48" s="31"/>
      <c r="F48" s="31"/>
      <c r="G48" s="31"/>
      <c r="H48" s="31"/>
    </row>
    <row r="49" spans="2:16">
      <c r="B49" s="18"/>
      <c r="C49" s="18"/>
      <c r="D49" s="18"/>
      <c r="E49" s="18"/>
      <c r="F49" s="18"/>
      <c r="G49" s="18"/>
      <c r="H49" s="18"/>
    </row>
    <row r="50" spans="2:16">
      <c r="B50" s="34" t="s">
        <v>204</v>
      </c>
      <c r="C50" s="19"/>
      <c r="D50" s="18"/>
      <c r="E50" s="18"/>
      <c r="F50" s="18"/>
      <c r="G50" s="18"/>
      <c r="H50" s="18"/>
    </row>
    <row r="51" spans="2:16">
      <c r="B51" s="18" t="s">
        <v>205</v>
      </c>
      <c r="C51" s="19"/>
      <c r="D51" s="81">
        <f>($D$19/$D$22)*$D$28</f>
        <v>705617.65661987965</v>
      </c>
      <c r="E51" s="81">
        <f>(E$19/E22)*E$28</f>
        <v>737901.98585390835</v>
      </c>
      <c r="F51" s="81">
        <f>(F$19/F22)*F$28</f>
        <v>771663.42936407914</v>
      </c>
      <c r="G51" s="81">
        <f>(G$19/G22)*G$28</f>
        <v>806969.5699881512</v>
      </c>
      <c r="H51" s="81">
        <f>(H$19/H22)*H$28</f>
        <v>843891.08270105463</v>
      </c>
    </row>
    <row r="52" spans="2:16">
      <c r="B52" s="18" t="s">
        <v>72</v>
      </c>
      <c r="C52" s="19"/>
      <c r="D52" s="81">
        <f>(D$20/D$22)*D$28</f>
        <v>659378.01237012853</v>
      </c>
      <c r="E52" s="81">
        <f>(E$20/E$22)*E$28</f>
        <v>689546.72575381934</v>
      </c>
      <c r="F52" s="81">
        <f>(F$20/F$22)*F$28</f>
        <v>721095.75702823827</v>
      </c>
      <c r="G52" s="81">
        <f>(G$20/G$22)*G$28</f>
        <v>754088.26027805707</v>
      </c>
      <c r="H52" s="81">
        <f>(H$20/H$22)*H$28</f>
        <v>788590.27909509419</v>
      </c>
    </row>
    <row r="53" spans="2:16">
      <c r="B53" s="18" t="s">
        <v>60</v>
      </c>
      <c r="D53" s="81">
        <f>(D$21/D$22)*D$28</f>
        <v>997270.73260817339</v>
      </c>
      <c r="E53" s="81">
        <f>(E$21/E$22)*E$28</f>
        <v>1042899.149591406</v>
      </c>
      <c r="F53" s="81">
        <f t="shared" ref="F53:H53" si="10">(F$21/F$22)*F$28</f>
        <v>1090615.2167666287</v>
      </c>
      <c r="G53" s="81">
        <f t="shared" si="10"/>
        <v>1140514.450998381</v>
      </c>
      <c r="H53" s="81">
        <f t="shared" si="10"/>
        <v>1192696.7393619993</v>
      </c>
    </row>
    <row r="54" spans="2:16">
      <c r="B54" s="20" t="s">
        <v>206</v>
      </c>
      <c r="C54" s="19"/>
      <c r="D54" s="201">
        <f>D51-D52+D53</f>
        <v>1043510.3768579245</v>
      </c>
      <c r="E54" s="201">
        <f t="shared" ref="E54:H54" si="11">E51-E52+E53</f>
        <v>1091254.4096914949</v>
      </c>
      <c r="F54" s="201">
        <f t="shared" si="11"/>
        <v>1141182.8891024697</v>
      </c>
      <c r="G54" s="201">
        <f t="shared" si="11"/>
        <v>1193395.760708475</v>
      </c>
      <c r="H54" s="201">
        <f t="shared" si="11"/>
        <v>1247997.5429679598</v>
      </c>
    </row>
    <row r="55" spans="2:16" ht="12.6" thickBot="1">
      <c r="B55" s="202" t="s">
        <v>207</v>
      </c>
      <c r="C55" s="18"/>
      <c r="D55" s="203">
        <f>D54-'FINANCIAL STATEMENTS'!H37-'FINANCIAL STATEMENTS'!H38+'FINANCIAL STATEMENTS'!H49</f>
        <v>75873.376857924508</v>
      </c>
      <c r="E55" s="204">
        <f>E54-D54</f>
        <v>47744.032833570382</v>
      </c>
      <c r="F55" s="204">
        <f t="shared" ref="F55:H55" si="12">F54-E54</f>
        <v>49928.479410974775</v>
      </c>
      <c r="G55" s="204">
        <f t="shared" si="12"/>
        <v>52212.871606005356</v>
      </c>
      <c r="H55" s="204">
        <f t="shared" si="12"/>
        <v>54601.782259484753</v>
      </c>
      <c r="I55" s="46"/>
    </row>
    <row r="56" spans="2:16" ht="12.6" thickTop="1">
      <c r="B56" s="18"/>
      <c r="C56" s="18"/>
      <c r="D56" s="28"/>
      <c r="E56" s="28"/>
      <c r="F56" s="46"/>
      <c r="G56" s="46"/>
      <c r="H56" s="46"/>
      <c r="I56" s="46"/>
      <c r="J56" s="46"/>
    </row>
    <row r="57" spans="2:16">
      <c r="B57" s="18"/>
      <c r="C57" s="18"/>
      <c r="D57" s="28"/>
      <c r="E57" s="28"/>
      <c r="F57" s="46"/>
      <c r="G57" s="46"/>
      <c r="H57" s="46"/>
      <c r="I57" s="46"/>
      <c r="J57" s="46"/>
    </row>
    <row r="58" spans="2:16">
      <c r="B58" s="18"/>
      <c r="C58" s="18"/>
      <c r="D58" s="28"/>
      <c r="E58" s="28"/>
      <c r="F58" s="22"/>
      <c r="G58" s="22"/>
      <c r="H58" s="22"/>
      <c r="I58" s="22"/>
      <c r="J58" s="22"/>
      <c r="K58" s="18"/>
      <c r="L58" s="18"/>
      <c r="M58" s="18"/>
      <c r="N58" s="18"/>
      <c r="O58" s="18"/>
    </row>
    <row r="59" spans="2:16">
      <c r="B59" s="15" t="s">
        <v>208</v>
      </c>
      <c r="C59" s="31"/>
      <c r="D59" s="32"/>
      <c r="E59" s="32"/>
      <c r="F59" s="31"/>
      <c r="G59" s="31"/>
      <c r="H59" s="31"/>
      <c r="I59" s="31"/>
      <c r="J59" s="31"/>
      <c r="K59" s="31"/>
      <c r="L59" s="31"/>
      <c r="M59" s="31"/>
      <c r="N59" s="31"/>
      <c r="O59" s="31"/>
    </row>
    <row r="60" spans="2:16">
      <c r="B60" s="17"/>
      <c r="C60" s="18"/>
      <c r="D60" s="28"/>
      <c r="E60" s="28"/>
      <c r="F60" s="22"/>
      <c r="G60" s="22"/>
      <c r="H60" s="22"/>
      <c r="I60" s="22"/>
      <c r="J60" s="22"/>
      <c r="K60" s="18"/>
      <c r="L60" s="18"/>
      <c r="M60" s="18"/>
      <c r="N60" s="18"/>
      <c r="O60" s="18"/>
    </row>
    <row r="61" spans="2:16">
      <c r="B61" s="48" t="s">
        <v>175</v>
      </c>
      <c r="C61" s="22"/>
      <c r="D61" s="22"/>
      <c r="E61" s="22"/>
      <c r="F61" s="22"/>
      <c r="G61" s="18"/>
      <c r="H61" s="18"/>
      <c r="I61" s="18"/>
      <c r="J61" s="18"/>
      <c r="K61" s="18"/>
      <c r="L61" s="18"/>
      <c r="M61" s="18"/>
      <c r="N61" s="18"/>
      <c r="O61" s="18"/>
    </row>
    <row r="62" spans="2:16">
      <c r="B62" s="49" t="s">
        <v>209</v>
      </c>
      <c r="C62" s="50"/>
      <c r="D62" s="154">
        <f>D17</f>
        <v>0.19593178786862642</v>
      </c>
      <c r="E62" s="51"/>
      <c r="F62" s="22"/>
      <c r="G62" s="18"/>
      <c r="H62" s="18"/>
      <c r="I62" s="18"/>
      <c r="J62" s="18"/>
      <c r="K62" s="18"/>
      <c r="L62" s="18"/>
      <c r="M62" s="18"/>
      <c r="N62" s="18"/>
      <c r="O62" s="18"/>
    </row>
    <row r="63" spans="2:16">
      <c r="B63" s="52" t="s">
        <v>210</v>
      </c>
      <c r="C63" s="18"/>
      <c r="D63" s="188">
        <f>WACC!E34</f>
        <v>3.3574667009263343E-2</v>
      </c>
      <c r="E63" s="53"/>
      <c r="F63" s="18"/>
      <c r="G63" s="18"/>
      <c r="H63" s="18"/>
      <c r="I63" s="18"/>
      <c r="J63" s="18"/>
      <c r="K63" s="18"/>
      <c r="L63" s="18"/>
      <c r="M63" s="18"/>
      <c r="N63" s="18"/>
      <c r="O63" s="18"/>
    </row>
    <row r="64" spans="2:16">
      <c r="B64" s="18" t="s">
        <v>211</v>
      </c>
      <c r="C64" s="18"/>
      <c r="D64" s="279">
        <v>22</v>
      </c>
      <c r="E64" s="55"/>
      <c r="F64" s="18"/>
      <c r="G64" s="18"/>
      <c r="H64" s="18"/>
      <c r="I64" s="18"/>
      <c r="J64" s="18"/>
      <c r="K64" s="18"/>
      <c r="L64" s="54"/>
      <c r="M64" s="54"/>
      <c r="N64" s="54"/>
      <c r="O64" s="54"/>
      <c r="P64" s="18"/>
    </row>
    <row r="65" spans="2:21">
      <c r="B65" s="18" t="s">
        <v>212</v>
      </c>
      <c r="C65" s="18"/>
      <c r="D65" s="56" cm="1">
        <f t="array" ref="D65">_FV('FINANCIAL STATEMENTS'!D3,"Price")</f>
        <v>189.32</v>
      </c>
      <c r="E65" s="56"/>
      <c r="F65" s="18"/>
      <c r="G65" s="18"/>
      <c r="H65" s="18"/>
      <c r="I65" s="18"/>
      <c r="J65" s="18"/>
      <c r="K65" s="18"/>
      <c r="L65" s="54"/>
      <c r="M65" s="54"/>
      <c r="N65" s="54"/>
      <c r="O65" s="54"/>
      <c r="P65" s="18"/>
    </row>
    <row r="66" spans="2:21">
      <c r="B66" s="18" t="s">
        <v>213</v>
      </c>
      <c r="C66" s="18"/>
      <c r="D66" s="57">
        <v>207758</v>
      </c>
      <c r="E66" s="57"/>
      <c r="F66" s="18"/>
      <c r="G66" s="18"/>
      <c r="H66" s="18"/>
      <c r="I66" s="18"/>
      <c r="J66" s="18"/>
      <c r="K66" s="18"/>
      <c r="L66" s="18"/>
      <c r="M66" s="18"/>
      <c r="N66" s="18"/>
      <c r="O66" s="18"/>
      <c r="P66" s="18"/>
    </row>
    <row r="67" spans="2:21">
      <c r="B67" s="18"/>
      <c r="C67" s="18"/>
      <c r="D67" s="57"/>
      <c r="E67" s="57"/>
      <c r="F67" s="18"/>
      <c r="G67" s="18"/>
      <c r="H67" s="18"/>
      <c r="I67" s="18"/>
      <c r="J67" s="18"/>
      <c r="K67" s="18"/>
      <c r="L67" s="18"/>
      <c r="M67" s="18"/>
      <c r="N67" s="18"/>
      <c r="O67" s="18"/>
      <c r="P67" s="18"/>
    </row>
    <row r="68" spans="2:21">
      <c r="B68" s="19"/>
      <c r="C68" s="19"/>
      <c r="D68" s="58"/>
      <c r="E68" s="58"/>
      <c r="F68" s="58"/>
      <c r="G68" s="58"/>
      <c r="H68" s="58"/>
      <c r="I68" s="206"/>
      <c r="J68" s="206"/>
      <c r="K68" s="206"/>
      <c r="L68" s="24"/>
      <c r="M68" s="24"/>
      <c r="N68" s="19"/>
      <c r="O68" s="19"/>
      <c r="P68" s="19"/>
    </row>
    <row r="69" spans="2:21">
      <c r="B69" s="25" t="s">
        <v>214</v>
      </c>
      <c r="C69" s="24"/>
      <c r="D69" s="60">
        <f>D3</f>
        <v>2022</v>
      </c>
      <c r="E69" s="60">
        <f>D69+1</f>
        <v>2023</v>
      </c>
      <c r="F69" s="60">
        <f>E69+1</f>
        <v>2024</v>
      </c>
      <c r="G69" s="60">
        <f t="shared" ref="G69:H69" si="13">F69+1</f>
        <v>2025</v>
      </c>
      <c r="H69" s="60">
        <f t="shared" si="13"/>
        <v>2026</v>
      </c>
      <c r="I69" s="59" t="s">
        <v>215</v>
      </c>
      <c r="J69" s="24"/>
      <c r="L69" s="25" t="s">
        <v>216</v>
      </c>
      <c r="M69" s="24"/>
      <c r="N69" s="19"/>
    </row>
    <row r="70" spans="2:21" ht="12.6">
      <c r="B70" s="39"/>
      <c r="C70" s="39"/>
      <c r="D70" s="63"/>
      <c r="E70" s="63"/>
      <c r="F70" s="63"/>
      <c r="G70" s="63"/>
      <c r="H70" s="63"/>
      <c r="I70" s="207"/>
      <c r="J70" s="24"/>
      <c r="K70" s="24"/>
      <c r="L70" s="24"/>
      <c r="M70" s="24"/>
      <c r="N70" s="19"/>
    </row>
    <row r="71" spans="2:21">
      <c r="B71" s="19" t="s">
        <v>217</v>
      </c>
      <c r="C71" s="19"/>
      <c r="D71" s="19">
        <f>D35</f>
        <v>1689544.0775299217</v>
      </c>
      <c r="E71" s="19">
        <f>E35</f>
        <v>1766846.2775849332</v>
      </c>
      <c r="F71" s="19">
        <f>F35</f>
        <v>1847685.3076124927</v>
      </c>
      <c r="G71" s="19">
        <f>G35</f>
        <v>1932222.9892198187</v>
      </c>
      <c r="H71" s="19">
        <f>H35</f>
        <v>2020628.5478850505</v>
      </c>
      <c r="I71" s="24"/>
      <c r="J71" s="208" t="s">
        <v>218</v>
      </c>
      <c r="K71" s="209"/>
      <c r="L71" s="215">
        <f>H75*D64</f>
        <v>53315598.541333757</v>
      </c>
      <c r="M71" s="24"/>
      <c r="N71" s="19"/>
    </row>
    <row r="72" spans="2:21">
      <c r="B72" s="19" t="s">
        <v>219</v>
      </c>
      <c r="C72" s="19"/>
      <c r="D72" s="62">
        <f>D71*$D$62</f>
        <v>331035.39179328672</v>
      </c>
      <c r="E72" s="62">
        <f>E71*$D$62</f>
        <v>346181.35005624336</v>
      </c>
      <c r="F72" s="62">
        <f>F71*$D$62</f>
        <v>362020.28573910869</v>
      </c>
      <c r="G72" s="62">
        <f>G71*$D$62</f>
        <v>378583.90483870078</v>
      </c>
      <c r="H72" s="62">
        <f>H71*$D$62</f>
        <v>395905.36400550435</v>
      </c>
      <c r="I72" s="24"/>
      <c r="J72" s="24"/>
      <c r="K72" s="24"/>
      <c r="L72" s="24"/>
      <c r="M72" s="24"/>
      <c r="N72" s="19"/>
    </row>
    <row r="73" spans="2:21">
      <c r="B73" s="27" t="s">
        <v>220</v>
      </c>
      <c r="C73" s="27"/>
      <c r="D73" s="61">
        <f>D71-D72</f>
        <v>1358508.685736635</v>
      </c>
      <c r="E73" s="61">
        <f t="shared" ref="E73:H73" si="14">E71-E72</f>
        <v>1420664.9275286898</v>
      </c>
      <c r="F73" s="61">
        <f t="shared" si="14"/>
        <v>1485665.021873384</v>
      </c>
      <c r="G73" s="61">
        <f t="shared" si="14"/>
        <v>1553639.084381118</v>
      </c>
      <c r="H73" s="61">
        <f t="shared" si="14"/>
        <v>1624723.1838795461</v>
      </c>
      <c r="I73" s="24"/>
      <c r="J73" s="24"/>
      <c r="K73" s="24"/>
      <c r="L73" s="24"/>
      <c r="M73" s="24"/>
      <c r="N73" s="19"/>
    </row>
    <row r="74" spans="2:21">
      <c r="B74" s="19" t="s">
        <v>221</v>
      </c>
      <c r="C74" s="19"/>
      <c r="D74" s="62">
        <f>D33</f>
        <v>336806.80606827256</v>
      </c>
      <c r="E74" s="62">
        <f>E33</f>
        <v>352216.82552194881</v>
      </c>
      <c r="F74" s="62">
        <f>F33</f>
        <v>368331.90406375559</v>
      </c>
      <c r="G74" s="62">
        <f>G33</f>
        <v>385184.30046658107</v>
      </c>
      <c r="H74" s="62">
        <f>H33</f>
        <v>402807.74944830226</v>
      </c>
      <c r="I74" s="24"/>
      <c r="J74" s="24"/>
      <c r="K74" s="24"/>
      <c r="L74" s="24"/>
      <c r="M74" s="24"/>
      <c r="N74" s="19"/>
      <c r="O74" s="18"/>
      <c r="P74" s="18"/>
      <c r="Q74" s="18"/>
      <c r="R74" s="18"/>
      <c r="S74" s="18"/>
    </row>
    <row r="75" spans="2:21">
      <c r="B75" s="19" t="s">
        <v>222</v>
      </c>
      <c r="C75" s="19"/>
      <c r="D75" s="62">
        <f>D71+D74</f>
        <v>2026350.8835981942</v>
      </c>
      <c r="E75" s="62">
        <f t="shared" ref="E75:H75" si="15">E71+E74</f>
        <v>2119063.103106882</v>
      </c>
      <c r="F75" s="62">
        <f t="shared" si="15"/>
        <v>2216017.2116762483</v>
      </c>
      <c r="G75" s="62">
        <f t="shared" si="15"/>
        <v>2317407.2896864</v>
      </c>
      <c r="H75" s="62">
        <f t="shared" si="15"/>
        <v>2423436.2973333527</v>
      </c>
      <c r="I75" s="24"/>
      <c r="J75" s="24"/>
      <c r="K75" s="24"/>
      <c r="L75" s="24"/>
      <c r="M75" s="24"/>
      <c r="N75" s="19"/>
      <c r="O75" s="18"/>
      <c r="P75" s="18"/>
      <c r="Q75" s="18"/>
      <c r="R75" s="18"/>
      <c r="S75" s="18"/>
    </row>
    <row r="76" spans="2:21">
      <c r="B76" s="19" t="s">
        <v>223</v>
      </c>
      <c r="C76" s="19"/>
      <c r="D76" s="19">
        <f>D18</f>
        <v>-565299.77999999991</v>
      </c>
      <c r="E76" s="19">
        <f t="shared" ref="E76:H76" si="16">E18</f>
        <v>-644441.74919999985</v>
      </c>
      <c r="F76" s="19">
        <f t="shared" si="16"/>
        <v>-734663.59408799978</v>
      </c>
      <c r="G76" s="19">
        <f t="shared" si="16"/>
        <v>-837516.49726031965</v>
      </c>
      <c r="H76" s="19">
        <f t="shared" si="16"/>
        <v>-954768.80687676428</v>
      </c>
      <c r="I76" s="24"/>
      <c r="J76" s="24"/>
      <c r="K76" s="24"/>
      <c r="L76" s="24"/>
      <c r="M76" s="24"/>
      <c r="N76" s="19"/>
      <c r="O76" s="18"/>
      <c r="P76" s="18"/>
      <c r="Q76" s="18"/>
      <c r="R76" s="18"/>
      <c r="S76" s="18"/>
    </row>
    <row r="77" spans="2:21">
      <c r="B77" s="19" t="s">
        <v>224</v>
      </c>
      <c r="C77" s="19"/>
      <c r="D77" s="19">
        <f>D55</f>
        <v>75873.376857924508</v>
      </c>
      <c r="E77" s="19">
        <f>E55</f>
        <v>47744.032833570382</v>
      </c>
      <c r="F77" s="19">
        <f>F55</f>
        <v>49928.479410974775</v>
      </c>
      <c r="G77" s="19">
        <f>G55</f>
        <v>52212.871606005356</v>
      </c>
      <c r="H77" s="19">
        <f>H55</f>
        <v>54601.782259484753</v>
      </c>
      <c r="I77" s="24"/>
      <c r="J77" s="24"/>
      <c r="K77" s="24"/>
      <c r="L77" s="24"/>
      <c r="M77" s="24"/>
      <c r="N77" s="19"/>
      <c r="O77" s="18"/>
      <c r="P77" s="18"/>
      <c r="Q77" s="18"/>
      <c r="R77" s="18"/>
      <c r="S77" s="18"/>
    </row>
    <row r="78" spans="2:21">
      <c r="B78" s="20" t="s">
        <v>225</v>
      </c>
      <c r="C78" s="20"/>
      <c r="D78" s="20">
        <f>D73+D74-D77-D76</f>
        <v>2184741.8949469831</v>
      </c>
      <c r="E78" s="20">
        <f t="shared" ref="E78:H78" si="17">E73+E74-E77-E76</f>
        <v>2369579.4694170682</v>
      </c>
      <c r="F78" s="20">
        <f t="shared" si="17"/>
        <v>2538732.0406141644</v>
      </c>
      <c r="G78" s="20">
        <f t="shared" si="17"/>
        <v>2724127.0105020134</v>
      </c>
      <c r="H78" s="20">
        <f t="shared" si="17"/>
        <v>2927697.957945128</v>
      </c>
      <c r="I78" s="43">
        <f>L71</f>
        <v>53315598.541333757</v>
      </c>
      <c r="J78" s="24"/>
      <c r="K78" s="24"/>
      <c r="L78" s="24"/>
      <c r="M78" s="24"/>
      <c r="N78" s="19"/>
      <c r="O78" s="18"/>
      <c r="P78" s="18"/>
      <c r="Q78" s="18"/>
      <c r="R78" s="18"/>
      <c r="S78" s="18"/>
    </row>
    <row r="79" spans="2:21">
      <c r="B79" s="16" t="s">
        <v>226</v>
      </c>
      <c r="C79" s="19"/>
      <c r="D79" s="19">
        <f>D78/(1+D62)</f>
        <v>1826811.4595737946</v>
      </c>
      <c r="E79" s="19">
        <f>E78/(1+$D$63)^2</f>
        <v>2218132.9128932646</v>
      </c>
      <c r="F79" s="19">
        <f>F78/(1+$D$63)^3</f>
        <v>2299277.0029206057</v>
      </c>
      <c r="G79" s="19">
        <f>G78/(1+$D$63)^4</f>
        <v>2387041.2697231215</v>
      </c>
      <c r="H79" s="19">
        <f>(H78+I78)/(1+$D$63)^5</f>
        <v>47682771.07584703</v>
      </c>
      <c r="I79" s="19"/>
      <c r="J79" s="24"/>
      <c r="K79" s="24"/>
      <c r="L79" s="24"/>
      <c r="M79" s="24"/>
      <c r="N79" s="19"/>
      <c r="O79" s="18"/>
      <c r="P79" s="18"/>
      <c r="Q79" s="18"/>
      <c r="R79" s="18"/>
      <c r="S79" s="18"/>
    </row>
    <row r="80" spans="2:21">
      <c r="B80" s="65"/>
      <c r="C80" s="66"/>
      <c r="D80" s="65"/>
      <c r="E80" s="65"/>
      <c r="F80" s="65"/>
      <c r="G80" s="65"/>
      <c r="H80" s="65"/>
      <c r="I80" s="65"/>
      <c r="J80" s="65"/>
      <c r="K80" s="65"/>
      <c r="L80" s="65"/>
      <c r="M80" s="65"/>
      <c r="N80" s="65"/>
      <c r="O80" s="65"/>
      <c r="P80" s="65"/>
      <c r="Q80" s="65"/>
      <c r="R80" s="65"/>
      <c r="S80" s="65"/>
      <c r="T80" s="65"/>
      <c r="U80" s="65"/>
    </row>
    <row r="81" spans="2:21">
      <c r="B81" s="190" t="s">
        <v>227</v>
      </c>
      <c r="C81" s="67"/>
      <c r="D81" s="191"/>
      <c r="E81" s="65"/>
      <c r="F81" s="65"/>
      <c r="G81" s="190" t="s">
        <v>228</v>
      </c>
      <c r="H81" s="67"/>
      <c r="I81" s="191"/>
      <c r="J81" s="65"/>
      <c r="L81" s="64"/>
      <c r="M81" s="65"/>
      <c r="N81" s="65"/>
      <c r="O81" s="65"/>
      <c r="P81" s="65"/>
      <c r="Q81" s="65"/>
      <c r="R81" s="65"/>
      <c r="S81" s="65"/>
      <c r="T81" s="65"/>
      <c r="U81" s="65"/>
    </row>
    <row r="82" spans="2:21">
      <c r="B82" s="192" t="s">
        <v>229</v>
      </c>
      <c r="C82" s="67"/>
      <c r="D82" s="191">
        <f>NPV(D63,D78,E78,F78,G78,H78+I78)</f>
        <v>56700994.942431547</v>
      </c>
      <c r="E82" s="65"/>
      <c r="F82" s="65"/>
      <c r="G82" s="192" t="s">
        <v>230</v>
      </c>
      <c r="H82" s="67"/>
      <c r="I82" s="191">
        <f>D66*D65</f>
        <v>39332744.559999995</v>
      </c>
      <c r="J82" s="65"/>
      <c r="L82" s="65"/>
      <c r="M82" s="205"/>
      <c r="N82" s="68"/>
      <c r="O82" s="65"/>
      <c r="P82" s="65"/>
      <c r="Q82" s="65"/>
      <c r="R82" s="65"/>
      <c r="S82" s="65"/>
      <c r="T82" s="65"/>
      <c r="U82" s="65"/>
    </row>
    <row r="83" spans="2:21">
      <c r="B83" s="193" t="s">
        <v>231</v>
      </c>
      <c r="C83" s="65"/>
      <c r="D83" s="194">
        <f>'FINANCIAL STATEMENTS'!H36</f>
        <v>329266</v>
      </c>
      <c r="E83" s="65"/>
      <c r="F83" s="65"/>
      <c r="G83" s="193" t="s">
        <v>232</v>
      </c>
      <c r="H83" s="65"/>
      <c r="I83" s="194">
        <f>D84</f>
        <v>7655002</v>
      </c>
      <c r="J83" s="65"/>
      <c r="K83" s="303">
        <f>NPV(WACC!E34,DCF!D82)</f>
        <v>54859118.312662132</v>
      </c>
      <c r="L83" s="65"/>
      <c r="M83" s="65"/>
      <c r="N83" s="69"/>
      <c r="O83" s="65"/>
      <c r="P83" s="65"/>
      <c r="Q83" s="65"/>
      <c r="R83" s="65"/>
      <c r="S83" s="65"/>
      <c r="T83" s="65"/>
      <c r="U83" s="65"/>
    </row>
    <row r="84" spans="2:21">
      <c r="B84" s="193" t="s">
        <v>232</v>
      </c>
      <c r="C84" s="65"/>
      <c r="D84" s="194">
        <f>'FINANCIAL STATEMENTS'!H58</f>
        <v>7655002</v>
      </c>
      <c r="E84" s="65"/>
      <c r="F84" s="65"/>
      <c r="G84" s="193" t="s">
        <v>231</v>
      </c>
      <c r="H84" s="65"/>
      <c r="I84" s="194">
        <f>D83</f>
        <v>329266</v>
      </c>
      <c r="J84" s="65"/>
      <c r="L84" s="65"/>
      <c r="M84" s="65"/>
      <c r="N84" s="66"/>
      <c r="O84" s="65"/>
      <c r="P84" s="65"/>
      <c r="Q84" s="65"/>
      <c r="R84" s="65"/>
      <c r="S84" s="65"/>
      <c r="T84" s="65"/>
      <c r="U84" s="65"/>
    </row>
    <row r="85" spans="2:21">
      <c r="B85" s="193" t="s">
        <v>233</v>
      </c>
      <c r="C85" s="65"/>
      <c r="D85" s="191">
        <f>D82+D83-D84</f>
        <v>49375258.942431547</v>
      </c>
      <c r="E85" s="65"/>
      <c r="F85" s="65"/>
      <c r="G85" s="193" t="s">
        <v>229</v>
      </c>
      <c r="H85" s="65"/>
      <c r="I85" s="191">
        <f>I82+I83-I84</f>
        <v>46658480.559999995</v>
      </c>
      <c r="J85" s="65"/>
      <c r="L85" s="65"/>
      <c r="M85" s="65"/>
      <c r="N85" s="66"/>
      <c r="O85" s="65"/>
      <c r="P85" s="65"/>
      <c r="Q85" s="65"/>
      <c r="R85" s="65"/>
      <c r="S85" s="65"/>
      <c r="T85" s="65"/>
      <c r="U85" s="65"/>
    </row>
    <row r="86" spans="2:21">
      <c r="B86" s="193"/>
      <c r="C86" s="65"/>
      <c r="D86" s="194"/>
      <c r="E86" s="65"/>
      <c r="F86" s="65"/>
      <c r="G86" s="193"/>
      <c r="H86" s="65"/>
      <c r="I86" s="198"/>
      <c r="J86" s="65"/>
      <c r="L86" s="65"/>
      <c r="M86" s="65"/>
      <c r="N86" s="65"/>
      <c r="O86" s="65"/>
      <c r="P86" s="65"/>
      <c r="Q86" s="65"/>
      <c r="R86" s="65"/>
      <c r="S86" s="65"/>
      <c r="T86" s="65"/>
      <c r="U86" s="65"/>
    </row>
    <row r="87" spans="2:21">
      <c r="B87" s="195" t="s">
        <v>234</v>
      </c>
      <c r="C87" s="196"/>
      <c r="D87" s="197">
        <f>D85/D66</f>
        <v>237.65755803594348</v>
      </c>
      <c r="E87" s="189"/>
      <c r="F87" s="65"/>
      <c r="G87" s="195" t="s">
        <v>235</v>
      </c>
      <c r="H87" s="199"/>
      <c r="I87" s="197">
        <f>D65</f>
        <v>189.32</v>
      </c>
      <c r="J87" s="65"/>
      <c r="K87" s="65"/>
      <c r="L87" s="65"/>
      <c r="M87" s="65"/>
      <c r="N87" s="65"/>
      <c r="O87" s="65"/>
      <c r="P87" s="65"/>
      <c r="Q87" s="65"/>
      <c r="R87" s="65"/>
      <c r="S87" s="65"/>
      <c r="T87" s="65"/>
      <c r="U87" s="65"/>
    </row>
    <row r="88" spans="2:21">
      <c r="B88" s="65"/>
      <c r="C88" s="65"/>
      <c r="D88" s="65"/>
      <c r="E88" s="65"/>
      <c r="F88" s="65"/>
      <c r="G88" s="65"/>
      <c r="H88" s="65"/>
      <c r="I88" s="65"/>
      <c r="J88" s="65"/>
      <c r="K88" s="65"/>
      <c r="L88" s="65"/>
      <c r="M88" s="65"/>
      <c r="N88" s="65"/>
      <c r="O88" s="65"/>
      <c r="P88" s="65"/>
      <c r="Q88" s="65"/>
      <c r="R88" s="65"/>
      <c r="S88" s="65"/>
      <c r="T88" s="65"/>
      <c r="U88" s="65"/>
    </row>
    <row r="89" spans="2:21">
      <c r="B89" s="19"/>
      <c r="C89" s="19"/>
      <c r="D89" s="19"/>
      <c r="E89" s="19"/>
      <c r="F89" s="19"/>
      <c r="G89" s="19"/>
      <c r="H89" s="19"/>
      <c r="I89" s="19"/>
      <c r="J89" s="19"/>
      <c r="K89" s="19"/>
      <c r="L89" s="19"/>
      <c r="M89" s="19"/>
      <c r="N89" s="19"/>
      <c r="O89" s="19"/>
      <c r="P89" s="19"/>
      <c r="Q89" s="18"/>
      <c r="R89" s="18"/>
      <c r="S89" s="18"/>
      <c r="T89" s="18"/>
      <c r="U89" s="18"/>
    </row>
    <row r="90" spans="2:21">
      <c r="B90" s="353" t="s">
        <v>236</v>
      </c>
      <c r="C90" s="354"/>
      <c r="D90" s="18"/>
      <c r="E90" s="18"/>
      <c r="F90" s="18"/>
      <c r="G90" s="18"/>
      <c r="H90" s="18"/>
      <c r="I90" s="18"/>
      <c r="J90" s="18"/>
      <c r="K90" s="18"/>
      <c r="L90" s="18"/>
      <c r="M90" s="18"/>
      <c r="N90" s="18"/>
      <c r="O90" s="18"/>
      <c r="P90" s="18"/>
      <c r="Q90" s="18"/>
      <c r="R90" s="18"/>
      <c r="S90" s="18"/>
      <c r="T90" s="18"/>
      <c r="U90" s="18"/>
    </row>
    <row r="91" spans="2:21">
      <c r="B91" s="213" t="s">
        <v>237</v>
      </c>
      <c r="C91" s="214">
        <f>I87</f>
        <v>189.32</v>
      </c>
    </row>
    <row r="92" spans="2:21">
      <c r="B92" s="210" t="s">
        <v>238</v>
      </c>
      <c r="C92" s="318">
        <f>C93-C91</f>
        <v>48.337558035943488</v>
      </c>
    </row>
    <row r="93" spans="2:21">
      <c r="B93" s="211" t="s">
        <v>227</v>
      </c>
      <c r="C93" s="212">
        <f>D87</f>
        <v>237.65755803594348</v>
      </c>
    </row>
    <row r="96" spans="2:21">
      <c r="D96" s="319" t="s">
        <v>239</v>
      </c>
      <c r="E96" s="319"/>
      <c r="F96" s="319"/>
      <c r="G96" s="319"/>
      <c r="H96" s="319"/>
      <c r="I96" s="319"/>
      <c r="J96"/>
    </row>
    <row r="97" spans="4:10">
      <c r="D97"/>
      <c r="E97" s="320">
        <v>3.1600000000000003E-2</v>
      </c>
      <c r="F97" s="320">
        <v>3.2599999999999997E-2</v>
      </c>
      <c r="G97" s="320">
        <v>3.3599999999999998E-2</v>
      </c>
      <c r="H97" s="320">
        <v>3.4599999999999999E-2</v>
      </c>
      <c r="I97" s="320">
        <v>3.56E-2</v>
      </c>
      <c r="J97" s="321" t="s">
        <v>25</v>
      </c>
    </row>
    <row r="98" spans="4:10">
      <c r="D98">
        <v>21</v>
      </c>
      <c r="E98" s="322">
        <f>(NPV($E$97,$D$78,$E$78,$F$78,$G$78,$H$78+($H$75*D98))+$D$83-$D$84)/$D$66</f>
        <v>230.09060822912119</v>
      </c>
      <c r="F98" s="322">
        <f>(NPV($F$97,$D$78,$E$78,$F$78,$G$78,$H$78+($H$75*D98))+$D$83-$D$84)/$D$66</f>
        <v>228.91131702603656</v>
      </c>
      <c r="G98" s="322">
        <f>(NPV($G$97,$D$78,$E$78,$F$78,$G$78,$H$78+($H$75*D98))+$D$83-$D$84)/$D$66</f>
        <v>227.73865479668405</v>
      </c>
      <c r="H98" s="322">
        <f>(NPV($H$97,$D$78,$E$78,$F$78,$G$78,$H$78+($H$75*D98))+$D$83-$D$84)/$D$66</f>
        <v>226.57257747269156</v>
      </c>
      <c r="I98" s="322">
        <f>(NPV($I$97,$D$78,$E$78,$F$78,$G$78,$H$78+($H$75*D98))+$D$83-$D$84)/$D$66</f>
        <v>225.41304132221029</v>
      </c>
      <c r="J98"/>
    </row>
    <row r="99" spans="4:10">
      <c r="D99">
        <v>21.5</v>
      </c>
      <c r="E99" s="322">
        <f t="shared" ref="E99:E102" si="18">(NPV($E$97,$D$78,$E$78,$F$78,$G$78,$H$78+($H$75*D99))+$D$83-$D$84)/$D$66</f>
        <v>235.08275320874901</v>
      </c>
      <c r="F99" s="322">
        <f t="shared" ref="F99:F102" si="19">(NPV($F$97,$D$78,$E$78,$F$78,$G$78,$H$78+($H$75*D99))+$D$83-$D$84)/$D$66</f>
        <v>233.87933608439346</v>
      </c>
      <c r="G99" s="322">
        <f t="shared" ref="G99:G102" si="20">(NPV($G$97,$D$78,$E$78,$F$78,$G$78,$H$78+($H$75*D99))+$D$83-$D$84)/$D$66</f>
        <v>232.68268771284653</v>
      </c>
      <c r="H99" s="322">
        <f t="shared" ref="H99:H102" si="21">(NPV($H$97,$D$78,$E$78,$F$78,$G$78,$H$78+($H$75*D99))+$D$83-$D$84)/$D$66</f>
        <v>231.49276308183207</v>
      </c>
      <c r="I99" s="322">
        <f t="shared" ref="I99:I102" si="22">(NPV($I$97,$D$78,$E$78,$F$78,$G$78,$H$78+($H$75*D99))+$D$83-$D$84)/$D$66</f>
        <v>230.30951752287459</v>
      </c>
      <c r="J99"/>
    </row>
    <row r="100" spans="4:10">
      <c r="D100">
        <v>22</v>
      </c>
      <c r="E100" s="322">
        <f t="shared" si="18"/>
        <v>240.07489818837689</v>
      </c>
      <c r="F100" s="322">
        <f t="shared" si="19"/>
        <v>238.84735514275022</v>
      </c>
      <c r="G100" s="322">
        <f t="shared" si="20"/>
        <v>237.6267206290089</v>
      </c>
      <c r="H100" s="322">
        <f t="shared" si="21"/>
        <v>236.41294869097251</v>
      </c>
      <c r="I100" s="322">
        <f t="shared" si="22"/>
        <v>235.20599372353885</v>
      </c>
      <c r="J100"/>
    </row>
    <row r="101" spans="4:10">
      <c r="D101">
        <v>22.5</v>
      </c>
      <c r="E101" s="322">
        <f t="shared" si="18"/>
        <v>245.06704316800477</v>
      </c>
      <c r="F101" s="322">
        <f t="shared" si="19"/>
        <v>243.81537420110709</v>
      </c>
      <c r="G101" s="322">
        <f t="shared" si="20"/>
        <v>242.57075354517136</v>
      </c>
      <c r="H101" s="322">
        <f t="shared" si="21"/>
        <v>241.33313430011293</v>
      </c>
      <c r="I101" s="322">
        <f t="shared" si="22"/>
        <v>240.10246992420318</v>
      </c>
      <c r="J101"/>
    </row>
    <row r="102" spans="4:10">
      <c r="D102">
        <v>23</v>
      </c>
      <c r="E102" s="322">
        <f t="shared" si="18"/>
        <v>250.05918814763263</v>
      </c>
      <c r="F102" s="322">
        <f t="shared" si="19"/>
        <v>248.78339325946388</v>
      </c>
      <c r="G102" s="322">
        <f t="shared" si="20"/>
        <v>247.51478646133376</v>
      </c>
      <c r="H102" s="322">
        <f t="shared" si="21"/>
        <v>246.25331990925341</v>
      </c>
      <c r="I102" s="322">
        <f t="shared" si="22"/>
        <v>244.99894612486744</v>
      </c>
      <c r="J102"/>
    </row>
    <row r="103" spans="4:10" ht="22.9">
      <c r="D103" s="323" t="s">
        <v>240</v>
      </c>
      <c r="E103"/>
      <c r="F103"/>
      <c r="G103"/>
      <c r="H103"/>
      <c r="I103"/>
      <c r="J103"/>
    </row>
  </sheetData>
  <sheetProtection formatCells="0" formatColumns="0" formatRows="0" insertColumns="0" insertRows="0" insertHyperlinks="0" deleteColumns="0" deleteRows="0" sort="0" autoFilter="0" pivotTables="0"/>
  <mergeCells count="9">
    <mergeCell ref="F3:F5"/>
    <mergeCell ref="G3:G5"/>
    <mergeCell ref="H3:H5"/>
    <mergeCell ref="B1:H2"/>
    <mergeCell ref="B90:C90"/>
    <mergeCell ref="C3:C5"/>
    <mergeCell ref="B3:B5"/>
    <mergeCell ref="D3:D5"/>
    <mergeCell ref="E3:E5"/>
  </mergeCells>
  <pageMargins left="0.70866141732283472" right="0.70866141732283472" top="0.74803149606299213" bottom="0.74803149606299213" header="0.31496062992125984" footer="0.31496062992125984"/>
  <pageSetup scale="78"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E4B48-1C87-C14D-B3B6-5DEAF09ABE4C}">
  <dimension ref="A1:N25"/>
  <sheetViews>
    <sheetView showGridLines="0" workbookViewId="0"/>
  </sheetViews>
  <sheetFormatPr defaultColWidth="10.7109375" defaultRowHeight="12.4"/>
  <cols>
    <col min="1" max="1" width="4.7109375" customWidth="1"/>
  </cols>
  <sheetData>
    <row r="1" spans="1:9">
      <c r="B1" t="s">
        <v>241</v>
      </c>
    </row>
    <row r="3" spans="1:9">
      <c r="A3" s="158" t="s">
        <v>177</v>
      </c>
      <c r="B3" t="s">
        <v>242</v>
      </c>
    </row>
    <row r="4" spans="1:9">
      <c r="A4" s="158" t="s">
        <v>179</v>
      </c>
      <c r="B4" t="s">
        <v>243</v>
      </c>
    </row>
    <row r="5" spans="1:9">
      <c r="A5" s="158" t="s">
        <v>181</v>
      </c>
      <c r="B5" t="s">
        <v>244</v>
      </c>
    </row>
    <row r="6" spans="1:9">
      <c r="A6" s="158" t="s">
        <v>183</v>
      </c>
      <c r="B6" t="s">
        <v>245</v>
      </c>
      <c r="I6" s="238" t="s">
        <v>246</v>
      </c>
    </row>
    <row r="7" spans="1:9">
      <c r="A7" s="158" t="s">
        <v>184</v>
      </c>
      <c r="B7" t="s">
        <v>247</v>
      </c>
    </row>
    <row r="8" spans="1:9">
      <c r="A8" s="158" t="s">
        <v>186</v>
      </c>
      <c r="B8" t="s">
        <v>248</v>
      </c>
    </row>
    <row r="9" spans="1:9">
      <c r="A9" s="158" t="s">
        <v>188</v>
      </c>
      <c r="B9" t="s">
        <v>249</v>
      </c>
    </row>
    <row r="10" spans="1:9">
      <c r="A10" s="158" t="s">
        <v>190</v>
      </c>
      <c r="B10" t="s">
        <v>250</v>
      </c>
    </row>
    <row r="11" spans="1:9">
      <c r="A11" s="158" t="s">
        <v>192</v>
      </c>
      <c r="B11" t="s">
        <v>251</v>
      </c>
    </row>
    <row r="12" spans="1:9">
      <c r="A12" s="158" t="s">
        <v>194</v>
      </c>
      <c r="B12" t="s">
        <v>252</v>
      </c>
    </row>
    <row r="13" spans="1:9">
      <c r="A13" s="158" t="s">
        <v>196</v>
      </c>
      <c r="B13" t="s">
        <v>253</v>
      </c>
    </row>
    <row r="14" spans="1:9">
      <c r="A14" s="158" t="s">
        <v>197</v>
      </c>
      <c r="B14" t="s">
        <v>254</v>
      </c>
    </row>
    <row r="15" spans="1:9">
      <c r="A15" s="158" t="s">
        <v>199</v>
      </c>
      <c r="B15" t="s">
        <v>255</v>
      </c>
    </row>
    <row r="23" spans="7:14">
      <c r="G23" s="238"/>
      <c r="H23" s="71"/>
      <c r="I23" s="71"/>
      <c r="J23" s="71"/>
      <c r="K23" s="71"/>
      <c r="L23" s="86"/>
      <c r="M23" s="86"/>
      <c r="N23" s="86"/>
    </row>
    <row r="24" spans="7:14">
      <c r="G24" s="71"/>
      <c r="H24" s="71"/>
      <c r="I24" s="71"/>
      <c r="J24" s="71"/>
      <c r="K24" s="71"/>
      <c r="L24" s="71"/>
      <c r="M24" s="71"/>
      <c r="N24" s="71"/>
    </row>
    <row r="25" spans="7:14">
      <c r="G25" s="71"/>
      <c r="H25" s="71"/>
      <c r="I25" s="239"/>
      <c r="J25" s="239"/>
      <c r="K25" s="239"/>
      <c r="L25" s="71"/>
      <c r="M25" s="218"/>
      <c r="N25" s="7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430F0-F4DF-164A-A517-D015F8E42CC1}">
  <dimension ref="B2:I32"/>
  <sheetViews>
    <sheetView showGridLines="0" zoomScale="88" workbookViewId="0">
      <selection activeCell="D23" sqref="D23"/>
    </sheetView>
  </sheetViews>
  <sheetFormatPr defaultColWidth="10.7109375" defaultRowHeight="12.4"/>
  <cols>
    <col min="3" max="3" width="46.140625" bestFit="1" customWidth="1"/>
    <col min="4" max="4" width="16.85546875" customWidth="1"/>
    <col min="8" max="9" width="14" bestFit="1" customWidth="1"/>
  </cols>
  <sheetData>
    <row r="2" spans="2:9" ht="17.649999999999999">
      <c r="B2" s="302" t="s">
        <v>256</v>
      </c>
    </row>
    <row r="4" spans="2:9" ht="14.45">
      <c r="B4" s="220" t="s">
        <v>257</v>
      </c>
      <c r="C4" s="221">
        <f ca="1">TODAY()</f>
        <v>45315</v>
      </c>
      <c r="D4" s="234"/>
    </row>
    <row r="5" spans="2:9" ht="14.45">
      <c r="B5" s="220" t="s">
        <v>258</v>
      </c>
      <c r="C5" s="222" t="s">
        <v>259</v>
      </c>
      <c r="D5" s="235"/>
    </row>
    <row r="8" spans="2:9">
      <c r="B8" s="352" t="s">
        <v>260</v>
      </c>
      <c r="C8" s="352"/>
      <c r="D8" s="352"/>
      <c r="E8" s="352"/>
      <c r="F8" s="352"/>
      <c r="G8" s="352"/>
      <c r="H8" s="352"/>
    </row>
    <row r="9" spans="2:9">
      <c r="B9" s="300" t="s">
        <v>257</v>
      </c>
      <c r="C9" s="272" t="s">
        <v>261</v>
      </c>
      <c r="D9" s="272" t="s">
        <v>262</v>
      </c>
      <c r="E9" s="272" t="s">
        <v>263</v>
      </c>
      <c r="F9" s="272" t="s">
        <v>264</v>
      </c>
      <c r="G9" s="272" t="s">
        <v>222</v>
      </c>
      <c r="H9" s="272" t="s">
        <v>229</v>
      </c>
      <c r="I9" s="301" t="s">
        <v>265</v>
      </c>
    </row>
    <row r="10" spans="2:9">
      <c r="B10" s="287"/>
      <c r="I10" s="147"/>
    </row>
    <row r="11" spans="2:9">
      <c r="B11" s="280">
        <f ca="1">TODAY()</f>
        <v>45315</v>
      </c>
      <c r="C11" t="e" vm="2">
        <v>#VALUE!</v>
      </c>
      <c r="D11" s="266" cm="1">
        <f t="array" ref="D11">_FV(C11,"Price")</f>
        <v>73.95</v>
      </c>
      <c r="E11" s="271">
        <f>'Comparable Company A'!F85</f>
        <v>2.2638144329896908</v>
      </c>
      <c r="F11" s="285">
        <f>'Comparable Company A'!F88</f>
        <v>32.666105013889521</v>
      </c>
      <c r="G11" s="257">
        <f>'Comparable Company A'!G36</f>
        <v>4999</v>
      </c>
      <c r="H11" s="257">
        <f>'Comparable Company A'!F84</f>
        <v>131564.57142857142</v>
      </c>
      <c r="I11" s="288">
        <f>H11/G11</f>
        <v>26.318177921298545</v>
      </c>
    </row>
    <row r="12" spans="2:9">
      <c r="B12" s="281">
        <f t="shared" ref="B12" ca="1" si="0">TODAY()</f>
        <v>45315</v>
      </c>
      <c r="C12" s="146" t="e" vm="3">
        <v>#VALUE!</v>
      </c>
      <c r="D12" s="282" cm="1">
        <f t="array" ref="D12">_FV(C12,"Price")</f>
        <v>36.82</v>
      </c>
      <c r="E12" s="283">
        <f>'Comparable Company B'!F83</f>
        <v>0.98237610319076707</v>
      </c>
      <c r="F12" s="286">
        <f>'Comparable Company B'!F86</f>
        <v>37.480553405572756</v>
      </c>
      <c r="G12" s="284">
        <f>'Comparable Company B'!G34</f>
        <v>3306</v>
      </c>
      <c r="H12" s="284">
        <f>'Comparable Company B'!F82</f>
        <v>71368.352941176476</v>
      </c>
      <c r="I12" s="289">
        <f>H12/G12</f>
        <v>21.587523575673465</v>
      </c>
    </row>
    <row r="13" spans="2:9">
      <c r="B13" s="233"/>
      <c r="D13" s="266"/>
      <c r="E13" s="271"/>
      <c r="F13" s="271"/>
    </row>
    <row r="14" spans="2:9">
      <c r="B14" s="233"/>
      <c r="D14" s="236"/>
    </row>
    <row r="17" spans="2:9">
      <c r="C17" s="355" t="s">
        <v>266</v>
      </c>
      <c r="D17" s="356"/>
      <c r="F17" s="355" t="s">
        <v>267</v>
      </c>
      <c r="G17" s="357"/>
      <c r="H17" s="357"/>
      <c r="I17" s="356"/>
    </row>
    <row r="18" spans="2:9">
      <c r="C18" s="292" t="s">
        <v>268</v>
      </c>
      <c r="D18" s="293">
        <f>AVERAGE(I11:I12)</f>
        <v>23.952850748486007</v>
      </c>
      <c r="F18" s="307" t="s">
        <v>269</v>
      </c>
      <c r="G18" s="304"/>
      <c r="I18" s="275">
        <f>AVERAGE(F11:F12)</f>
        <v>35.073329209731142</v>
      </c>
    </row>
    <row r="19" spans="2:9">
      <c r="C19" s="295"/>
      <c r="D19" s="296"/>
      <c r="F19" s="294"/>
      <c r="G19" s="304"/>
      <c r="I19" s="147"/>
    </row>
    <row r="20" spans="2:9">
      <c r="C20" s="295" t="s">
        <v>270</v>
      </c>
      <c r="D20" s="297">
        <f>D18*DCF!H75</f>
        <v>58048207.928489357</v>
      </c>
      <c r="F20" s="295" t="s">
        <v>271</v>
      </c>
      <c r="G20" s="274"/>
      <c r="I20" s="308">
        <f>DCF!H43/DCF!D66</f>
        <v>6.7211492229780223</v>
      </c>
    </row>
    <row r="21" spans="2:9">
      <c r="C21" s="295" t="s">
        <v>272</v>
      </c>
      <c r="D21" s="297">
        <f>D20-DCF!D84+DCF!D83</f>
        <v>50722471.928489357</v>
      </c>
      <c r="F21" s="298" t="s">
        <v>273</v>
      </c>
      <c r="G21" s="309"/>
      <c r="H21" s="146"/>
      <c r="I21" s="299">
        <f>I18*I20</f>
        <v>235.73307936523685</v>
      </c>
    </row>
    <row r="22" spans="2:9">
      <c r="C22" s="295"/>
      <c r="D22" s="296"/>
      <c r="F22" s="274"/>
      <c r="G22" s="305"/>
    </row>
    <row r="23" spans="2:9">
      <c r="C23" s="298" t="s">
        <v>273</v>
      </c>
      <c r="D23" s="299">
        <f>D21/DCF!D66</f>
        <v>244.14208804709978</v>
      </c>
      <c r="F23" s="274"/>
      <c r="G23" s="274"/>
    </row>
    <row r="24" spans="2:9">
      <c r="F24" s="274"/>
      <c r="G24" s="306"/>
    </row>
    <row r="31" spans="2:9" ht="15.6">
      <c r="C31" s="290"/>
      <c r="D31" s="290"/>
    </row>
    <row r="32" spans="2:9" ht="15.6">
      <c r="B32" s="290"/>
      <c r="E32" s="291"/>
      <c r="F32" s="291"/>
      <c r="G32" s="291"/>
      <c r="H32" s="291"/>
      <c r="I32" s="291"/>
    </row>
  </sheetData>
  <mergeCells count="3">
    <mergeCell ref="B8:H8"/>
    <mergeCell ref="C17:D17"/>
    <mergeCell ref="F17:I17"/>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E7C4F-FC25-954C-A735-B9D7A4A83112}">
  <dimension ref="B2:L137"/>
  <sheetViews>
    <sheetView showGridLines="0" zoomScale="53" workbookViewId="0">
      <pane xSplit="2" ySplit="7" topLeftCell="D52" activePane="bottomRight" state="frozen"/>
      <selection pane="bottomRight" activeCell="F83" sqref="F83"/>
      <selection pane="bottomLeft" activeCell="A8" sqref="A8"/>
      <selection pane="topRight" activeCell="C1" sqref="C1"/>
    </sheetView>
  </sheetViews>
  <sheetFormatPr defaultColWidth="10.7109375" defaultRowHeight="12.4"/>
  <cols>
    <col min="1" max="1" width="5.7109375" customWidth="1"/>
    <col min="2" max="2" width="73.28515625" style="71" bestFit="1" customWidth="1"/>
    <col min="3" max="3" width="4.7109375" customWidth="1"/>
    <col min="4" max="6" width="17.140625" customWidth="1"/>
    <col min="7" max="7" width="17.28515625" customWidth="1"/>
  </cols>
  <sheetData>
    <row r="2" spans="2:12">
      <c r="B2" s="98" t="s">
        <v>30</v>
      </c>
      <c r="D2" t="s">
        <v>274</v>
      </c>
    </row>
    <row r="3" spans="2:12">
      <c r="B3" s="98" t="s">
        <v>32</v>
      </c>
      <c r="D3" t="e" vm="2">
        <v>#VALUE!</v>
      </c>
    </row>
    <row r="4" spans="2:12">
      <c r="B4" s="98" t="s">
        <v>33</v>
      </c>
      <c r="D4" s="256" cm="1">
        <f t="array" ref="D4">_FV(D3,"Price")</f>
        <v>73.95</v>
      </c>
    </row>
    <row r="5" spans="2:12">
      <c r="B5" s="337" t="s">
        <v>275</v>
      </c>
      <c r="C5" s="337"/>
      <c r="D5" s="334">
        <v>2021</v>
      </c>
      <c r="E5" s="334" t="s">
        <v>276</v>
      </c>
      <c r="F5" s="334" t="s">
        <v>277</v>
      </c>
      <c r="G5" s="334" t="s">
        <v>278</v>
      </c>
    </row>
    <row r="6" spans="2:12">
      <c r="B6" s="337"/>
      <c r="C6" s="337"/>
      <c r="D6" s="334"/>
      <c r="E6" s="334"/>
      <c r="F6" s="334"/>
      <c r="G6" s="334"/>
    </row>
    <row r="7" spans="2:12" ht="12.95" customHeight="1">
      <c r="B7" s="337"/>
      <c r="C7" s="337"/>
      <c r="D7" s="334"/>
      <c r="E7" s="334"/>
      <c r="F7" s="334"/>
      <c r="G7" s="334"/>
    </row>
    <row r="8" spans="2:12" ht="12.95" customHeight="1">
      <c r="E8" s="352" t="s">
        <v>279</v>
      </c>
      <c r="F8" s="352"/>
    </row>
    <row r="9" spans="2:12" ht="12.95" customHeight="1"/>
    <row r="11" spans="2:12">
      <c r="B11" s="73" t="s">
        <v>36</v>
      </c>
    </row>
    <row r="12" spans="2:12">
      <c r="B12" s="75"/>
    </row>
    <row r="13" spans="2:12">
      <c r="B13" s="77" t="s">
        <v>39</v>
      </c>
      <c r="D13" s="83">
        <v>28720</v>
      </c>
      <c r="E13" s="83">
        <v>21062</v>
      </c>
      <c r="F13" s="83">
        <v>22801</v>
      </c>
      <c r="G13" s="83">
        <f>D13+F13-E13</f>
        <v>30459</v>
      </c>
      <c r="H13" s="26"/>
      <c r="I13" s="26"/>
      <c r="J13" s="26"/>
    </row>
    <row r="14" spans="2:12">
      <c r="B14" s="79" t="s">
        <v>40</v>
      </c>
      <c r="D14" s="81">
        <v>17466</v>
      </c>
      <c r="E14" s="83">
        <v>12641</v>
      </c>
      <c r="F14" s="83">
        <v>14564</v>
      </c>
      <c r="G14" s="83">
        <f t="shared" ref="G14:G36" si="0">D14+F14-E14</f>
        <v>19389</v>
      </c>
      <c r="H14" s="26"/>
      <c r="I14" s="26"/>
      <c r="J14" s="26"/>
    </row>
    <row r="15" spans="2:12" ht="12.6" thickBot="1">
      <c r="B15" s="84" t="s">
        <v>41</v>
      </c>
      <c r="D15" s="84">
        <f>D13-D14</f>
        <v>11254</v>
      </c>
      <c r="E15" s="84">
        <f>E13-E14</f>
        <v>8421</v>
      </c>
      <c r="F15" s="84">
        <f>F13-F14</f>
        <v>8237</v>
      </c>
      <c r="G15" s="84">
        <f t="shared" si="0"/>
        <v>11070</v>
      </c>
      <c r="H15" s="26"/>
      <c r="I15" s="26"/>
      <c r="J15" s="26"/>
    </row>
    <row r="16" spans="2:12" ht="12.6" thickTop="1">
      <c r="B16" s="75" t="s">
        <v>42</v>
      </c>
      <c r="D16" s="26"/>
      <c r="E16" s="26"/>
      <c r="F16" s="26"/>
      <c r="G16" s="26"/>
      <c r="H16" s="26"/>
      <c r="I16" s="358"/>
      <c r="J16" s="358"/>
      <c r="K16" s="358"/>
      <c r="L16" s="358"/>
    </row>
    <row r="17" spans="2:12">
      <c r="B17" s="70" t="s">
        <v>43</v>
      </c>
      <c r="D17" s="83">
        <v>6263</v>
      </c>
      <c r="E17" s="83">
        <v>4593</v>
      </c>
      <c r="F17" s="83">
        <v>5253</v>
      </c>
      <c r="G17" s="83">
        <f t="shared" si="0"/>
        <v>6923</v>
      </c>
      <c r="H17" s="26"/>
      <c r="I17" s="26"/>
      <c r="J17" s="26"/>
      <c r="L17" s="257"/>
    </row>
    <row r="18" spans="2:12">
      <c r="B18" s="26" t="s">
        <v>280</v>
      </c>
      <c r="D18" s="81">
        <v>212</v>
      </c>
      <c r="E18" s="83">
        <v>286</v>
      </c>
      <c r="F18" s="83">
        <v>188</v>
      </c>
      <c r="G18" s="83">
        <f t="shared" si="0"/>
        <v>114</v>
      </c>
      <c r="H18" s="26"/>
      <c r="I18" s="26"/>
      <c r="J18" s="26"/>
      <c r="L18" s="257"/>
    </row>
    <row r="19" spans="2:12">
      <c r="B19" s="26" t="s">
        <v>281</v>
      </c>
      <c r="D19" s="83">
        <v>-8</v>
      </c>
      <c r="E19" s="83">
        <v>-9</v>
      </c>
      <c r="F19" s="83"/>
      <c r="G19" s="83">
        <f t="shared" si="0"/>
        <v>1</v>
      </c>
      <c r="H19" s="26"/>
      <c r="I19" s="259"/>
      <c r="J19" s="26"/>
      <c r="L19" s="98"/>
    </row>
    <row r="20" spans="2:12">
      <c r="B20" s="26" t="s">
        <v>282</v>
      </c>
      <c r="D20" s="81">
        <v>134</v>
      </c>
      <c r="E20" s="83">
        <v>102</v>
      </c>
      <c r="F20" s="83">
        <v>96</v>
      </c>
      <c r="G20" s="83">
        <f t="shared" si="0"/>
        <v>128</v>
      </c>
      <c r="H20" s="26"/>
      <c r="I20" s="26"/>
      <c r="J20" s="26"/>
    </row>
    <row r="21" spans="2:12" ht="12.6" thickBot="1">
      <c r="B21" s="84" t="s">
        <v>46</v>
      </c>
      <c r="D21" s="84">
        <f>D15-SUM(D17:D20)</f>
        <v>4653</v>
      </c>
      <c r="E21" s="84">
        <f>E15-SUM(E17:E20)</f>
        <v>3449</v>
      </c>
      <c r="F21" s="84">
        <f>F15-SUM(F17:F20)</f>
        <v>2700</v>
      </c>
      <c r="G21" s="84">
        <f t="shared" si="0"/>
        <v>3904</v>
      </c>
      <c r="H21" s="26"/>
      <c r="I21" s="26"/>
      <c r="J21" s="26"/>
    </row>
    <row r="22" spans="2:12" ht="12.6" thickTop="1">
      <c r="B22" s="75"/>
      <c r="D22" s="26"/>
      <c r="E22" s="26"/>
      <c r="F22" s="26"/>
      <c r="G22" s="26"/>
      <c r="H22" s="26"/>
      <c r="I22" s="26"/>
      <c r="J22" s="26"/>
    </row>
    <row r="23" spans="2:12">
      <c r="B23" s="26" t="s">
        <v>283</v>
      </c>
      <c r="D23" s="83">
        <v>-163</v>
      </c>
      <c r="E23" s="83">
        <v>-135</v>
      </c>
      <c r="F23" s="83">
        <v>-93</v>
      </c>
      <c r="G23" s="83">
        <f t="shared" si="0"/>
        <v>-121</v>
      </c>
      <c r="H23" s="26"/>
      <c r="I23" s="26"/>
      <c r="J23" s="26"/>
    </row>
    <row r="24" spans="2:12">
      <c r="B24" s="26" t="s">
        <v>284</v>
      </c>
      <c r="D24" s="81">
        <v>447</v>
      </c>
      <c r="E24" s="83">
        <v>358</v>
      </c>
      <c r="F24" s="83">
        <v>337</v>
      </c>
      <c r="G24" s="83">
        <f t="shared" si="0"/>
        <v>426</v>
      </c>
      <c r="H24" s="26"/>
      <c r="I24" s="26"/>
      <c r="J24" s="26"/>
    </row>
    <row r="25" spans="2:12" ht="12.6" thickBot="1">
      <c r="B25" s="84" t="s">
        <v>49</v>
      </c>
      <c r="D25" s="84">
        <f>D21-SUM(D23:D24)</f>
        <v>4369</v>
      </c>
      <c r="E25" s="84">
        <f>E21-SUM(E23:E24)</f>
        <v>3226</v>
      </c>
      <c r="F25" s="84">
        <f>F21-SUM(F23:F24)</f>
        <v>2456</v>
      </c>
      <c r="G25" s="84">
        <f t="shared" si="0"/>
        <v>3599</v>
      </c>
      <c r="H25" s="26"/>
      <c r="I25" s="26"/>
      <c r="J25" s="26"/>
    </row>
    <row r="26" spans="2:12" ht="12.6" thickTop="1">
      <c r="B26" s="75"/>
      <c r="D26" s="75"/>
      <c r="E26" s="75"/>
      <c r="F26" s="75"/>
      <c r="G26" s="75"/>
      <c r="H26" s="26"/>
      <c r="I26" s="26"/>
      <c r="J26" s="26"/>
    </row>
    <row r="27" spans="2:12">
      <c r="B27" s="26" t="s">
        <v>285</v>
      </c>
      <c r="D27" s="83">
        <v>-1190</v>
      </c>
      <c r="E27" s="83">
        <v>-952</v>
      </c>
      <c r="F27" s="83">
        <v>-595</v>
      </c>
      <c r="G27" s="83">
        <f t="shared" si="0"/>
        <v>-833</v>
      </c>
      <c r="H27" s="26"/>
      <c r="I27" s="26"/>
      <c r="J27" s="26"/>
    </row>
    <row r="28" spans="2:12">
      <c r="B28" s="26" t="s">
        <v>286</v>
      </c>
      <c r="D28" s="81">
        <v>742</v>
      </c>
      <c r="E28" s="83">
        <v>745</v>
      </c>
      <c r="F28" s="83">
        <v>-19</v>
      </c>
      <c r="G28" s="83">
        <f t="shared" si="0"/>
        <v>-22</v>
      </c>
      <c r="H28" s="26"/>
      <c r="I28" s="26"/>
      <c r="J28" s="26"/>
    </row>
    <row r="29" spans="2:12">
      <c r="B29" s="26" t="s">
        <v>287</v>
      </c>
      <c r="D29" s="83">
        <v>393</v>
      </c>
      <c r="E29" s="83">
        <v>290</v>
      </c>
      <c r="F29" s="83">
        <v>300</v>
      </c>
      <c r="G29" s="83">
        <f t="shared" si="0"/>
        <v>403</v>
      </c>
      <c r="H29" s="26"/>
      <c r="I29" s="26"/>
      <c r="J29" s="26"/>
    </row>
    <row r="30" spans="2:12" ht="12.6" thickBot="1">
      <c r="B30" s="102" t="s">
        <v>288</v>
      </c>
      <c r="D30" s="102">
        <f>SUM(D27:D29)+D25</f>
        <v>4314</v>
      </c>
      <c r="E30" s="102">
        <f>SUM(E27:E29)+E25</f>
        <v>3309</v>
      </c>
      <c r="F30" s="102">
        <f>SUM(F27:F29)+F25</f>
        <v>2142</v>
      </c>
      <c r="G30" s="102">
        <f t="shared" si="0"/>
        <v>3147</v>
      </c>
    </row>
    <row r="31" spans="2:12" ht="12.6" thickTop="1">
      <c r="B31" s="26" t="s">
        <v>289</v>
      </c>
      <c r="D31" s="83">
        <v>-14</v>
      </c>
      <c r="E31" s="83">
        <v>-12</v>
      </c>
      <c r="F31" s="83">
        <v>-8</v>
      </c>
      <c r="G31" s="83">
        <f t="shared" si="0"/>
        <v>-10</v>
      </c>
    </row>
    <row r="32" spans="2:12" ht="12.95" customHeight="1" thickBot="1">
      <c r="B32" s="102" t="s">
        <v>290</v>
      </c>
      <c r="D32" s="102">
        <f>D30+D31</f>
        <v>4300</v>
      </c>
      <c r="E32" s="102">
        <f>E30+E31</f>
        <v>3297</v>
      </c>
      <c r="F32" s="102">
        <f>F30+F31</f>
        <v>2134</v>
      </c>
      <c r="G32" s="102">
        <f t="shared" si="0"/>
        <v>3137</v>
      </c>
    </row>
    <row r="33" spans="2:7" ht="12.95" customHeight="1" thickTop="1">
      <c r="B33" s="122"/>
      <c r="D33" s="122"/>
      <c r="E33" s="122"/>
      <c r="F33" s="122"/>
      <c r="G33" s="122"/>
    </row>
    <row r="34" spans="2:7" ht="12.95" customHeight="1">
      <c r="B34" s="259" t="s">
        <v>291</v>
      </c>
      <c r="D34" s="81">
        <v>1113</v>
      </c>
      <c r="E34" s="81">
        <v>837</v>
      </c>
      <c r="F34" s="81">
        <v>819</v>
      </c>
      <c r="G34" s="81">
        <f t="shared" si="0"/>
        <v>1095</v>
      </c>
    </row>
    <row r="35" spans="2:7">
      <c r="B35" s="78" t="s">
        <v>292</v>
      </c>
    </row>
    <row r="36" spans="2:7">
      <c r="B36" s="77" t="s">
        <v>222</v>
      </c>
      <c r="D36" s="98">
        <f>D34+D21</f>
        <v>5766</v>
      </c>
      <c r="E36" s="98">
        <f>E34+E21</f>
        <v>4286</v>
      </c>
      <c r="F36" s="98">
        <f>F34+F21</f>
        <v>3519</v>
      </c>
      <c r="G36" s="98">
        <f t="shared" si="0"/>
        <v>4999</v>
      </c>
    </row>
    <row r="37" spans="2:7" ht="12.95" customHeight="1">
      <c r="B37" s="78"/>
    </row>
    <row r="38" spans="2:7" ht="14.1" customHeight="1">
      <c r="B38" s="73" t="s">
        <v>54</v>
      </c>
    </row>
    <row r="39" spans="2:7">
      <c r="B39" s="78"/>
    </row>
    <row r="40" spans="2:7">
      <c r="B40" s="77" t="s">
        <v>56</v>
      </c>
    </row>
    <row r="41" spans="2:7">
      <c r="B41" s="87" t="s">
        <v>57</v>
      </c>
      <c r="D41" s="83">
        <v>3546</v>
      </c>
      <c r="E41" s="83">
        <v>3401</v>
      </c>
      <c r="F41" s="83">
        <v>2177</v>
      </c>
      <c r="G41" s="81"/>
    </row>
    <row r="42" spans="2:7">
      <c r="B42" s="87" t="s">
        <v>58</v>
      </c>
      <c r="D42" s="81">
        <f>2337+851</f>
        <v>3188</v>
      </c>
      <c r="E42" s="83">
        <v>3329</v>
      </c>
      <c r="F42" s="83">
        <f>2819+684</f>
        <v>3503</v>
      </c>
      <c r="G42" s="81"/>
    </row>
    <row r="43" spans="2:7">
      <c r="B43" s="87" t="s">
        <v>60</v>
      </c>
      <c r="D43" s="83">
        <v>2708</v>
      </c>
      <c r="E43" s="83">
        <v>2922</v>
      </c>
      <c r="F43" s="83">
        <v>3393</v>
      </c>
      <c r="G43" s="81"/>
    </row>
    <row r="44" spans="2:7">
      <c r="B44" s="87" t="s">
        <v>293</v>
      </c>
      <c r="D44" s="83">
        <v>900</v>
      </c>
      <c r="E44" s="83">
        <v>803</v>
      </c>
      <c r="F44" s="83">
        <v>837</v>
      </c>
      <c r="G44" s="81"/>
    </row>
    <row r="45" spans="2:7">
      <c r="B45" s="77" t="s">
        <v>64</v>
      </c>
      <c r="E45" s="257"/>
    </row>
    <row r="46" spans="2:7">
      <c r="B46" s="87" t="s">
        <v>65</v>
      </c>
      <c r="D46" s="83">
        <v>8658</v>
      </c>
      <c r="E46" s="83">
        <v>8668</v>
      </c>
      <c r="F46" s="83">
        <v>8632</v>
      </c>
      <c r="G46" s="81"/>
    </row>
    <row r="47" spans="2:7">
      <c r="B47" s="87" t="s">
        <v>294</v>
      </c>
      <c r="D47" s="81">
        <v>613</v>
      </c>
      <c r="E47" s="83">
        <v>636</v>
      </c>
      <c r="F47" s="83">
        <v>668</v>
      </c>
      <c r="G47" s="81"/>
    </row>
    <row r="48" spans="2:7">
      <c r="B48" s="87" t="s">
        <v>66</v>
      </c>
      <c r="D48" s="83">
        <v>21978</v>
      </c>
      <c r="E48" s="83">
        <v>22029</v>
      </c>
      <c r="F48" s="83">
        <v>22387</v>
      </c>
      <c r="G48" s="81"/>
    </row>
    <row r="49" spans="2:7">
      <c r="B49" s="87" t="s">
        <v>295</v>
      </c>
      <c r="D49" s="83">
        <v>1009</v>
      </c>
      <c r="E49" s="83">
        <v>838</v>
      </c>
      <c r="F49" s="83">
        <v>1078</v>
      </c>
      <c r="G49" s="81"/>
    </row>
    <row r="50" spans="2:7">
      <c r="B50" s="87" t="s">
        <v>67</v>
      </c>
      <c r="D50" s="83">
        <v>18291</v>
      </c>
      <c r="E50" s="83">
        <v>18413</v>
      </c>
      <c r="F50" s="83">
        <v>19313</v>
      </c>
      <c r="G50" s="81"/>
    </row>
    <row r="51" spans="2:7">
      <c r="B51" s="87" t="s">
        <v>68</v>
      </c>
      <c r="D51" s="81">
        <f>371</f>
        <v>371</v>
      </c>
      <c r="E51" s="83">
        <v>376</v>
      </c>
      <c r="F51" s="83">
        <f>1068</f>
        <v>1068</v>
      </c>
      <c r="G51" s="81"/>
    </row>
    <row r="52" spans="2:7">
      <c r="B52" s="87" t="s">
        <v>296</v>
      </c>
      <c r="D52" s="83">
        <v>5289</v>
      </c>
      <c r="E52" s="83">
        <v>5269</v>
      </c>
      <c r="F52" s="83">
        <v>4498</v>
      </c>
      <c r="G52" s="81"/>
    </row>
    <row r="53" spans="2:7">
      <c r="B53" s="87" t="s">
        <v>69</v>
      </c>
      <c r="D53" s="83">
        <v>541</v>
      </c>
      <c r="E53" s="83">
        <v>633</v>
      </c>
      <c r="F53" s="83">
        <v>482</v>
      </c>
      <c r="G53" s="81"/>
    </row>
    <row r="54" spans="2:7" ht="12.6" thickBot="1">
      <c r="B54" s="84" t="s">
        <v>70</v>
      </c>
      <c r="D54" s="84">
        <f>SUM(D41:D44)+SUM(D46:D53)</f>
        <v>67092</v>
      </c>
      <c r="E54" s="84">
        <f>SUM(E41:E44)+SUM(E46:E53)</f>
        <v>67317</v>
      </c>
      <c r="F54" s="84">
        <f>SUM(F41:F44)+SUM(F46:F53)</f>
        <v>68036</v>
      </c>
      <c r="G54" s="75"/>
    </row>
    <row r="55" spans="2:7" ht="12.6" thickTop="1">
      <c r="B55" s="75"/>
    </row>
    <row r="56" spans="2:7">
      <c r="B56" s="77" t="s">
        <v>71</v>
      </c>
    </row>
    <row r="57" spans="2:7">
      <c r="B57" s="87" t="s">
        <v>72</v>
      </c>
      <c r="D57" s="83">
        <v>6730</v>
      </c>
      <c r="E57" s="83">
        <v>6484</v>
      </c>
      <c r="F57" s="83">
        <v>6726</v>
      </c>
      <c r="G57" s="81"/>
    </row>
    <row r="58" spans="2:7">
      <c r="B58" s="87" t="s">
        <v>73</v>
      </c>
      <c r="D58" s="81">
        <f>2097+822</f>
        <v>2919</v>
      </c>
      <c r="E58" s="81">
        <v>2800</v>
      </c>
      <c r="F58" s="83">
        <f>2258+829</f>
        <v>3087</v>
      </c>
      <c r="G58" s="81"/>
    </row>
    <row r="59" spans="2:7">
      <c r="B59" s="87" t="s">
        <v>75</v>
      </c>
      <c r="D59" s="83">
        <v>216</v>
      </c>
      <c r="E59" s="83">
        <v>234</v>
      </c>
      <c r="F59" s="83">
        <v>1753</v>
      </c>
      <c r="G59" s="81"/>
    </row>
    <row r="60" spans="2:7">
      <c r="B60" s="87" t="s">
        <v>76</v>
      </c>
      <c r="D60" s="83">
        <v>1746</v>
      </c>
      <c r="E60" s="83">
        <v>2061</v>
      </c>
      <c r="F60" s="83">
        <v>100</v>
      </c>
      <c r="G60" s="81"/>
    </row>
    <row r="61" spans="2:7">
      <c r="B61" s="87" t="s">
        <v>297</v>
      </c>
      <c r="D61" s="81">
        <v>2397</v>
      </c>
      <c r="E61" s="81">
        <v>2680</v>
      </c>
      <c r="F61" s="83">
        <v>2655</v>
      </c>
      <c r="G61" s="81"/>
    </row>
    <row r="62" spans="2:7">
      <c r="B62" s="77" t="s">
        <v>77</v>
      </c>
      <c r="D62" s="83"/>
      <c r="E62" s="83"/>
      <c r="F62" s="83"/>
      <c r="G62" s="81"/>
    </row>
    <row r="63" spans="2:7">
      <c r="B63" s="91" t="s">
        <v>78</v>
      </c>
      <c r="D63" s="81">
        <v>17550</v>
      </c>
      <c r="E63" s="81">
        <v>17692</v>
      </c>
      <c r="F63" s="83">
        <v>19811</v>
      </c>
      <c r="G63" s="81"/>
    </row>
    <row r="64" spans="2:7">
      <c r="B64" s="91" t="s">
        <v>79</v>
      </c>
      <c r="D64" s="83">
        <f>459+2326</f>
        <v>2785</v>
      </c>
      <c r="E64" s="83">
        <v>2824</v>
      </c>
      <c r="F64" s="83">
        <f>523+2482</f>
        <v>3005</v>
      </c>
      <c r="G64" s="81"/>
    </row>
    <row r="65" spans="2:7">
      <c r="B65" s="91" t="s">
        <v>69</v>
      </c>
      <c r="D65" s="83">
        <v>3444</v>
      </c>
      <c r="E65" s="83">
        <v>3388</v>
      </c>
      <c r="F65" s="83">
        <v>3401</v>
      </c>
      <c r="G65" s="81"/>
    </row>
    <row r="66" spans="2:7">
      <c r="B66" s="91" t="s">
        <v>298</v>
      </c>
      <c r="D66" s="83">
        <f>681+301</f>
        <v>982</v>
      </c>
      <c r="E66" s="83">
        <v>1400</v>
      </c>
      <c r="F66" s="83">
        <f>537+291</f>
        <v>828</v>
      </c>
      <c r="G66" s="81"/>
    </row>
    <row r="67" spans="2:7" ht="12.6" thickBot="1">
      <c r="B67" s="84" t="s">
        <v>80</v>
      </c>
      <c r="D67" s="84">
        <f>SUM(D63:D66,D57:D61)</f>
        <v>38769</v>
      </c>
      <c r="E67" s="84">
        <f t="shared" ref="E67:F67" si="1">SUM(E63:E66,E57:E61)</f>
        <v>39563</v>
      </c>
      <c r="F67" s="84">
        <f t="shared" si="1"/>
        <v>41366</v>
      </c>
      <c r="G67" s="75"/>
    </row>
    <row r="68" spans="2:7" ht="12.6" thickTop="1">
      <c r="B68" s="75" t="s">
        <v>81</v>
      </c>
      <c r="D68" s="83"/>
      <c r="E68" s="83"/>
      <c r="F68" s="83"/>
      <c r="G68" s="81"/>
    </row>
    <row r="69" spans="2:7">
      <c r="B69" s="78" t="s">
        <v>83</v>
      </c>
      <c r="D69" s="83"/>
      <c r="E69" s="83"/>
      <c r="F69" s="83"/>
      <c r="G69" s="81"/>
    </row>
    <row r="70" spans="2:7">
      <c r="B70" s="91" t="s">
        <v>88</v>
      </c>
      <c r="D70" s="83">
        <v>32097</v>
      </c>
      <c r="E70" s="83">
        <v>32066</v>
      </c>
      <c r="F70" s="83">
        <v>32116</v>
      </c>
      <c r="G70" s="81"/>
    </row>
    <row r="71" spans="2:7">
      <c r="B71" s="78" t="s">
        <v>89</v>
      </c>
      <c r="D71" s="81">
        <v>30806</v>
      </c>
      <c r="E71" s="83">
        <v>30305</v>
      </c>
      <c r="F71" s="83">
        <v>31437</v>
      </c>
      <c r="G71" s="81"/>
    </row>
    <row r="72" spans="2:7">
      <c r="B72" s="91" t="s">
        <v>90</v>
      </c>
      <c r="D72" s="83">
        <v>-24010</v>
      </c>
      <c r="E72" s="83">
        <v>-23769</v>
      </c>
      <c r="F72" s="83">
        <v>-25681</v>
      </c>
      <c r="G72" s="81"/>
    </row>
    <row r="73" spans="2:7">
      <c r="B73" s="91" t="s">
        <v>91</v>
      </c>
      <c r="D73" s="83">
        <v>-10624</v>
      </c>
      <c r="E73" s="83">
        <v>-10904</v>
      </c>
      <c r="F73" s="83">
        <v>-11231</v>
      </c>
      <c r="G73" s="81"/>
    </row>
    <row r="74" spans="2:7" ht="12.6" thickBot="1">
      <c r="B74" s="99" t="s">
        <v>299</v>
      </c>
      <c r="D74" s="84">
        <f>SUM(D70:D73)</f>
        <v>28269</v>
      </c>
      <c r="E74" s="84">
        <f>SUM(E70:E73)</f>
        <v>27698</v>
      </c>
      <c r="F74" s="84">
        <f>SUM(F70:F73)</f>
        <v>26641</v>
      </c>
      <c r="G74" s="75"/>
    </row>
    <row r="75" spans="2:7" ht="12.6" thickTop="1">
      <c r="B75" s="87" t="s">
        <v>93</v>
      </c>
      <c r="D75" s="83">
        <v>54</v>
      </c>
      <c r="E75" s="83">
        <v>56</v>
      </c>
      <c r="F75" s="83">
        <v>29</v>
      </c>
      <c r="G75" s="81"/>
    </row>
    <row r="76" spans="2:7" ht="12.6" thickBot="1">
      <c r="B76" s="120" t="s">
        <v>94</v>
      </c>
      <c r="D76" s="84">
        <f>SUM(D70:D73,D75)</f>
        <v>28323</v>
      </c>
      <c r="E76" s="84">
        <f t="shared" ref="E76:F76" si="2">SUM(E70:E73,E75)</f>
        <v>27754</v>
      </c>
      <c r="F76" s="84">
        <f t="shared" si="2"/>
        <v>26670</v>
      </c>
      <c r="G76" s="75"/>
    </row>
    <row r="77" spans="2:7" ht="12.95" thickTop="1" thickBot="1">
      <c r="B77" s="84" t="s">
        <v>95</v>
      </c>
      <c r="D77" s="84">
        <f>D67+D76</f>
        <v>67092</v>
      </c>
      <c r="E77" s="84">
        <f>E67+E76</f>
        <v>67317</v>
      </c>
      <c r="F77" s="84">
        <f>F67+F76</f>
        <v>68036</v>
      </c>
      <c r="G77" s="75"/>
    </row>
    <row r="78" spans="2:7" ht="12.6" thickTop="1">
      <c r="B78" s="78"/>
      <c r="D78" s="83"/>
      <c r="E78" s="83"/>
      <c r="F78" s="83"/>
      <c r="G78" s="81"/>
    </row>
    <row r="79" spans="2:7" ht="12.6">
      <c r="B79" s="94" t="s">
        <v>96</v>
      </c>
      <c r="D79" s="94" t="str">
        <f>IF(D77=D54,"OK","ERROR")</f>
        <v>OK</v>
      </c>
      <c r="E79" s="94" t="str">
        <f>IF(E77=E54,"OK","ERROR")</f>
        <v>OK</v>
      </c>
      <c r="F79" s="94" t="str">
        <f>IF(F77=F54,"OK","ERROR")</f>
        <v>OK</v>
      </c>
      <c r="G79" s="125"/>
    </row>
    <row r="80" spans="2:7" ht="12.6">
      <c r="B80" s="94"/>
      <c r="D80" s="81"/>
      <c r="E80" s="83"/>
      <c r="F80" s="83"/>
    </row>
    <row r="81" spans="2:7">
      <c r="B81" s="263" t="s">
        <v>300</v>
      </c>
      <c r="C81" s="260"/>
      <c r="D81" s="260"/>
      <c r="E81" s="260"/>
      <c r="F81" s="267">
        <f>F32/1.54</f>
        <v>1385.7142857142858</v>
      </c>
      <c r="G81" t="s">
        <v>301</v>
      </c>
    </row>
    <row r="82" spans="2:7">
      <c r="B82" s="264" t="s">
        <v>302</v>
      </c>
      <c r="F82" s="265">
        <f>F58+F59+F60+F61+F63+F64+F66</f>
        <v>31239</v>
      </c>
    </row>
    <row r="83" spans="2:7">
      <c r="B83" s="264" t="s">
        <v>233</v>
      </c>
      <c r="F83" s="265">
        <f>F81*D4</f>
        <v>102473.57142857143</v>
      </c>
    </row>
    <row r="84" spans="2:7">
      <c r="B84" s="268" t="s">
        <v>229</v>
      </c>
      <c r="F84" s="269">
        <f>F83+F82-F41+F75</f>
        <v>131564.57142857142</v>
      </c>
    </row>
    <row r="85" spans="2:7">
      <c r="B85" s="262" t="s">
        <v>263</v>
      </c>
      <c r="C85" s="146"/>
      <c r="D85" s="146"/>
      <c r="E85" s="146"/>
      <c r="F85" s="270">
        <f>G32/F81</f>
        <v>2.2638144329896908</v>
      </c>
    </row>
    <row r="86" spans="2:7">
      <c r="B86" s="75"/>
    </row>
    <row r="87" spans="2:7">
      <c r="B87" s="79"/>
    </row>
    <row r="88" spans="2:7">
      <c r="B88" s="263" t="s">
        <v>264</v>
      </c>
      <c r="C88" s="272"/>
      <c r="D88" s="272"/>
      <c r="E88" s="272"/>
      <c r="F88" s="273">
        <f>D4/F85</f>
        <v>32.666105013889521</v>
      </c>
    </row>
    <row r="89" spans="2:7">
      <c r="B89" s="264" t="s">
        <v>303</v>
      </c>
      <c r="C89" s="274"/>
      <c r="D89" s="274"/>
      <c r="E89" s="274"/>
      <c r="F89" s="275">
        <f>F81*D4/G32</f>
        <v>32.666105013889521</v>
      </c>
    </row>
    <row r="90" spans="2:7">
      <c r="B90" s="264" t="s">
        <v>265</v>
      </c>
      <c r="C90" s="274"/>
      <c r="D90" s="274"/>
      <c r="E90" s="274"/>
      <c r="F90" s="275">
        <f>F84/G36</f>
        <v>26.318177921298545</v>
      </c>
    </row>
    <row r="91" spans="2:7">
      <c r="B91" s="276" t="s">
        <v>304</v>
      </c>
      <c r="C91" s="277"/>
      <c r="D91" s="277"/>
      <c r="E91" s="277"/>
      <c r="F91" s="278">
        <f>F84/G21</f>
        <v>33.699941451990632</v>
      </c>
    </row>
    <row r="92" spans="2:7">
      <c r="B92" s="79"/>
    </row>
    <row r="93" spans="2:7">
      <c r="B93" s="79"/>
    </row>
    <row r="94" spans="2:7">
      <c r="B94" s="79"/>
    </row>
    <row r="95" spans="2:7">
      <c r="B95" s="79"/>
    </row>
    <row r="96" spans="2:7">
      <c r="B96" s="79"/>
    </row>
    <row r="97" spans="2:2">
      <c r="B97" s="79"/>
    </row>
    <row r="98" spans="2:2">
      <c r="B98" s="75"/>
    </row>
    <row r="99" spans="2:2">
      <c r="B99" s="79"/>
    </row>
    <row r="100" spans="2:2">
      <c r="B100" s="79"/>
    </row>
    <row r="101" spans="2:2">
      <c r="B101" s="79"/>
    </row>
    <row r="102" spans="2:2">
      <c r="B102" s="79"/>
    </row>
    <row r="103" spans="2:2">
      <c r="B103" s="79"/>
    </row>
    <row r="104" spans="2:2">
      <c r="B104" s="79"/>
    </row>
    <row r="105" spans="2:2">
      <c r="B105" s="79"/>
    </row>
    <row r="106" spans="2:2">
      <c r="B106" s="75"/>
    </row>
    <row r="107" spans="2:2">
      <c r="B107" s="79"/>
    </row>
    <row r="108" spans="2:2">
      <c r="B108" s="75"/>
    </row>
    <row r="109" spans="2:2">
      <c r="B109" s="79"/>
    </row>
    <row r="110" spans="2:2">
      <c r="B110" s="79"/>
    </row>
    <row r="111" spans="2:2">
      <c r="B111" s="79"/>
    </row>
    <row r="112" spans="2:2">
      <c r="B112" s="79"/>
    </row>
    <row r="113" spans="2:2">
      <c r="B113" s="79"/>
    </row>
    <row r="114" spans="2:2">
      <c r="B114" s="79"/>
    </row>
    <row r="115" spans="2:2">
      <c r="B115" s="75"/>
    </row>
    <row r="116" spans="2:2">
      <c r="B116" s="79"/>
    </row>
    <row r="117" spans="2:2">
      <c r="B117" s="79"/>
    </row>
    <row r="118" spans="2:2">
      <c r="B118" s="79"/>
    </row>
    <row r="119" spans="2:2">
      <c r="B119" s="79"/>
    </row>
    <row r="120" spans="2:2">
      <c r="B120" s="79"/>
    </row>
    <row r="121" spans="2:2">
      <c r="B121" s="79"/>
    </row>
    <row r="122" spans="2:2">
      <c r="B122" s="79"/>
    </row>
    <row r="123" spans="2:2">
      <c r="B123" s="75"/>
    </row>
    <row r="124" spans="2:2">
      <c r="B124" s="75"/>
    </row>
    <row r="125" spans="2:2">
      <c r="B125" s="79"/>
    </row>
    <row r="126" spans="2:2">
      <c r="B126" s="79"/>
    </row>
    <row r="129" spans="2:2">
      <c r="B129" s="98"/>
    </row>
    <row r="130" spans="2:2">
      <c r="B130" s="258"/>
    </row>
    <row r="131" spans="2:2">
      <c r="B131" s="98"/>
    </row>
    <row r="137" spans="2:2">
      <c r="B137" s="237"/>
    </row>
  </sheetData>
  <mergeCells count="8">
    <mergeCell ref="G5:G7"/>
    <mergeCell ref="I16:L16"/>
    <mergeCell ref="E8:F8"/>
    <mergeCell ref="B5:B7"/>
    <mergeCell ref="D5:D7"/>
    <mergeCell ref="E5:E7"/>
    <mergeCell ref="F5:F7"/>
    <mergeCell ref="C5:C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FBC38-08A4-D74D-8365-7AC2C7CC8C32}">
  <dimension ref="B2:L134"/>
  <sheetViews>
    <sheetView showGridLines="0" workbookViewId="0">
      <pane xSplit="2" ySplit="7" topLeftCell="C67" activePane="bottomRight" state="frozen"/>
      <selection pane="bottomRight" activeCell="C1" sqref="C1:C1048576"/>
      <selection pane="bottomLeft" activeCell="A8" sqref="A8"/>
      <selection pane="topRight" activeCell="C1" sqref="C1"/>
    </sheetView>
  </sheetViews>
  <sheetFormatPr defaultColWidth="10.7109375" defaultRowHeight="12.4"/>
  <cols>
    <col min="1" max="1" width="5.7109375" customWidth="1"/>
    <col min="2" max="2" width="73.28515625" style="71" bestFit="1" customWidth="1"/>
    <col min="3" max="3" width="4.28515625" hidden="1" customWidth="1"/>
    <col min="4" max="6" width="17.140625" customWidth="1"/>
    <col min="7" max="7" width="18.140625" customWidth="1"/>
  </cols>
  <sheetData>
    <row r="2" spans="2:12">
      <c r="B2" s="98" t="s">
        <v>30</v>
      </c>
      <c r="D2" t="s">
        <v>305</v>
      </c>
    </row>
    <row r="3" spans="2:12">
      <c r="B3" s="98" t="s">
        <v>32</v>
      </c>
      <c r="D3" t="e" vm="3">
        <v>#VALUE!</v>
      </c>
    </row>
    <row r="4" spans="2:12">
      <c r="B4" s="98" t="s">
        <v>33</v>
      </c>
      <c r="D4" s="256" cm="1">
        <f t="array" ref="D4">_FV(D3,"Price")</f>
        <v>36.82</v>
      </c>
    </row>
    <row r="5" spans="2:12" ht="12.95" customHeight="1">
      <c r="B5" s="337" t="s">
        <v>275</v>
      </c>
      <c r="C5" s="337"/>
      <c r="D5" s="334">
        <v>2021</v>
      </c>
      <c r="E5" s="334" t="s">
        <v>276</v>
      </c>
      <c r="F5" s="334" t="s">
        <v>277</v>
      </c>
      <c r="G5" s="334" t="s">
        <v>278</v>
      </c>
    </row>
    <row r="6" spans="2:12" ht="12.95" customHeight="1">
      <c r="B6" s="337"/>
      <c r="C6" s="337"/>
      <c r="D6" s="334"/>
      <c r="E6" s="334"/>
      <c r="F6" s="334"/>
      <c r="G6" s="334"/>
    </row>
    <row r="7" spans="2:12" ht="12.95" customHeight="1">
      <c r="B7" s="337"/>
      <c r="C7" s="337"/>
      <c r="D7" s="334"/>
      <c r="E7" s="334"/>
      <c r="F7" s="334"/>
      <c r="G7" s="334"/>
    </row>
    <row r="8" spans="2:12" ht="12.95" customHeight="1">
      <c r="E8" s="352" t="s">
        <v>279</v>
      </c>
      <c r="F8" s="352"/>
    </row>
    <row r="9" spans="2:12" ht="12.95" customHeight="1"/>
    <row r="11" spans="2:12">
      <c r="B11" s="73" t="s">
        <v>36</v>
      </c>
      <c r="I11" s="121"/>
    </row>
    <row r="12" spans="2:12">
      <c r="B12" s="75"/>
    </row>
    <row r="13" spans="2:12">
      <c r="B13" s="77" t="s">
        <v>39</v>
      </c>
      <c r="D13" s="83">
        <v>26042</v>
      </c>
      <c r="E13" s="83">
        <v>19333</v>
      </c>
      <c r="F13" s="83">
        <v>19104</v>
      </c>
      <c r="G13" s="83">
        <f>D13+F13-E13</f>
        <v>25813</v>
      </c>
      <c r="H13" s="26"/>
      <c r="I13" s="26"/>
      <c r="J13" s="26"/>
    </row>
    <row r="14" spans="2:12">
      <c r="B14" s="79" t="s">
        <v>40</v>
      </c>
      <c r="D14" s="81">
        <v>17360</v>
      </c>
      <c r="E14" s="83">
        <v>12813</v>
      </c>
      <c r="F14" s="81">
        <v>13346</v>
      </c>
      <c r="G14" s="81">
        <f t="shared" ref="G14:G15" si="0">D14+F14-E14</f>
        <v>17893</v>
      </c>
      <c r="H14" s="26"/>
      <c r="I14" s="26"/>
      <c r="J14" s="26"/>
    </row>
    <row r="15" spans="2:12" ht="12.6" thickBot="1">
      <c r="B15" s="84" t="s">
        <v>41</v>
      </c>
      <c r="D15" s="84">
        <f>D13-D14</f>
        <v>8682</v>
      </c>
      <c r="E15" s="84">
        <f>E13-E14</f>
        <v>6520</v>
      </c>
      <c r="F15" s="84">
        <f>F13-F14</f>
        <v>5758</v>
      </c>
      <c r="G15" s="84">
        <f t="shared" si="0"/>
        <v>7920</v>
      </c>
      <c r="H15" s="26"/>
      <c r="I15" s="26"/>
      <c r="J15" s="26"/>
    </row>
    <row r="16" spans="2:12" ht="12.6" thickTop="1">
      <c r="B16" s="75" t="s">
        <v>42</v>
      </c>
      <c r="D16" s="26"/>
      <c r="E16" s="26"/>
      <c r="F16" s="26"/>
      <c r="G16" s="26"/>
      <c r="H16" s="26"/>
      <c r="I16" s="358"/>
      <c r="J16" s="358"/>
      <c r="K16" s="358"/>
      <c r="L16" s="358"/>
    </row>
    <row r="17" spans="2:12">
      <c r="B17" s="79" t="s">
        <v>306</v>
      </c>
      <c r="D17" s="83">
        <v>3588</v>
      </c>
      <c r="E17" s="83">
        <v>2697</v>
      </c>
      <c r="F17" s="83">
        <v>2437</v>
      </c>
      <c r="G17" s="83">
        <f>D17+F17-E17</f>
        <v>3328</v>
      </c>
      <c r="H17" s="26"/>
      <c r="I17" s="26"/>
      <c r="J17" s="26"/>
      <c r="L17" s="257"/>
    </row>
    <row r="18" spans="2:12">
      <c r="B18" s="79" t="s">
        <v>307</v>
      </c>
      <c r="D18" s="81">
        <v>318</v>
      </c>
      <c r="E18" s="83">
        <v>265</v>
      </c>
      <c r="F18" s="81">
        <v>444</v>
      </c>
      <c r="G18" s="81">
        <f t="shared" ref="G18:G21" si="1">D18+F18-E18</f>
        <v>497</v>
      </c>
      <c r="H18" s="26"/>
      <c r="I18" s="26"/>
      <c r="J18" s="26"/>
      <c r="L18" s="257"/>
    </row>
    <row r="19" spans="2:12">
      <c r="B19" s="79" t="s">
        <v>308</v>
      </c>
      <c r="D19" s="81">
        <v>1316</v>
      </c>
      <c r="E19" s="83">
        <v>78</v>
      </c>
      <c r="F19" s="81">
        <v>469</v>
      </c>
      <c r="G19" s="81">
        <f t="shared" si="1"/>
        <v>1707</v>
      </c>
      <c r="H19" s="26"/>
      <c r="I19" s="259"/>
      <c r="J19" s="26"/>
      <c r="L19" s="98"/>
    </row>
    <row r="20" spans="2:12">
      <c r="B20" s="75" t="s">
        <v>309</v>
      </c>
      <c r="C20" s="75"/>
      <c r="D20" s="75">
        <f>SUM(D17:D19)</f>
        <v>5222</v>
      </c>
      <c r="E20" s="75">
        <f>SUM(E17:E19)</f>
        <v>3040</v>
      </c>
      <c r="F20" s="75">
        <f>SUM(F17:F19)</f>
        <v>3350</v>
      </c>
      <c r="G20" s="75">
        <f t="shared" si="1"/>
        <v>5532</v>
      </c>
      <c r="H20" s="26"/>
      <c r="I20" s="26"/>
      <c r="J20" s="26"/>
    </row>
    <row r="21" spans="2:12" ht="12.6" thickBot="1">
      <c r="B21" s="84" t="s">
        <v>46</v>
      </c>
      <c r="D21" s="84">
        <f>D15-SUM(D17:D19)</f>
        <v>3460</v>
      </c>
      <c r="E21" s="84">
        <f>E15-SUM(E17:E19)</f>
        <v>3480</v>
      </c>
      <c r="F21" s="84">
        <f>F15-SUM(F17:F19)</f>
        <v>2408</v>
      </c>
      <c r="G21" s="84">
        <f t="shared" si="1"/>
        <v>2388</v>
      </c>
      <c r="H21" s="26"/>
      <c r="I21" s="121"/>
      <c r="J21" s="26"/>
    </row>
    <row r="22" spans="2:12" ht="12.6" thickTop="1">
      <c r="B22" s="75"/>
      <c r="D22" s="26"/>
      <c r="E22" s="26"/>
      <c r="F22" s="26"/>
      <c r="G22" s="26"/>
      <c r="H22" s="26"/>
      <c r="I22" s="26"/>
      <c r="J22" s="26"/>
    </row>
    <row r="23" spans="2:12">
      <c r="B23" s="26" t="s">
        <v>310</v>
      </c>
      <c r="D23" s="83">
        <v>2047</v>
      </c>
      <c r="E23" s="83">
        <v>1443</v>
      </c>
      <c r="F23" s="83">
        <v>704</v>
      </c>
      <c r="G23" s="83">
        <f>D23+F23-E23</f>
        <v>1308</v>
      </c>
      <c r="H23" s="26"/>
      <c r="I23" s="26"/>
      <c r="J23" s="26"/>
    </row>
    <row r="24" spans="2:12">
      <c r="B24" s="26" t="s">
        <v>311</v>
      </c>
      <c r="D24" s="81">
        <v>-295</v>
      </c>
      <c r="E24" s="81">
        <v>-191</v>
      </c>
      <c r="F24" s="81">
        <v>-211</v>
      </c>
      <c r="G24" s="81">
        <f t="shared" ref="G24:G25" si="2">D24+F24-E24</f>
        <v>-315</v>
      </c>
      <c r="H24" s="26"/>
      <c r="I24" s="26"/>
      <c r="J24" s="26"/>
    </row>
    <row r="25" spans="2:12" ht="12.6" thickBot="1">
      <c r="B25" s="84" t="s">
        <v>49</v>
      </c>
      <c r="D25" s="84">
        <f>D21-SUM(D23:D24)</f>
        <v>1708</v>
      </c>
      <c r="E25" s="84">
        <f>E21-SUM(E23:E24)</f>
        <v>2228</v>
      </c>
      <c r="F25" s="84">
        <f>F21-SUM(F23:F24)</f>
        <v>1915</v>
      </c>
      <c r="G25" s="84">
        <f t="shared" si="2"/>
        <v>1395</v>
      </c>
      <c r="H25" s="26"/>
      <c r="I25" s="26"/>
      <c r="J25" s="26"/>
    </row>
    <row r="26" spans="2:12" ht="12.6" thickTop="1">
      <c r="B26" s="75"/>
      <c r="D26" s="26"/>
      <c r="E26" s="26"/>
      <c r="F26" s="26"/>
      <c r="G26" s="26"/>
      <c r="H26" s="26"/>
      <c r="I26" s="26"/>
      <c r="J26" s="26"/>
    </row>
    <row r="27" spans="2:12">
      <c r="B27" s="26" t="s">
        <v>285</v>
      </c>
      <c r="D27" s="83">
        <v>684</v>
      </c>
      <c r="E27" s="83">
        <v>949</v>
      </c>
      <c r="F27" s="83">
        <v>434</v>
      </c>
      <c r="G27" s="83">
        <f>D27+F27-E27</f>
        <v>169</v>
      </c>
      <c r="H27" s="26"/>
      <c r="I27" s="26"/>
      <c r="J27" s="26"/>
    </row>
    <row r="28" spans="2:12" ht="12.6" thickBot="1">
      <c r="B28" s="102" t="s">
        <v>288</v>
      </c>
      <c r="D28" s="102">
        <f>D25-D27</f>
        <v>1024</v>
      </c>
      <c r="E28" s="102">
        <f>E25-E27</f>
        <v>1279</v>
      </c>
      <c r="F28" s="102">
        <f>F25-F27</f>
        <v>1481</v>
      </c>
      <c r="G28" s="102">
        <f t="shared" ref="G28:G30" si="3">D28+F28-E28</f>
        <v>1226</v>
      </c>
      <c r="H28" s="26"/>
      <c r="I28" s="26"/>
      <c r="J28" s="26"/>
    </row>
    <row r="29" spans="2:12" ht="12.6" thickTop="1">
      <c r="B29" s="26" t="s">
        <v>289</v>
      </c>
      <c r="D29" s="81">
        <v>12</v>
      </c>
      <c r="E29" s="81">
        <v>10</v>
      </c>
      <c r="F29" s="81">
        <v>8</v>
      </c>
      <c r="G29" s="81">
        <f t="shared" si="3"/>
        <v>10</v>
      </c>
      <c r="H29" s="26"/>
      <c r="I29" s="26"/>
      <c r="J29" s="26"/>
    </row>
    <row r="30" spans="2:12" ht="12.6" thickBot="1">
      <c r="B30" s="102" t="s">
        <v>312</v>
      </c>
      <c r="D30" s="103">
        <f>D28-D29</f>
        <v>1012</v>
      </c>
      <c r="E30" s="103">
        <f>E28-E29</f>
        <v>1269</v>
      </c>
      <c r="F30" s="103">
        <f>F28-F29</f>
        <v>1473</v>
      </c>
      <c r="G30" s="103">
        <f t="shared" si="3"/>
        <v>1216</v>
      </c>
    </row>
    <row r="31" spans="2:12" ht="12.6" thickTop="1">
      <c r="B31" s="75"/>
    </row>
    <row r="32" spans="2:12">
      <c r="B32" s="259" t="s">
        <v>291</v>
      </c>
      <c r="D32" s="81">
        <v>910</v>
      </c>
      <c r="E32" s="81">
        <v>677</v>
      </c>
      <c r="F32" s="81">
        <v>685</v>
      </c>
      <c r="G32" s="81"/>
    </row>
    <row r="33" spans="2:7">
      <c r="B33" s="78" t="s">
        <v>292</v>
      </c>
    </row>
    <row r="34" spans="2:7">
      <c r="B34" s="77" t="s">
        <v>222</v>
      </c>
      <c r="D34" s="98">
        <f>D21+D32</f>
        <v>4370</v>
      </c>
      <c r="E34" s="98">
        <f>E21+E32</f>
        <v>4157</v>
      </c>
      <c r="F34" s="98">
        <f>F21+F32</f>
        <v>3093</v>
      </c>
      <c r="G34" s="98">
        <f t="shared" ref="G34" si="4">D34+F34-E34</f>
        <v>3306</v>
      </c>
    </row>
    <row r="35" spans="2:7">
      <c r="B35" s="78"/>
    </row>
    <row r="36" spans="2:7">
      <c r="B36" s="73" t="s">
        <v>54</v>
      </c>
    </row>
    <row r="37" spans="2:7">
      <c r="B37" s="78"/>
    </row>
    <row r="38" spans="2:7">
      <c r="B38" s="77" t="s">
        <v>56</v>
      </c>
    </row>
    <row r="39" spans="2:7">
      <c r="B39" s="87" t="s">
        <v>57</v>
      </c>
      <c r="D39" s="83">
        <v>3445</v>
      </c>
      <c r="E39" s="83">
        <v>2273</v>
      </c>
      <c r="F39" s="83">
        <v>997</v>
      </c>
      <c r="G39" s="81"/>
    </row>
    <row r="40" spans="2:7">
      <c r="B40" s="87" t="s">
        <v>58</v>
      </c>
      <c r="D40" s="81">
        <v>1957</v>
      </c>
      <c r="E40" s="81">
        <v>1958</v>
      </c>
      <c r="F40" s="81">
        <v>2055</v>
      </c>
      <c r="G40" s="81"/>
    </row>
    <row r="41" spans="2:7">
      <c r="B41" s="87" t="s">
        <v>60</v>
      </c>
      <c r="D41" s="83">
        <v>2729</v>
      </c>
      <c r="E41" s="83">
        <v>2839</v>
      </c>
      <c r="F41" s="83">
        <v>3535</v>
      </c>
      <c r="G41" s="81"/>
    </row>
    <row r="42" spans="2:7">
      <c r="B42" s="87" t="s">
        <v>62</v>
      </c>
      <c r="D42" s="83">
        <v>136</v>
      </c>
      <c r="E42" s="83">
        <v>158</v>
      </c>
      <c r="F42" s="83">
        <v>224</v>
      </c>
      <c r="G42" s="81"/>
    </row>
    <row r="43" spans="2:7">
      <c r="B43" s="87" t="s">
        <v>293</v>
      </c>
      <c r="D43" s="81">
        <f>716+11</f>
        <v>727</v>
      </c>
      <c r="E43" s="81">
        <f>1726+603</f>
        <v>2329</v>
      </c>
      <c r="F43" s="81">
        <f>954+95</f>
        <v>1049</v>
      </c>
      <c r="G43" s="81"/>
    </row>
    <row r="44" spans="2:7">
      <c r="B44" s="77" t="s">
        <v>64</v>
      </c>
      <c r="D44" s="83"/>
      <c r="E44" s="83"/>
      <c r="F44" s="83"/>
      <c r="G44" s="81"/>
    </row>
    <row r="45" spans="2:7">
      <c r="B45" s="87" t="s">
        <v>65</v>
      </c>
      <c r="D45" s="81">
        <v>6806</v>
      </c>
      <c r="E45" s="81">
        <v>6588</v>
      </c>
      <c r="F45" s="81">
        <v>6417</v>
      </c>
      <c r="G45" s="81"/>
    </row>
    <row r="46" spans="2:7">
      <c r="B46" s="87" t="s">
        <v>66</v>
      </c>
      <c r="D46" s="83">
        <v>31296</v>
      </c>
      <c r="E46" s="83">
        <v>31386</v>
      </c>
      <c r="F46" s="83">
        <v>30574</v>
      </c>
      <c r="G46" s="81"/>
    </row>
    <row r="47" spans="2:7">
      <c r="B47" s="87" t="s">
        <v>67</v>
      </c>
      <c r="D47" s="83">
        <v>43542</v>
      </c>
      <c r="E47" s="83">
        <v>44803</v>
      </c>
      <c r="F47" s="83">
        <v>42354</v>
      </c>
      <c r="G47" s="81"/>
    </row>
    <row r="48" spans="2:7">
      <c r="B48" s="87" t="s">
        <v>68</v>
      </c>
      <c r="D48" s="83">
        <v>2756</v>
      </c>
      <c r="E48" s="83">
        <v>2563</v>
      </c>
      <c r="F48" s="83">
        <v>2787</v>
      </c>
      <c r="G48" s="81"/>
    </row>
    <row r="49" spans="2:7" ht="12.6" thickBot="1">
      <c r="B49" s="84" t="s">
        <v>70</v>
      </c>
      <c r="D49" s="103">
        <f>SUM(D45:D48,D39:D43)</f>
        <v>93394</v>
      </c>
      <c r="E49" s="103">
        <f>SUM(E45:E48,E39:E43)</f>
        <v>94897</v>
      </c>
      <c r="F49" s="103">
        <f>SUM(F45:F48,F39:F43)</f>
        <v>89992</v>
      </c>
      <c r="G49" s="156"/>
    </row>
    <row r="50" spans="2:7" ht="12.6" thickTop="1">
      <c r="B50" s="75"/>
      <c r="D50" s="83"/>
      <c r="E50" s="83"/>
      <c r="F50" s="83"/>
      <c r="G50" s="81"/>
    </row>
    <row r="51" spans="2:7">
      <c r="B51" s="77" t="s">
        <v>71</v>
      </c>
      <c r="D51" s="81"/>
      <c r="E51" s="81"/>
      <c r="F51" s="81"/>
      <c r="G51" s="81"/>
    </row>
    <row r="52" spans="2:7">
      <c r="B52" s="87" t="s">
        <v>72</v>
      </c>
      <c r="D52" s="83">
        <v>4753</v>
      </c>
      <c r="E52" s="83">
        <v>4380</v>
      </c>
      <c r="F52" s="83">
        <v>4733</v>
      </c>
      <c r="G52" s="81"/>
    </row>
    <row r="53" spans="2:7">
      <c r="B53" s="87" t="s">
        <v>73</v>
      </c>
      <c r="D53" s="83">
        <v>804</v>
      </c>
      <c r="E53" s="83">
        <v>908</v>
      </c>
      <c r="F53" s="83">
        <v>811</v>
      </c>
      <c r="G53" s="81"/>
    </row>
    <row r="54" spans="2:7">
      <c r="B54" s="87" t="s">
        <v>313</v>
      </c>
      <c r="D54" s="81">
        <v>541</v>
      </c>
      <c r="E54" s="81">
        <v>0</v>
      </c>
      <c r="F54" s="81">
        <v>0</v>
      </c>
      <c r="G54" s="81"/>
    </row>
    <row r="55" spans="2:7">
      <c r="B55" s="87" t="s">
        <v>75</v>
      </c>
      <c r="D55" s="83">
        <v>14</v>
      </c>
      <c r="E55" s="83">
        <v>1</v>
      </c>
      <c r="F55" s="83">
        <v>4</v>
      </c>
      <c r="G55" s="81"/>
    </row>
    <row r="56" spans="2:7">
      <c r="B56" s="87" t="s">
        <v>76</v>
      </c>
      <c r="D56" s="81">
        <v>740</v>
      </c>
      <c r="E56" s="81">
        <v>1034</v>
      </c>
      <c r="F56" s="81">
        <v>770</v>
      </c>
      <c r="G56" s="81"/>
    </row>
    <row r="57" spans="2:7">
      <c r="B57" s="87" t="s">
        <v>314</v>
      </c>
      <c r="D57" s="83">
        <v>268</v>
      </c>
      <c r="E57" s="83">
        <v>285</v>
      </c>
      <c r="F57" s="83">
        <v>255</v>
      </c>
      <c r="G57" s="81"/>
    </row>
    <row r="58" spans="2:7">
      <c r="B58" s="87" t="s">
        <v>297</v>
      </c>
      <c r="D58" s="83">
        <f>1944+0</f>
        <v>1944</v>
      </c>
      <c r="E58" s="83">
        <v>1847</v>
      </c>
      <c r="F58" s="83">
        <f>2113</f>
        <v>2113</v>
      </c>
      <c r="G58" s="81"/>
    </row>
    <row r="59" spans="2:7">
      <c r="B59" s="77" t="s">
        <v>77</v>
      </c>
      <c r="D59" s="83"/>
      <c r="E59" s="83"/>
      <c r="F59" s="83"/>
      <c r="G59" s="81"/>
    </row>
    <row r="60" spans="2:7">
      <c r="B60" s="91" t="s">
        <v>78</v>
      </c>
      <c r="D60" s="81">
        <v>21061</v>
      </c>
      <c r="E60" s="81">
        <v>22937</v>
      </c>
      <c r="F60" s="81">
        <v>19296</v>
      </c>
      <c r="G60" s="81"/>
    </row>
    <row r="61" spans="2:7">
      <c r="B61" s="91" t="s">
        <v>79</v>
      </c>
      <c r="D61" s="83">
        <f>1542+1534+205</f>
        <v>3281</v>
      </c>
      <c r="E61" s="83">
        <v>1878</v>
      </c>
      <c r="F61" s="83">
        <f>194+1490+1698</f>
        <v>3382</v>
      </c>
      <c r="G61" s="81"/>
    </row>
    <row r="62" spans="2:7">
      <c r="B62" s="91" t="s">
        <v>69</v>
      </c>
      <c r="D62" s="81">
        <v>10536</v>
      </c>
      <c r="E62" s="81">
        <v>11389</v>
      </c>
      <c r="F62" s="81">
        <v>10285</v>
      </c>
      <c r="G62" s="81"/>
    </row>
    <row r="63" spans="2:7" ht="12.6" thickBot="1">
      <c r="B63" s="84" t="s">
        <v>80</v>
      </c>
      <c r="D63" s="103">
        <f>SUM(D60:D62,D52:D58)</f>
        <v>43942</v>
      </c>
      <c r="E63" s="103">
        <f>SUM(E60:E62,E52:E58)</f>
        <v>44659</v>
      </c>
      <c r="F63" s="103">
        <f t="shared" ref="F63" si="5">SUM(F60:F62,F52:F58)</f>
        <v>41649</v>
      </c>
      <c r="G63" s="156"/>
    </row>
    <row r="64" spans="2:7" ht="12.6" thickTop="1">
      <c r="B64" s="75" t="s">
        <v>81</v>
      </c>
      <c r="D64" s="83"/>
      <c r="E64" s="83"/>
      <c r="F64" s="83"/>
      <c r="G64" s="81"/>
    </row>
    <row r="65" spans="2:7">
      <c r="B65" s="78" t="s">
        <v>83</v>
      </c>
      <c r="D65" s="81"/>
      <c r="E65" s="81"/>
      <c r="F65" s="81"/>
      <c r="G65" s="81"/>
    </row>
    <row r="66" spans="2:7">
      <c r="B66" s="78" t="s">
        <v>315</v>
      </c>
      <c r="D66" s="83">
        <v>4</v>
      </c>
      <c r="E66" s="83">
        <v>0</v>
      </c>
      <c r="F66" s="83">
        <v>37</v>
      </c>
      <c r="G66" s="81"/>
    </row>
    <row r="67" spans="2:7">
      <c r="B67" s="77" t="s">
        <v>85</v>
      </c>
      <c r="D67" s="81">
        <v>12</v>
      </c>
      <c r="E67" s="81">
        <v>12</v>
      </c>
      <c r="F67" s="81">
        <v>12</v>
      </c>
      <c r="G67" s="81"/>
    </row>
    <row r="68" spans="2:7">
      <c r="B68" s="91" t="s">
        <v>88</v>
      </c>
      <c r="D68" s="83">
        <v>53379</v>
      </c>
      <c r="E68" s="83">
        <v>53823</v>
      </c>
      <c r="F68" s="83">
        <v>52077</v>
      </c>
      <c r="G68" s="81"/>
    </row>
    <row r="69" spans="2:7">
      <c r="B69" s="78" t="s">
        <v>89</v>
      </c>
      <c r="D69" s="83">
        <v>-1682</v>
      </c>
      <c r="E69" s="83">
        <v>-1425</v>
      </c>
      <c r="F69" s="83">
        <v>-208</v>
      </c>
      <c r="G69" s="81"/>
    </row>
    <row r="70" spans="2:7">
      <c r="B70" s="91" t="s">
        <v>90</v>
      </c>
      <c r="D70" s="81">
        <v>-587</v>
      </c>
      <c r="E70" s="81">
        <v>-463</v>
      </c>
      <c r="F70" s="81">
        <v>-729</v>
      </c>
      <c r="G70" s="81"/>
    </row>
    <row r="71" spans="2:7">
      <c r="B71" s="91" t="s">
        <v>91</v>
      </c>
      <c r="D71" s="83">
        <v>-1824</v>
      </c>
      <c r="E71" s="83">
        <v>-1858</v>
      </c>
      <c r="F71" s="83">
        <v>-3004</v>
      </c>
      <c r="G71" s="81"/>
    </row>
    <row r="72" spans="2:7" ht="12.6" thickBot="1">
      <c r="B72" s="99" t="s">
        <v>316</v>
      </c>
      <c r="D72" s="84">
        <f>SUM(D66:D71)</f>
        <v>49302</v>
      </c>
      <c r="E72" s="84">
        <f>SUM(E66:E71)</f>
        <v>50089</v>
      </c>
      <c r="F72" s="84">
        <f>SUM(F66:F71)</f>
        <v>48185</v>
      </c>
      <c r="G72" s="75"/>
    </row>
    <row r="73" spans="2:7" ht="12.6" thickTop="1">
      <c r="B73" s="87" t="s">
        <v>93</v>
      </c>
      <c r="D73" s="83">
        <v>150</v>
      </c>
      <c r="E73" s="83">
        <v>149</v>
      </c>
      <c r="F73" s="83">
        <v>158</v>
      </c>
      <c r="G73" s="81"/>
    </row>
    <row r="74" spans="2:7">
      <c r="B74" s="120" t="s">
        <v>94</v>
      </c>
      <c r="D74" s="120">
        <f>SUM(D73,D66:D71)</f>
        <v>49452</v>
      </c>
      <c r="E74" s="120">
        <f>SUM(E73,E65:E71)</f>
        <v>50238</v>
      </c>
      <c r="F74" s="120">
        <f>SUM(F73,F65:F71)</f>
        <v>48343</v>
      </c>
      <c r="G74" s="124"/>
    </row>
    <row r="75" spans="2:7" ht="12.6" thickBot="1">
      <c r="B75" s="84" t="s">
        <v>95</v>
      </c>
      <c r="D75" s="84">
        <f>D63+D74</f>
        <v>93394</v>
      </c>
      <c r="E75" s="84">
        <f>E63+E74</f>
        <v>94897</v>
      </c>
      <c r="F75" s="84">
        <f>F63+F74</f>
        <v>89992</v>
      </c>
      <c r="G75" s="75"/>
    </row>
    <row r="76" spans="2:7" ht="12.6" thickTop="1">
      <c r="B76" s="78"/>
      <c r="D76" s="83"/>
      <c r="E76" s="83"/>
      <c r="F76" s="83"/>
    </row>
    <row r="77" spans="2:7" ht="12.6">
      <c r="B77" s="94" t="s">
        <v>96</v>
      </c>
      <c r="D77" s="94" t="str">
        <f>IF(D75=D49,"OK","ERROR")</f>
        <v>OK</v>
      </c>
      <c r="E77" s="94" t="str">
        <f>IF(E75=E49,"OK","ERROR")</f>
        <v>OK</v>
      </c>
      <c r="F77" s="94" t="str">
        <f>IF(F75=F49,"OK","ERROR")</f>
        <v>OK</v>
      </c>
      <c r="G77" s="125"/>
    </row>
    <row r="78" spans="2:7" ht="12.6">
      <c r="B78" s="94"/>
      <c r="D78" s="83"/>
      <c r="E78" s="83"/>
      <c r="F78" s="83"/>
    </row>
    <row r="79" spans="2:7">
      <c r="B79" s="263" t="s">
        <v>300</v>
      </c>
      <c r="C79" s="260"/>
      <c r="D79" s="261"/>
      <c r="E79" s="261"/>
      <c r="F79" s="267">
        <f>F30/1.19</f>
        <v>1237.8151260504203</v>
      </c>
      <c r="G79" t="s">
        <v>301</v>
      </c>
    </row>
    <row r="80" spans="2:7">
      <c r="B80" s="264" t="s">
        <v>302</v>
      </c>
      <c r="D80" s="81"/>
      <c r="E80" s="81"/>
      <c r="F80" s="265">
        <f>F53+F55+F56+F57+F58+F60+F61</f>
        <v>26631</v>
      </c>
    </row>
    <row r="81" spans="2:6">
      <c r="B81" s="264" t="s">
        <v>233</v>
      </c>
      <c r="D81" s="81"/>
      <c r="E81" s="81"/>
      <c r="F81" s="265">
        <f>F79*D4</f>
        <v>45576.352941176476</v>
      </c>
    </row>
    <row r="82" spans="2:6">
      <c r="B82" s="268" t="s">
        <v>229</v>
      </c>
      <c r="F82" s="269">
        <f>F81+F80-F39+F73</f>
        <v>71368.352941176476</v>
      </c>
    </row>
    <row r="83" spans="2:6">
      <c r="B83" s="262" t="s">
        <v>263</v>
      </c>
      <c r="C83" s="146"/>
      <c r="D83" s="146"/>
      <c r="E83" s="146"/>
      <c r="F83" s="270">
        <f>G30/F79</f>
        <v>0.98237610319076707</v>
      </c>
    </row>
    <row r="84" spans="2:6">
      <c r="B84" s="75"/>
    </row>
    <row r="85" spans="2:6">
      <c r="B85" s="79"/>
    </row>
    <row r="86" spans="2:6">
      <c r="B86" s="263" t="s">
        <v>264</v>
      </c>
      <c r="C86" s="272"/>
      <c r="D86" s="272"/>
      <c r="E86" s="272"/>
      <c r="F86" s="273">
        <f>D4/F83</f>
        <v>37.480553405572756</v>
      </c>
    </row>
    <row r="87" spans="2:6">
      <c r="B87" s="264" t="s">
        <v>303</v>
      </c>
      <c r="C87" s="274"/>
      <c r="D87" s="274"/>
      <c r="E87" s="274"/>
      <c r="F87" s="275">
        <f>F81/G21</f>
        <v>19.085574933490985</v>
      </c>
    </row>
    <row r="88" spans="2:6">
      <c r="B88" s="264" t="s">
        <v>265</v>
      </c>
      <c r="C88" s="274"/>
      <c r="D88" s="274"/>
      <c r="E88" s="274"/>
      <c r="F88" s="275">
        <f>F82/G34</f>
        <v>21.587523575673465</v>
      </c>
    </row>
    <row r="89" spans="2:6">
      <c r="B89" s="276" t="s">
        <v>304</v>
      </c>
      <c r="C89" s="277"/>
      <c r="D89" s="277"/>
      <c r="E89" s="277"/>
      <c r="F89" s="278">
        <f>F82/G21</f>
        <v>29.886244950241405</v>
      </c>
    </row>
    <row r="90" spans="2:6">
      <c r="B90" s="86"/>
    </row>
    <row r="91" spans="2:6">
      <c r="B91" s="86"/>
    </row>
    <row r="92" spans="2:6">
      <c r="B92" s="86"/>
    </row>
    <row r="93" spans="2:6">
      <c r="B93" s="86"/>
    </row>
    <row r="94" spans="2:6">
      <c r="B94" s="86"/>
    </row>
    <row r="95" spans="2:6">
      <c r="B95" s="88"/>
    </row>
    <row r="96" spans="2:6">
      <c r="B96" s="86"/>
    </row>
    <row r="97" spans="2:2">
      <c r="B97" s="86"/>
    </row>
    <row r="98" spans="2:2">
      <c r="B98" s="86"/>
    </row>
    <row r="99" spans="2:2">
      <c r="B99" s="86"/>
    </row>
    <row r="100" spans="2:2">
      <c r="B100" s="86"/>
    </row>
    <row r="101" spans="2:2">
      <c r="B101" s="86"/>
    </row>
    <row r="102" spans="2:2">
      <c r="B102" s="86"/>
    </row>
    <row r="103" spans="2:2">
      <c r="B103" s="88"/>
    </row>
    <row r="104" spans="2:2">
      <c r="B104" s="86"/>
    </row>
    <row r="105" spans="2:2">
      <c r="B105" s="88"/>
    </row>
    <row r="106" spans="2:2">
      <c r="B106" s="86"/>
    </row>
    <row r="107" spans="2:2">
      <c r="B107" s="86"/>
    </row>
    <row r="108" spans="2:2">
      <c r="B108" s="86"/>
    </row>
    <row r="109" spans="2:2">
      <c r="B109" s="86"/>
    </row>
    <row r="110" spans="2:2">
      <c r="B110" s="86"/>
    </row>
    <row r="111" spans="2:2">
      <c r="B111" s="86"/>
    </row>
    <row r="112" spans="2:2">
      <c r="B112" s="88"/>
    </row>
    <row r="113" spans="2:2">
      <c r="B113" s="86"/>
    </row>
    <row r="114" spans="2:2">
      <c r="B114" s="86"/>
    </row>
    <row r="115" spans="2:2">
      <c r="B115" s="86"/>
    </row>
    <row r="116" spans="2:2">
      <c r="B116" s="86"/>
    </row>
    <row r="117" spans="2:2">
      <c r="B117" s="86"/>
    </row>
    <row r="118" spans="2:2">
      <c r="B118" s="86"/>
    </row>
    <row r="119" spans="2:2">
      <c r="B119" s="86"/>
    </row>
    <row r="120" spans="2:2">
      <c r="B120" s="88"/>
    </row>
    <row r="121" spans="2:2">
      <c r="B121" s="88"/>
    </row>
    <row r="122" spans="2:2">
      <c r="B122" s="86"/>
    </row>
    <row r="123" spans="2:2">
      <c r="B123" s="86"/>
    </row>
    <row r="126" spans="2:2">
      <c r="B126" s="98"/>
    </row>
    <row r="127" spans="2:2">
      <c r="B127" s="258"/>
    </row>
    <row r="128" spans="2:2">
      <c r="B128" s="98"/>
    </row>
    <row r="134" spans="2:2">
      <c r="B134" s="237"/>
    </row>
  </sheetData>
  <mergeCells count="8">
    <mergeCell ref="I16:L16"/>
    <mergeCell ref="E8:F8"/>
    <mergeCell ref="B5:B7"/>
    <mergeCell ref="C5:C7"/>
    <mergeCell ref="D5:D7"/>
    <mergeCell ref="E5:E7"/>
    <mergeCell ref="F5:F7"/>
    <mergeCell ref="G5: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Amaan Ali</cp:lastModifiedBy>
  <cp:revision/>
  <dcterms:created xsi:type="dcterms:W3CDTF">2004-07-20T21:40:42Z</dcterms:created>
  <dcterms:modified xsi:type="dcterms:W3CDTF">2024-01-24T21:06:31Z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SoftArtisans OfficeWriter for Excel 8.6.2.281 (http://officewriter.softartisans.com)</vt:lpwstr>
  </property>
</Properties>
</file>