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https://aaltofi.sharepoint.com/sites/CorporateFinancialManagement-GroupWork/Shared Documents/General/"/>
    </mc:Choice>
  </mc:AlternateContent>
  <xr:revisionPtr revIDLastSave="361" documentId="13_ncr:1_{F32E2197-54E0-0849-A4EC-7DC82C82920E}" xr6:coauthVersionLast="47" xr6:coauthVersionMax="47" xr10:uidLastSave="{218467EE-F2DC-48A7-A436-263213A7A382}"/>
  <bookViews>
    <workbookView xWindow="2120" yWindow="460" windowWidth="22900" windowHeight="15420" firstSheet="7" activeTab="7" xr2:uid="{71DE42CC-95B7-664B-8840-42563701714D}"/>
  </bookViews>
  <sheets>
    <sheet name="Ex #9 Analyst Forecasts" sheetId="5" r:id="rId1"/>
    <sheet name="Ex #10 FCF &amp; Assumptions" sheetId="2" r:id="rId2"/>
    <sheet name="Ex #11 MS WACCs" sheetId="4" r:id="rId3"/>
    <sheet name="Share Price Estimation (Task 1)" sheetId="1" r:id="rId4"/>
    <sheet name="Comparable Firms Information" sheetId="12" r:id="rId5"/>
    <sheet name="Historical GDP Growth (Task 2)" sheetId="20" r:id="rId6"/>
    <sheet name="Comparing Revenue (Task 3)" sheetId="19" r:id="rId7"/>
    <sheet name="DCF Valuation (Task 5)" sheetId="2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1" l="1"/>
  <c r="E19" i="21"/>
  <c r="F19" i="21"/>
  <c r="G19" i="21"/>
  <c r="J19" i="21"/>
  <c r="K19" i="21"/>
  <c r="L19" i="21"/>
  <c r="M19" i="21"/>
  <c r="D19" i="21"/>
  <c r="C19" i="21" l="1"/>
  <c r="C7" i="21"/>
  <c r="C6" i="21"/>
  <c r="H3" i="20"/>
  <c r="H7" i="19"/>
  <c r="H24" i="19"/>
  <c r="H23" i="19"/>
  <c r="H19" i="19"/>
  <c r="H18" i="19"/>
  <c r="H8" i="19"/>
  <c r="E18" i="19"/>
  <c r="E19" i="19"/>
  <c r="E20" i="19"/>
  <c r="E23" i="19"/>
  <c r="E25" i="19"/>
  <c r="E27" i="19"/>
  <c r="E15" i="19"/>
  <c r="E10" i="19"/>
  <c r="E11" i="19"/>
  <c r="E12" i="19"/>
  <c r="E9" i="19"/>
  <c r="E34" i="19" l="1"/>
  <c r="E33" i="19"/>
  <c r="E32" i="19"/>
  <c r="E31" i="19"/>
  <c r="E30" i="19"/>
  <c r="H9" i="19"/>
  <c r="H25" i="19"/>
  <c r="H20" i="19"/>
  <c r="D18" i="1"/>
  <c r="E35" i="19" l="1"/>
  <c r="D6" i="12"/>
  <c r="D7" i="12"/>
  <c r="D8" i="12"/>
  <c r="D9" i="12"/>
  <c r="D10" i="12"/>
  <c r="D11" i="12"/>
  <c r="D12" i="12"/>
  <c r="D13" i="12"/>
  <c r="D14" i="12"/>
  <c r="D15" i="12"/>
  <c r="D5" i="12"/>
  <c r="E15" i="12"/>
  <c r="C15" i="12"/>
  <c r="B15" i="12"/>
  <c r="G15" i="12" s="1"/>
  <c r="A15" i="12"/>
  <c r="E14" i="12"/>
  <c r="C14" i="12"/>
  <c r="B14" i="12"/>
  <c r="G14" i="12" s="1"/>
  <c r="A14" i="12"/>
  <c r="E13" i="12"/>
  <c r="C13" i="12"/>
  <c r="B13" i="12"/>
  <c r="A13" i="12"/>
  <c r="E12" i="12"/>
  <c r="C12" i="12"/>
  <c r="B12" i="12"/>
  <c r="G12" i="12" s="1"/>
  <c r="A12" i="12"/>
  <c r="E11" i="12"/>
  <c r="C11" i="12"/>
  <c r="B11" i="12"/>
  <c r="G11" i="12" s="1"/>
  <c r="A11" i="12"/>
  <c r="E10" i="12"/>
  <c r="C10" i="12"/>
  <c r="B10" i="12"/>
  <c r="G10" i="12" s="1"/>
  <c r="A10" i="12"/>
  <c r="E9" i="12"/>
  <c r="C9" i="12"/>
  <c r="B9" i="12"/>
  <c r="A9" i="12"/>
  <c r="E8" i="12"/>
  <c r="C8" i="12"/>
  <c r="B8" i="12"/>
  <c r="G8" i="12" s="1"/>
  <c r="A8" i="12"/>
  <c r="E7" i="12"/>
  <c r="C7" i="12"/>
  <c r="B7" i="12"/>
  <c r="G7" i="12" s="1"/>
  <c r="A7" i="12"/>
  <c r="E6" i="12"/>
  <c r="C6" i="12"/>
  <c r="B6" i="12"/>
  <c r="G6" i="12" s="1"/>
  <c r="A6" i="12"/>
  <c r="E5" i="12"/>
  <c r="C5" i="12"/>
  <c r="B5" i="12"/>
  <c r="G5" i="12" s="1"/>
  <c r="A5" i="12"/>
  <c r="C6" i="1"/>
  <c r="H5" i="12" l="1"/>
  <c r="H9" i="12"/>
  <c r="H12" i="12"/>
  <c r="H13" i="12"/>
  <c r="H15" i="12"/>
  <c r="H7" i="12"/>
  <c r="G13" i="12"/>
  <c r="G9" i="12"/>
  <c r="G16" i="12" s="1"/>
  <c r="H6" i="12"/>
  <c r="H11" i="12"/>
  <c r="H10" i="12"/>
  <c r="H8" i="12"/>
  <c r="H14" i="12"/>
  <c r="H16" i="12" l="1"/>
  <c r="C8" i="21" s="1"/>
  <c r="C9" i="21" s="1"/>
  <c r="K21" i="21" l="1"/>
  <c r="J21" i="21"/>
  <c r="G21" i="21"/>
  <c r="F21" i="21"/>
  <c r="E21" i="21"/>
  <c r="D21" i="21"/>
  <c r="L20" i="21"/>
  <c r="L21" i="21" s="1"/>
  <c r="J34" i="5"/>
  <c r="I34" i="5"/>
  <c r="H34" i="5"/>
  <c r="G34" i="5"/>
  <c r="F34" i="5"/>
  <c r="E34" i="5"/>
  <c r="D34" i="5"/>
  <c r="J33" i="5"/>
  <c r="I33" i="5"/>
  <c r="H33" i="5"/>
  <c r="G33" i="5"/>
  <c r="F33" i="5"/>
  <c r="E33" i="5"/>
  <c r="D33" i="5"/>
  <c r="J32" i="5"/>
  <c r="I32" i="5"/>
  <c r="H32" i="5"/>
  <c r="G32" i="5"/>
  <c r="F32" i="5"/>
  <c r="E32" i="5"/>
  <c r="D32" i="5"/>
  <c r="J31" i="5"/>
  <c r="I31" i="5"/>
  <c r="H31" i="5"/>
  <c r="G31" i="5"/>
  <c r="F31" i="5"/>
  <c r="E31" i="5"/>
  <c r="D31" i="5"/>
  <c r="J30" i="5"/>
  <c r="I30" i="5"/>
  <c r="H30" i="5"/>
  <c r="G30" i="5"/>
  <c r="F30" i="5"/>
  <c r="E30" i="5"/>
  <c r="D30" i="5"/>
  <c r="F25" i="4"/>
  <c r="E25" i="4"/>
  <c r="C25" i="4"/>
  <c r="F24" i="4"/>
  <c r="E24" i="4"/>
  <c r="C24" i="4"/>
  <c r="D35" i="5" l="1"/>
  <c r="E35" i="5"/>
  <c r="F35" i="5"/>
  <c r="G35" i="5"/>
  <c r="H35" i="5"/>
  <c r="I35" i="5"/>
  <c r="J35" i="5"/>
  <c r="C12" i="1"/>
  <c r="E12" i="1" l="1"/>
  <c r="F12" i="1"/>
  <c r="G12" i="1"/>
  <c r="J12" i="1"/>
  <c r="K12" i="1"/>
  <c r="L12" i="1"/>
  <c r="C8" i="1"/>
  <c r="C7" i="1"/>
  <c r="M12" i="1"/>
  <c r="L13" i="1" s="1"/>
  <c r="D12" i="1"/>
  <c r="L14" i="1" l="1"/>
  <c r="G14" i="1"/>
  <c r="F14" i="1"/>
  <c r="K14" i="1"/>
  <c r="J14" i="1"/>
  <c r="D14" i="1"/>
  <c r="E14" i="1"/>
  <c r="K18" i="2" l="1"/>
  <c r="J18" i="2"/>
  <c r="O11" i="2"/>
  <c r="N11" i="2"/>
  <c r="M11" i="2"/>
  <c r="L11" i="2"/>
  <c r="K11" i="2"/>
  <c r="J11" i="2"/>
  <c r="I11" i="2"/>
  <c r="H11" i="2"/>
  <c r="G11" i="2"/>
  <c r="F11" i="2"/>
  <c r="E11" i="2"/>
  <c r="O9" i="2"/>
  <c r="H12" i="1" l="1"/>
  <c r="H14" i="1" s="1"/>
  <c r="H19" i="21"/>
  <c r="H21" i="21" s="1"/>
  <c r="I12" i="1"/>
  <c r="I14" i="1" s="1"/>
  <c r="I19" i="21"/>
  <c r="I21" i="21" s="1"/>
  <c r="D22" i="21" l="1"/>
  <c r="D24" i="21" s="1"/>
  <c r="D26" i="21" s="1"/>
  <c r="C30" i="21" s="1"/>
  <c r="D15" i="1"/>
  <c r="D16" i="1" l="1"/>
  <c r="D17" i="1"/>
  <c r="D19" i="1" s="1"/>
</calcChain>
</file>

<file path=xl/sharedStrings.xml><?xml version="1.0" encoding="utf-8"?>
<sst xmlns="http://schemas.openxmlformats.org/spreadsheetml/2006/main" count="255" uniqueCount="164">
  <si>
    <r>
      <rPr>
        <b/>
        <sz val="12"/>
        <color theme="1"/>
        <rFont val="新細明體"/>
        <family val="2"/>
        <scheme val="minor"/>
      </rPr>
      <t>Exhibit 9</t>
    </r>
    <r>
      <rPr>
        <sz val="12"/>
        <color theme="1"/>
        <rFont val="新細明體"/>
        <family val="2"/>
        <scheme val="minor"/>
      </rPr>
      <t>:  Summary of Analyst Assumptions and Forecasts for Snap in 2020 (see Note 1 below)</t>
    </r>
  </si>
  <si>
    <t>Discount</t>
  </si>
  <si>
    <t xml:space="preserve">TV </t>
  </si>
  <si>
    <t>Analyst Forecast for 2020</t>
  </si>
  <si>
    <t>Analyst(s)</t>
  </si>
  <si>
    <t>Price</t>
  </si>
  <si>
    <t>Rate</t>
  </si>
  <si>
    <t>Growth</t>
  </si>
  <si>
    <t>Free Cash</t>
  </si>
  <si>
    <t>From</t>
  </si>
  <si>
    <t>Report Date</t>
  </si>
  <si>
    <t>Target</t>
  </si>
  <si>
    <t>WACC</t>
  </si>
  <si>
    <t>Revenue</t>
  </si>
  <si>
    <t>DAU</t>
  </si>
  <si>
    <t>ARPU</t>
  </si>
  <si>
    <t>Flow (FCF)</t>
  </si>
  <si>
    <t>Independent Firms</t>
  </si>
  <si>
    <t>Pivotal</t>
  </si>
  <si>
    <t>n/a</t>
  </si>
  <si>
    <t>Aegis Capital</t>
  </si>
  <si>
    <t>Susquehanna</t>
  </si>
  <si>
    <t>FBN</t>
  </si>
  <si>
    <t>Cantor</t>
  </si>
  <si>
    <t>Piper Jaffray</t>
  </si>
  <si>
    <t>Lead Underwriter</t>
  </si>
  <si>
    <t>Morgan Stanley</t>
  </si>
  <si>
    <t>Lead Managers</t>
  </si>
  <si>
    <t>JP Morgan</t>
  </si>
  <si>
    <t>Deutsche Bank</t>
  </si>
  <si>
    <t>Credit Suisse</t>
  </si>
  <si>
    <t>Other Underwriters</t>
  </si>
  <si>
    <t>Cowen &amp; Co</t>
  </si>
  <si>
    <t>JMP Securities</t>
  </si>
  <si>
    <t>Oppenheimer</t>
  </si>
  <si>
    <t>range</t>
  </si>
  <si>
    <t>RBC Capital</t>
  </si>
  <si>
    <t>UBS</t>
  </si>
  <si>
    <t>William Blair</t>
  </si>
  <si>
    <t>Average</t>
  </si>
  <si>
    <t>Median</t>
  </si>
  <si>
    <t>Maximum</t>
  </si>
  <si>
    <t>Minimum</t>
  </si>
  <si>
    <t>Standard Deviation</t>
  </si>
  <si>
    <t>Coeff. of Variation (Note 2)</t>
  </si>
  <si>
    <r>
      <rPr>
        <b/>
        <sz val="9"/>
        <color theme="1"/>
        <rFont val="新細明體"/>
        <family val="2"/>
        <scheme val="minor"/>
      </rPr>
      <t>Source</t>
    </r>
    <r>
      <rPr>
        <sz val="9"/>
        <color theme="1"/>
        <rFont val="新細明體"/>
        <family val="2"/>
        <scheme val="minor"/>
      </rPr>
      <t>:  Individual equity research reports on Snap Inc. from each firm, available on ThompsonOne, accessed 3/18/18.</t>
    </r>
  </si>
  <si>
    <r>
      <t xml:space="preserve">Note 1:  </t>
    </r>
    <r>
      <rPr>
        <sz val="9"/>
        <color theme="1"/>
        <rFont val="新細明體"/>
        <family val="2"/>
        <scheme val="minor"/>
      </rPr>
      <t>Includes only firms that described using discounted cash flow (DCF) analysis to value Snap. Not all firms revealed all of the information needed to conduct DCF analysis.</t>
    </r>
  </si>
  <si>
    <r>
      <t xml:space="preserve">Note 2:  </t>
    </r>
    <r>
      <rPr>
        <sz val="9"/>
        <color theme="1"/>
        <rFont val="新細明體"/>
        <family val="2"/>
        <scheme val="minor"/>
      </rPr>
      <t>The coefficient of variation is a unitless measure of dispersion.  It is calculated by dividing the standard deviation of the sample by the mean.</t>
    </r>
  </si>
  <si>
    <r>
      <rPr>
        <b/>
        <sz val="12"/>
        <color theme="1"/>
        <rFont val="新細明體"/>
        <family val="2"/>
        <scheme val="minor"/>
      </rPr>
      <t>Exhibit 10</t>
    </r>
    <r>
      <rPr>
        <sz val="12"/>
        <color theme="1"/>
        <rFont val="新細明體"/>
        <family val="2"/>
        <scheme val="minor"/>
      </rPr>
      <t>:  Morgan Stanley’s Cash Flow Forecasts and Valuation Assumptions for Snap Inc. ($ millions)</t>
    </r>
  </si>
  <si>
    <t>Actual</t>
  </si>
  <si>
    <t>Financial Forecast ($ millions)</t>
  </si>
  <si>
    <t>Item</t>
  </si>
  <si>
    <t>TV Year (2026)</t>
  </si>
  <si>
    <t>Income Statement</t>
  </si>
  <si>
    <t xml:space="preserve">Net Revenue </t>
  </si>
  <si>
    <t>Adj. EBITDA (Note 1)</t>
  </si>
  <si>
    <t>Adj. EBITDA Margin</t>
  </si>
  <si>
    <t>Cash Flow Items</t>
  </si>
  <si>
    <t>- Cash Taxes</t>
  </si>
  <si>
    <t>- Incr. (Decr.) in Net WC</t>
  </si>
  <si>
    <t>- Capital Expenditures</t>
  </si>
  <si>
    <t>- Stock-based Comp.</t>
  </si>
  <si>
    <t>Free Cash Flow</t>
  </si>
  <si>
    <t>Morgan Stanley Valuation Assumptions</t>
  </si>
  <si>
    <t>Market Data (March 27, 2017)</t>
  </si>
  <si>
    <t>Cost of Debt</t>
  </si>
  <si>
    <t># Fully Diluted Shares (millions)</t>
  </si>
  <si>
    <t>US Treasury Yields</t>
  </si>
  <si>
    <t>Future Leverage (D/V)</t>
  </si>
  <si>
    <t>Excess Cash ($ mil)</t>
  </si>
  <si>
    <t>30-Year</t>
  </si>
  <si>
    <t>Tax Rate</t>
  </si>
  <si>
    <t>10-Year</t>
  </si>
  <si>
    <t>Cost of Equity</t>
  </si>
  <si>
    <t>Perpetual Growth Rate</t>
  </si>
  <si>
    <t>Equity Risk Premium</t>
  </si>
  <si>
    <t>Stated WACC</t>
  </si>
  <si>
    <r>
      <rPr>
        <b/>
        <sz val="9"/>
        <color theme="1"/>
        <rFont val="新細明體"/>
        <family val="2"/>
        <scheme val="minor"/>
      </rPr>
      <t>Source</t>
    </r>
    <r>
      <rPr>
        <sz val="9"/>
        <color theme="1"/>
        <rFont val="新細明體"/>
        <family val="2"/>
        <scheme val="minor"/>
      </rPr>
      <t>:  Nowak, B., et al., “Crackle or Pop? Initiate OW, $28 PT,” Snap Inc. analyst report Exhibit 5 (p. 7), Morgan Stanley Research, 3/27/17.</t>
    </r>
  </si>
  <si>
    <r>
      <t xml:space="preserve">Note 1:  </t>
    </r>
    <r>
      <rPr>
        <sz val="9"/>
        <color theme="1"/>
        <rFont val="新細明體"/>
        <family val="2"/>
        <scheme val="minor"/>
      </rPr>
      <t>Adjusted EBITDA is a non-GAAP item. It excludes stock-based compensation expense (a cash expense), but includes depreciation and amortization.</t>
    </r>
  </si>
  <si>
    <r>
      <t>Note 2:  Morgan Stanley Equity Research Disclosure</t>
    </r>
    <r>
      <rPr>
        <sz val="9"/>
        <color theme="1"/>
        <rFont val="新細明體"/>
        <family val="2"/>
        <scheme val="minor"/>
      </rPr>
      <t>:  Morgan Stanley does and seeks to do business with companies covered in Morgan Stanley Research. As a result, investors should be aware that the firm may have a conflict of interest that could affect the objectivity of Morgan Stanley Research. (p. 1 of the Snap Inc. analyst report, 3/27/17).</t>
    </r>
  </si>
  <si>
    <r>
      <t xml:space="preserve">Note 3:  Morgan Stanley Code of Conduct:  </t>
    </r>
    <r>
      <rPr>
        <sz val="9"/>
        <color theme="1"/>
        <rFont val="新細明體"/>
        <family val="2"/>
        <scheme val="minor"/>
      </rPr>
      <t>Our values inform everything we do: Putting Clients First, Leading with Exceptional Ideas, Doing the Right Thing and Giving Back.  Our Code of Conduct reflects our continued commitment to performing all our business activities in accordance with these core values and in full alignment with the letter and spritit of applicable laws, regulations and our policies…. Putting Clients First requires us to place our clients’ interests first and avoid conflicts between their interests and ours.  Available at:  https://www.morganstanley.com/about-us-governance/code-of-conduct, accessed 3/18/18.</t>
    </r>
  </si>
  <si>
    <r>
      <rPr>
        <b/>
        <sz val="12"/>
        <color theme="1"/>
        <rFont val="新細明體"/>
        <family val="2"/>
        <scheme val="minor"/>
      </rPr>
      <t>Exhibit 11</t>
    </r>
    <r>
      <rPr>
        <sz val="12"/>
        <color theme="1"/>
        <rFont val="新細明體"/>
        <family val="2"/>
        <scheme val="minor"/>
      </rPr>
      <t>:  Assumptions Used by Morgan Stanley for Internet Stocks and Other Market Data</t>
    </r>
  </si>
  <si>
    <t>Financial Data on 12/31/16 ($mil)</t>
  </si>
  <si>
    <t>Morgan Stanley Reports</t>
  </si>
  <si>
    <t>Equity Betas to 3/1/17</t>
  </si>
  <si>
    <t>Debt at</t>
  </si>
  <si>
    <t>Equity at</t>
  </si>
  <si>
    <t>Report</t>
  </si>
  <si>
    <t>1 Year</t>
  </si>
  <si>
    <t>2 Years</t>
  </si>
  <si>
    <t>Book</t>
  </si>
  <si>
    <t>Market</t>
  </si>
  <si>
    <t>Company</t>
  </si>
  <si>
    <t>Date</t>
  </si>
  <si>
    <t>Daily</t>
  </si>
  <si>
    <t>Weekly</t>
  </si>
  <si>
    <t>Cash</t>
  </si>
  <si>
    <t>Value</t>
  </si>
  <si>
    <t>Snap Inc.</t>
  </si>
  <si>
    <t>Alphabet</t>
  </si>
  <si>
    <t>Amazon</t>
  </si>
  <si>
    <t>eBay</t>
  </si>
  <si>
    <t>Etsy</t>
  </si>
  <si>
    <t>Facebook</t>
  </si>
  <si>
    <t>Groupon</t>
  </si>
  <si>
    <t>GrubHub</t>
  </si>
  <si>
    <t>LinkedIn (a)</t>
  </si>
  <si>
    <t>Priceline Group</t>
  </si>
  <si>
    <t>Twitter</t>
  </si>
  <si>
    <t>Yelp</t>
  </si>
  <si>
    <t>Zynga</t>
  </si>
  <si>
    <r>
      <rPr>
        <b/>
        <sz val="9"/>
        <color theme="1"/>
        <rFont val="新細明體"/>
        <family val="2"/>
        <scheme val="minor"/>
      </rPr>
      <t>Source</t>
    </r>
    <r>
      <rPr>
        <sz val="9"/>
        <color theme="1"/>
        <rFont val="新細明體"/>
        <family val="2"/>
        <scheme val="minor"/>
      </rPr>
      <t>:  Individual equity research reports for each firm by Morgan Stanley, available on ThompsonOne, accessed 3/30/18.  The betas and financial data are from Standard &amp; Poor’s Capital IQ database, accessed 4/6/18.</t>
    </r>
  </si>
  <si>
    <r>
      <t xml:space="preserve">Note (a):  </t>
    </r>
    <r>
      <rPr>
        <sz val="9"/>
        <color theme="1"/>
        <rFont val="新細明體"/>
        <family val="2"/>
        <scheme val="minor"/>
      </rPr>
      <t>Because Microsoft acquired LinkedIn in late 2016, financial and trading data was not available.</t>
    </r>
  </si>
  <si>
    <t>Task 1: Share Price Estimation (Nowak's Assumptions)</t>
    <phoneticPr fontId="5" type="noConversion"/>
  </si>
  <si>
    <t>Assumptions</t>
    <phoneticPr fontId="5" type="noConversion"/>
  </si>
  <si>
    <t>WACC</t>
    <phoneticPr fontId="5" type="noConversion"/>
  </si>
  <si>
    <t>Perpetual Growth Rate</t>
    <phoneticPr fontId="5" type="noConversion"/>
  </si>
  <si>
    <t>Leverage Ratio</t>
    <phoneticPr fontId="5" type="noConversion"/>
  </si>
  <si>
    <t>Year</t>
    <phoneticPr fontId="5" type="noConversion"/>
  </si>
  <si>
    <t>Free Cash Flow ($ millions)</t>
    <phoneticPr fontId="5" type="noConversion"/>
  </si>
  <si>
    <t>Terminal Value</t>
    <phoneticPr fontId="5" type="noConversion"/>
  </si>
  <si>
    <t>Present Value</t>
    <phoneticPr fontId="5" type="noConversion"/>
  </si>
  <si>
    <t>Net Present Value (= Enterprise Value)</t>
    <phoneticPr fontId="5" type="noConversion"/>
  </si>
  <si>
    <t>Value of Debt</t>
    <phoneticPr fontId="5" type="noConversion"/>
  </si>
  <si>
    <t>Value of Equity</t>
    <phoneticPr fontId="5" type="noConversion"/>
  </si>
  <si>
    <t>Fully diluted shares (millions)</t>
    <phoneticPr fontId="5" type="noConversion"/>
  </si>
  <si>
    <t>Share Price ($)</t>
    <phoneticPr fontId="5" type="noConversion"/>
  </si>
  <si>
    <t>Comaparable Firms Information</t>
    <phoneticPr fontId="5" type="noConversion"/>
  </si>
  <si>
    <t>Company</t>
    <phoneticPr fontId="5" type="noConversion"/>
  </si>
  <si>
    <t>Value of Equity ($mil)</t>
    <phoneticPr fontId="5" type="noConversion"/>
  </si>
  <si>
    <t>Net Debt ($mil)</t>
    <phoneticPr fontId="5" type="noConversion"/>
  </si>
  <si>
    <t>Equity Beta(1 Year Daily)</t>
    <phoneticPr fontId="5" type="noConversion"/>
  </si>
  <si>
    <t>Equity Beta (2 Years Weekly)</t>
    <phoneticPr fontId="5" type="noConversion"/>
  </si>
  <si>
    <t>Debt Beta (Assumption)</t>
    <phoneticPr fontId="5" type="noConversion"/>
  </si>
  <si>
    <t>Asset Beta(1 Year)</t>
    <phoneticPr fontId="5" type="noConversion"/>
  </si>
  <si>
    <t>Asset Beta(2 Years)</t>
    <phoneticPr fontId="5" type="noConversion"/>
  </si>
  <si>
    <t>Average</t>
    <phoneticPr fontId="5" type="noConversion"/>
  </si>
  <si>
    <t>Task 2: Calculation of Historical GDP Growth Rate %</t>
  </si>
  <si>
    <t>Year</t>
  </si>
  <si>
    <t>GDP %</t>
  </si>
  <si>
    <t>Historical GDP Growth Rate %</t>
  </si>
  <si>
    <t>Task 3: Comparing top line revenue using DAU and ARPU</t>
  </si>
  <si>
    <t>Analyst(s) from</t>
  </si>
  <si>
    <t xml:space="preserve">Revenue </t>
  </si>
  <si>
    <t>Category averages</t>
  </si>
  <si>
    <t>Independent firms</t>
  </si>
  <si>
    <t>Coeff. Of Variation</t>
  </si>
  <si>
    <t>Task 5: DCF Valuation (Weekly Beta)</t>
  </si>
  <si>
    <t>Risk-free Rate</t>
    <phoneticPr fontId="5" type="noConversion"/>
  </si>
  <si>
    <t>Risk Premium</t>
    <phoneticPr fontId="5" type="noConversion"/>
  </si>
  <si>
    <t>Asset Beta (2 Years Weekly)</t>
  </si>
  <si>
    <t>Cost of Capital</t>
    <phoneticPr fontId="5" type="noConversion"/>
  </si>
  <si>
    <t>Fully Diluted Shares (millions)</t>
  </si>
  <si>
    <t>Share of Debt</t>
    <phoneticPr fontId="5" type="noConversion"/>
  </si>
  <si>
    <t>Share of Equity</t>
    <phoneticPr fontId="5" type="noConversion"/>
  </si>
  <si>
    <t>Terminal Growth Rate</t>
    <phoneticPr fontId="5" type="noConversion"/>
  </si>
  <si>
    <t>2026 (TV Year)</t>
    <phoneticPr fontId="5" type="noConversion"/>
  </si>
  <si>
    <t>Free Cash Flow ($ millions)</t>
  </si>
  <si>
    <t>Enterprise Value</t>
    <phoneticPr fontId="5" type="noConversion"/>
  </si>
  <si>
    <t>Shares Outstanding</t>
    <phoneticPr fontId="5" type="noConversion"/>
  </si>
  <si>
    <t>Share Price ($)</t>
  </si>
  <si>
    <t>Sensitivity Analysis</t>
  </si>
  <si>
    <t>Growth Rate</t>
    <phoneticPr fontId="5" type="noConversion"/>
  </si>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</sst>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164" formatCode="0.0%;[Red]\(0.0%\)"/>
    <numFmt numFmtId="165" formatCode="0.0%"/>
    <numFmt numFmtId="166" formatCode="0.0"/>
    <numFmt numFmtId="167" formatCode="0.0000000000_ "/>
    <numFmt numFmtId="168" formatCode="[$-409]d\-mmm\-yy;@"/>
    <numFmt numFmtId="169" formatCode="&quot;$&quot;#,##0.00"/>
    <numFmt numFmtId="170" formatCode="&quot;$&quot;#,##0"/>
    <numFmt numFmtId="171" formatCode="&quot;$&quot;#,##0.0"/>
    <numFmt numFmtId="172" formatCode="#,##0.0_);[Red]\(#,##0.0\)"/>
  </numFmts>
  <fonts count="20">
    <font>
      <sz val="12"/>
      <color theme="1"/>
      <name val="新細明體"/>
      <family val="2"/>
      <charset val="136"/>
      <scheme val="minor"/>
    </font>
    <font>
      <sz val="11"/>
      <color theme="1"/>
      <name val="新細明體"/>
      <family val="2"/>
      <scheme val="minor"/>
    </font>
    <font>
      <sz val="11"/>
      <color theme="1"/>
      <name val="新細明體"/>
      <family val="2"/>
      <scheme val="minor"/>
    </font>
    <font>
      <sz val="12"/>
      <color theme="1"/>
      <name val="新細明體"/>
      <family val="2"/>
      <scheme val="minor"/>
    </font>
    <font>
      <b/>
      <sz val="12"/>
      <color theme="1"/>
      <name val="新細明體"/>
      <family val="2"/>
      <scheme val="minor"/>
    </font>
    <font>
      <sz val="9"/>
      <name val="新細明體"/>
      <family val="2"/>
      <charset val="136"/>
      <scheme val="minor"/>
    </font>
    <font>
      <b/>
      <sz val="14"/>
      <color theme="1"/>
      <name val="新細明體"/>
      <family val="2"/>
      <scheme val="minor"/>
    </font>
    <font>
      <b/>
      <i/>
      <sz val="11"/>
      <color rgb="FFFF0000"/>
      <name val="新細明體"/>
      <family val="2"/>
      <scheme val="minor"/>
    </font>
    <font>
      <b/>
      <sz val="11"/>
      <color theme="1"/>
      <name val="新細明體"/>
      <family val="2"/>
      <scheme val="minor"/>
    </font>
    <font>
      <b/>
      <sz val="11"/>
      <color rgb="FF0000FF"/>
      <name val="新細明體"/>
      <family val="2"/>
      <scheme val="minor"/>
    </font>
    <font>
      <sz val="9"/>
      <color theme="1"/>
      <name val="新細明體"/>
      <family val="2"/>
      <scheme val="minor"/>
    </font>
    <font>
      <b/>
      <sz val="9"/>
      <color theme="1"/>
      <name val="新細明體"/>
      <family val="2"/>
      <scheme val="minor"/>
    </font>
    <font>
      <b/>
      <sz val="12"/>
      <color theme="1"/>
      <name val="Calibri"/>
      <family val="2"/>
    </font>
    <font>
      <sz val="12"/>
      <color theme="1"/>
      <name val="Calibri"/>
      <family val="2"/>
    </font>
    <font>
      <b/>
      <sz val="12"/>
      <color theme="1"/>
      <name val="Calibri (本文)"/>
    </font>
    <font>
      <sz val="20"/>
      <color theme="1"/>
      <name val="Calibri"/>
      <family val="2"/>
    </font>
    <font>
      <b/>
      <sz val="12"/>
      <color theme="1"/>
      <name val="新細明體"/>
      <family val="2"/>
      <charset val="136"/>
      <scheme val="minor"/>
    </font>
    <font>
      <u/>
      <sz val="12"/>
      <color rgb="FF000000"/>
      <name val="Calibri"/>
      <family val="2"/>
    </font>
    <font>
      <u/>
      <sz val="12"/>
      <color theme="1"/>
      <name val="Calibri"/>
      <family val="2"/>
    </font>
    <font>
      <sz val="12"/>
      <color theme="1"/>
      <name val="Calibri"/>
    </font>
  </fonts>
  <fills count="6">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rgb="FFFFE699"/>
        <bgColor indexed="64"/>
      </patternFill>
    </fill>
    <fill>
      <patternFill patternType="solid">
        <fgColor rgb="FFFFFFFF"/>
        <bgColor indexed="64"/>
      </patternFill>
    </fill>
  </fills>
  <borders count="18">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thick">
        <color indexed="64"/>
      </bottom>
      <diagonal/>
    </border>
    <border>
      <left/>
      <right/>
      <top/>
      <bottom style="medium">
        <color rgb="FF000000"/>
      </bottom>
      <diagonal/>
    </border>
    <border>
      <left/>
      <right/>
      <top/>
      <bottom style="double">
        <color rgb="FF000000"/>
      </bottom>
      <diagonal/>
    </border>
  </borders>
  <cellStyleXfs count="3">
    <xf numFmtId="0" fontId="0" fillId="0" borderId="0">
      <alignment vertical="center"/>
    </xf>
    <xf numFmtId="0" fontId="2" fillId="0" borderId="0"/>
    <xf numFmtId="9" fontId="2" fillId="0" borderId="0" applyFont="0" applyFill="0" applyBorder="0" applyAlignment="0" applyProtection="0"/>
  </cellStyleXfs>
  <cellXfs count="163">
    <xf numFmtId="0" fontId="0" fillId="0" borderId="0" xfId="0">
      <alignment vertical="center"/>
    </xf>
    <xf numFmtId="0" fontId="3" fillId="0" borderId="0" xfId="1" applyFont="1"/>
    <xf numFmtId="0" fontId="6" fillId="0" borderId="0" xfId="1" applyFont="1"/>
    <xf numFmtId="0" fontId="2" fillId="0" borderId="0" xfId="1"/>
    <xf numFmtId="0" fontId="7" fillId="0" borderId="0" xfId="1" applyFont="1"/>
    <xf numFmtId="0" fontId="2" fillId="0" borderId="1" xfId="1" applyBorder="1"/>
    <xf numFmtId="0" fontId="8" fillId="0" borderId="0" xfId="1" applyFont="1" applyAlignment="1">
      <alignment horizontal="right"/>
    </xf>
    <xf numFmtId="0" fontId="8" fillId="0" borderId="3" xfId="1" applyFont="1" applyBorder="1"/>
    <xf numFmtId="0" fontId="2" fillId="0" borderId="3" xfId="1" applyBorder="1"/>
    <xf numFmtId="0" fontId="8" fillId="0" borderId="3" xfId="1" applyFont="1" applyBorder="1" applyAlignment="1">
      <alignment horizontal="right"/>
    </xf>
    <xf numFmtId="0" fontId="8" fillId="0" borderId="0" xfId="1" applyFont="1"/>
    <xf numFmtId="6" fontId="2" fillId="0" borderId="0" xfId="1" applyNumberFormat="1"/>
    <xf numFmtId="164" fontId="0" fillId="0" borderId="0" xfId="2" applyNumberFormat="1" applyFont="1"/>
    <xf numFmtId="164" fontId="0" fillId="0" borderId="0" xfId="2" applyNumberFormat="1" applyFont="1" applyFill="1"/>
    <xf numFmtId="0" fontId="2" fillId="0" borderId="0" xfId="1" quotePrefix="1"/>
    <xf numFmtId="6" fontId="2" fillId="0" borderId="3" xfId="1" applyNumberFormat="1" applyBorder="1"/>
    <xf numFmtId="6" fontId="8" fillId="0" borderId="0" xfId="1" applyNumberFormat="1" applyFont="1"/>
    <xf numFmtId="0" fontId="9" fillId="0" borderId="3" xfId="1" applyFont="1" applyBorder="1"/>
    <xf numFmtId="10" fontId="0" fillId="0" borderId="0" xfId="2" applyNumberFormat="1" applyFont="1"/>
    <xf numFmtId="3" fontId="0" fillId="0" borderId="0" xfId="2" applyNumberFormat="1" applyFont="1"/>
    <xf numFmtId="16" fontId="8" fillId="0" borderId="3" xfId="1" applyNumberFormat="1" applyFont="1" applyBorder="1"/>
    <xf numFmtId="9" fontId="0" fillId="0" borderId="0" xfId="2" applyFont="1"/>
    <xf numFmtId="10" fontId="0" fillId="0" borderId="0" xfId="2" applyNumberFormat="1" applyFont="1" applyAlignment="1">
      <alignment horizontal="right"/>
    </xf>
    <xf numFmtId="10" fontId="0" fillId="0" borderId="0" xfId="2" applyNumberFormat="1" applyFont="1" applyFill="1"/>
    <xf numFmtId="165" fontId="0" fillId="0" borderId="0" xfId="2" applyNumberFormat="1" applyFont="1"/>
    <xf numFmtId="165" fontId="0" fillId="2" borderId="4" xfId="2" applyNumberFormat="1" applyFont="1" applyFill="1" applyBorder="1" applyAlignment="1">
      <alignment horizontal="right" indent="1"/>
    </xf>
    <xf numFmtId="10" fontId="0" fillId="0" borderId="1" xfId="2" applyNumberFormat="1" applyFont="1" applyBorder="1"/>
    <xf numFmtId="0" fontId="10" fillId="0" borderId="0" xfId="1" applyFont="1"/>
    <xf numFmtId="0" fontId="11" fillId="0" borderId="0" xfId="1" applyFont="1"/>
    <xf numFmtId="0" fontId="11" fillId="0" borderId="0" xfId="1" applyFont="1" applyAlignment="1">
      <alignment horizontal="left" vertical="top" wrapText="1"/>
    </xf>
    <xf numFmtId="0" fontId="13" fillId="0" borderId="0" xfId="0" applyFont="1">
      <alignment vertical="center"/>
    </xf>
    <xf numFmtId="14" fontId="2" fillId="0" borderId="0" xfId="1" applyNumberFormat="1"/>
    <xf numFmtId="165" fontId="2" fillId="2" borderId="4" xfId="1" applyNumberFormat="1" applyFill="1" applyBorder="1"/>
    <xf numFmtId="165" fontId="2" fillId="0" borderId="0" xfId="1" applyNumberFormat="1"/>
    <xf numFmtId="2" fontId="2" fillId="0" borderId="0" xfId="1" applyNumberFormat="1"/>
    <xf numFmtId="0" fontId="2" fillId="0" borderId="0" xfId="1" applyAlignment="1">
      <alignment horizontal="right"/>
    </xf>
    <xf numFmtId="2" fontId="2" fillId="0" borderId="0" xfId="1" applyNumberFormat="1" applyAlignment="1">
      <alignment horizontal="right"/>
    </xf>
    <xf numFmtId="6" fontId="2" fillId="0" borderId="0" xfId="1" applyNumberFormat="1" applyAlignment="1">
      <alignment horizontal="right"/>
    </xf>
    <xf numFmtId="165" fontId="8" fillId="0" borderId="0" xfId="2" applyNumberFormat="1" applyFont="1" applyAlignment="1">
      <alignment horizontal="right"/>
    </xf>
    <xf numFmtId="2" fontId="8" fillId="0" borderId="0" xfId="1" applyNumberFormat="1" applyFont="1" applyAlignment="1">
      <alignment horizontal="right"/>
    </xf>
    <xf numFmtId="10" fontId="8" fillId="0" borderId="0" xfId="1" applyNumberFormat="1" applyFont="1" applyAlignment="1">
      <alignment horizontal="right"/>
    </xf>
    <xf numFmtId="14" fontId="8" fillId="0" borderId="0" xfId="1" applyNumberFormat="1" applyFont="1"/>
    <xf numFmtId="14" fontId="2" fillId="0" borderId="1" xfId="1" applyNumberFormat="1" applyBorder="1"/>
    <xf numFmtId="1" fontId="2" fillId="0" borderId="0" xfId="1" applyNumberFormat="1"/>
    <xf numFmtId="168" fontId="2" fillId="0" borderId="0" xfId="1" applyNumberFormat="1"/>
    <xf numFmtId="169" fontId="2" fillId="0" borderId="0" xfId="1" applyNumberFormat="1"/>
    <xf numFmtId="170" fontId="2" fillId="0" borderId="0" xfId="1" applyNumberFormat="1"/>
    <xf numFmtId="164" fontId="2" fillId="0" borderId="0" xfId="1" applyNumberFormat="1"/>
    <xf numFmtId="165" fontId="2" fillId="0" borderId="0" xfId="1" applyNumberFormat="1" applyAlignment="1">
      <alignment horizontal="right"/>
    </xf>
    <xf numFmtId="0" fontId="8" fillId="2" borderId="0" xfId="1" applyFont="1" applyFill="1"/>
    <xf numFmtId="168" fontId="8" fillId="2" borderId="0" xfId="1" applyNumberFormat="1" applyFont="1" applyFill="1"/>
    <xf numFmtId="170" fontId="8" fillId="2" borderId="0" xfId="1" applyNumberFormat="1" applyFont="1" applyFill="1"/>
    <xf numFmtId="165" fontId="8" fillId="2" borderId="0" xfId="1" applyNumberFormat="1" applyFont="1" applyFill="1"/>
    <xf numFmtId="164" fontId="8" fillId="2" borderId="0" xfId="1" applyNumberFormat="1" applyFont="1" applyFill="1"/>
    <xf numFmtId="6" fontId="8" fillId="2" borderId="0" xfId="1" applyNumberFormat="1" applyFont="1" applyFill="1"/>
    <xf numFmtId="3" fontId="8" fillId="2" borderId="0" xfId="1" applyNumberFormat="1" applyFont="1" applyFill="1"/>
    <xf numFmtId="169" fontId="8" fillId="2" borderId="0" xfId="1" applyNumberFormat="1" applyFont="1" applyFill="1"/>
    <xf numFmtId="3" fontId="2" fillId="0" borderId="0" xfId="1" applyNumberFormat="1"/>
    <xf numFmtId="168" fontId="2" fillId="0" borderId="3" xfId="1" applyNumberFormat="1" applyBorder="1"/>
    <xf numFmtId="170" fontId="2" fillId="0" borderId="3" xfId="1" applyNumberFormat="1" applyBorder="1" applyAlignment="1">
      <alignment horizontal="right"/>
    </xf>
    <xf numFmtId="165" fontId="2" fillId="0" borderId="3" xfId="1" applyNumberFormat="1" applyBorder="1"/>
    <xf numFmtId="6" fontId="2" fillId="0" borderId="3" xfId="1" applyNumberFormat="1" applyBorder="1" applyAlignment="1">
      <alignment horizontal="right"/>
    </xf>
    <xf numFmtId="0" fontId="8" fillId="0" borderId="0" xfId="1" applyFont="1" applyAlignment="1">
      <alignment horizontal="left"/>
    </xf>
    <xf numFmtId="171" fontId="2" fillId="0" borderId="0" xfId="1" applyNumberFormat="1"/>
    <xf numFmtId="172" fontId="2" fillId="0" borderId="0" xfId="1" applyNumberFormat="1"/>
    <xf numFmtId="8" fontId="2" fillId="0" borderId="0" xfId="1" applyNumberFormat="1"/>
    <xf numFmtId="2" fontId="0" fillId="0" borderId="0" xfId="0" applyNumberFormat="1">
      <alignment vertical="center"/>
    </xf>
    <xf numFmtId="10" fontId="0" fillId="0" borderId="0" xfId="0" applyNumberFormat="1">
      <alignment vertical="center"/>
    </xf>
    <xf numFmtId="2" fontId="13" fillId="0" borderId="0" xfId="0" applyNumberFormat="1" applyFont="1">
      <alignment vertical="center"/>
    </xf>
    <xf numFmtId="165" fontId="0" fillId="0" borderId="0" xfId="0" applyNumberFormat="1">
      <alignment vertical="center"/>
    </xf>
    <xf numFmtId="0" fontId="13" fillId="0" borderId="6" xfId="0" applyFont="1" applyBorder="1">
      <alignment vertical="center"/>
    </xf>
    <xf numFmtId="0" fontId="13" fillId="0" borderId="7" xfId="0" applyFont="1" applyBorder="1">
      <alignment vertical="center"/>
    </xf>
    <xf numFmtId="0" fontId="0" fillId="0" borderId="8" xfId="0" applyBorder="1">
      <alignment vertical="center"/>
    </xf>
    <xf numFmtId="0" fontId="0" fillId="0" borderId="1" xfId="0" applyBorder="1">
      <alignment vertical="center"/>
    </xf>
    <xf numFmtId="0" fontId="14" fillId="0" borderId="9" xfId="0" applyFont="1" applyBorder="1">
      <alignment vertical="center"/>
    </xf>
    <xf numFmtId="0" fontId="0" fillId="0" borderId="10" xfId="0" applyBorder="1">
      <alignment vertical="center"/>
    </xf>
    <xf numFmtId="0" fontId="0" fillId="0" borderId="11" xfId="0" applyBorder="1">
      <alignment vertical="center"/>
    </xf>
    <xf numFmtId="0" fontId="13" fillId="3" borderId="12" xfId="0" applyFont="1" applyFill="1" applyBorder="1">
      <alignment vertical="center"/>
    </xf>
    <xf numFmtId="0" fontId="13" fillId="3" borderId="5" xfId="0" applyFont="1" applyFill="1" applyBorder="1">
      <alignment vertical="center"/>
    </xf>
    <xf numFmtId="0" fontId="13" fillId="3" borderId="13" xfId="0" applyFont="1" applyFill="1" applyBorder="1">
      <alignment vertical="center"/>
    </xf>
    <xf numFmtId="0" fontId="0" fillId="0" borderId="14" xfId="0" applyBorder="1">
      <alignment vertical="center"/>
    </xf>
    <xf numFmtId="0" fontId="13" fillId="0" borderId="9" xfId="0" applyFont="1" applyBorder="1">
      <alignment vertical="center"/>
    </xf>
    <xf numFmtId="0" fontId="0" fillId="0" borderId="7" xfId="0" applyBorder="1">
      <alignment vertical="center"/>
    </xf>
    <xf numFmtId="0" fontId="13" fillId="0" borderId="0" xfId="0" quotePrefix="1" applyFont="1">
      <alignment vertical="center"/>
    </xf>
    <xf numFmtId="0" fontId="0" fillId="0" borderId="6" xfId="0" applyBorder="1">
      <alignment vertical="center"/>
    </xf>
    <xf numFmtId="0" fontId="0" fillId="3" borderId="12" xfId="0" applyFill="1" applyBorder="1">
      <alignment vertical="center"/>
    </xf>
    <xf numFmtId="0" fontId="0" fillId="3" borderId="15" xfId="0" applyFill="1" applyBorder="1">
      <alignment vertical="center"/>
    </xf>
    <xf numFmtId="0" fontId="15" fillId="3" borderId="15" xfId="0" applyFont="1" applyFill="1" applyBorder="1">
      <alignment vertical="center"/>
    </xf>
    <xf numFmtId="0" fontId="12" fillId="3" borderId="15" xfId="0" applyFont="1" applyFill="1" applyBorder="1">
      <alignment vertical="center"/>
    </xf>
    <xf numFmtId="2" fontId="13" fillId="0" borderId="10" xfId="0" applyNumberFormat="1" applyFont="1" applyBorder="1">
      <alignment vertical="center"/>
    </xf>
    <xf numFmtId="2" fontId="13" fillId="0" borderId="11" xfId="0" applyNumberFormat="1" applyFont="1" applyBorder="1">
      <alignment vertical="center"/>
    </xf>
    <xf numFmtId="0" fontId="13" fillId="0" borderId="1" xfId="0" applyFont="1" applyBorder="1">
      <alignment vertical="center"/>
    </xf>
    <xf numFmtId="0" fontId="0" fillId="0" borderId="0" xfId="0" quotePrefix="1">
      <alignment vertical="center"/>
    </xf>
    <xf numFmtId="10" fontId="13" fillId="0" borderId="10" xfId="0" applyNumberFormat="1" applyFont="1" applyBorder="1">
      <alignment vertical="center"/>
    </xf>
    <xf numFmtId="0" fontId="13" fillId="0" borderId="10" xfId="0" applyFont="1" applyBorder="1">
      <alignment vertical="center"/>
    </xf>
    <xf numFmtId="0" fontId="13" fillId="0" borderId="8" xfId="0" applyFont="1" applyBorder="1">
      <alignment vertical="center"/>
    </xf>
    <xf numFmtId="9" fontId="13" fillId="0" borderId="10" xfId="0" applyNumberFormat="1" applyFont="1" applyBorder="1">
      <alignment vertical="center"/>
    </xf>
    <xf numFmtId="9" fontId="13" fillId="0" borderId="8" xfId="0" applyNumberFormat="1" applyFont="1" applyBorder="1">
      <alignment vertical="center"/>
    </xf>
    <xf numFmtId="0" fontId="12" fillId="0" borderId="1" xfId="0" applyFont="1" applyBorder="1">
      <alignment vertical="center"/>
    </xf>
    <xf numFmtId="2" fontId="12" fillId="0" borderId="1" xfId="0" applyNumberFormat="1" applyFont="1" applyBorder="1">
      <alignment vertical="center"/>
    </xf>
    <xf numFmtId="0" fontId="13" fillId="0" borderId="14" xfId="0" applyFont="1" applyBorder="1">
      <alignment vertical="center"/>
    </xf>
    <xf numFmtId="1" fontId="13" fillId="0" borderId="0" xfId="0" applyNumberFormat="1" applyFont="1">
      <alignment vertical="center"/>
    </xf>
    <xf numFmtId="3" fontId="13" fillId="0" borderId="0" xfId="0" applyNumberFormat="1" applyFont="1">
      <alignment vertical="center"/>
    </xf>
    <xf numFmtId="167" fontId="13" fillId="0" borderId="1" xfId="0" applyNumberFormat="1" applyFont="1" applyBorder="1">
      <alignment vertical="center"/>
    </xf>
    <xf numFmtId="0" fontId="12" fillId="0" borderId="9" xfId="0" applyFont="1" applyBorder="1">
      <alignment vertical="center"/>
    </xf>
    <xf numFmtId="1" fontId="13" fillId="0" borderId="10" xfId="0" applyNumberFormat="1" applyFont="1" applyBorder="1">
      <alignment vertical="center"/>
    </xf>
    <xf numFmtId="166" fontId="13" fillId="0" borderId="10" xfId="0" applyNumberFormat="1" applyFont="1" applyBorder="1">
      <alignment vertical="center"/>
    </xf>
    <xf numFmtId="2" fontId="12" fillId="3" borderId="1" xfId="0" applyNumberFormat="1" applyFont="1" applyFill="1" applyBorder="1">
      <alignment vertical="center"/>
    </xf>
    <xf numFmtId="2" fontId="12" fillId="3" borderId="8" xfId="0" applyNumberFormat="1" applyFont="1" applyFill="1" applyBorder="1">
      <alignment vertical="center"/>
    </xf>
    <xf numFmtId="165" fontId="13" fillId="0" borderId="10" xfId="0" applyNumberFormat="1" applyFont="1" applyBorder="1">
      <alignment vertical="center"/>
    </xf>
    <xf numFmtId="165" fontId="13" fillId="0" borderId="8" xfId="0" applyNumberFormat="1" applyFont="1" applyBorder="1">
      <alignment vertical="center"/>
    </xf>
    <xf numFmtId="0" fontId="15" fillId="4" borderId="15" xfId="0" applyFont="1" applyFill="1" applyBorder="1">
      <alignment vertical="center"/>
    </xf>
    <xf numFmtId="0" fontId="0" fillId="4" borderId="15" xfId="0" applyFill="1" applyBorder="1">
      <alignment vertical="center"/>
    </xf>
    <xf numFmtId="169" fontId="8" fillId="2" borderId="0" xfId="0" applyNumberFormat="1" applyFont="1" applyFill="1" applyAlignment="1"/>
    <xf numFmtId="0" fontId="0" fillId="0" borderId="0" xfId="0" applyAlignment="1"/>
    <xf numFmtId="6" fontId="0" fillId="0" borderId="0" xfId="0" applyNumberFormat="1" applyAlignment="1">
      <alignment horizontal="right"/>
    </xf>
    <xf numFmtId="0" fontId="4" fillId="3" borderId="13" xfId="0" applyFont="1" applyFill="1" applyBorder="1">
      <alignment vertical="center"/>
    </xf>
    <xf numFmtId="0" fontId="4" fillId="3" borderId="5" xfId="0" applyFont="1" applyFill="1" applyBorder="1">
      <alignment vertical="center"/>
    </xf>
    <xf numFmtId="0" fontId="4" fillId="3" borderId="12" xfId="0" applyFont="1" applyFill="1" applyBorder="1">
      <alignment vertical="center"/>
    </xf>
    <xf numFmtId="0" fontId="4" fillId="0" borderId="7" xfId="0" applyFont="1" applyBorder="1">
      <alignment vertical="center"/>
    </xf>
    <xf numFmtId="0" fontId="0" fillId="0" borderId="7" xfId="0" applyBorder="1" applyAlignment="1"/>
    <xf numFmtId="6" fontId="0" fillId="0" borderId="10" xfId="0" applyNumberFormat="1" applyBorder="1" applyAlignment="1">
      <alignment horizontal="right"/>
    </xf>
    <xf numFmtId="169" fontId="0" fillId="0" borderId="0" xfId="0" applyNumberFormat="1" applyAlignment="1"/>
    <xf numFmtId="1" fontId="0" fillId="0" borderId="0" xfId="0" applyNumberFormat="1" applyAlignment="1"/>
    <xf numFmtId="0" fontId="8" fillId="0" borderId="7" xfId="0" applyFont="1" applyBorder="1" applyAlignment="1"/>
    <xf numFmtId="0" fontId="8" fillId="2" borderId="7" xfId="0" applyFont="1" applyFill="1" applyBorder="1" applyAlignment="1"/>
    <xf numFmtId="3" fontId="8" fillId="2" borderId="0" xfId="0" applyNumberFormat="1" applyFont="1" applyFill="1" applyAlignment="1"/>
    <xf numFmtId="169" fontId="8" fillId="2" borderId="10" xfId="0" applyNumberFormat="1" applyFont="1" applyFill="1" applyBorder="1" applyAlignment="1"/>
    <xf numFmtId="169" fontId="8" fillId="0" borderId="10" xfId="0" applyNumberFormat="1" applyFont="1" applyBorder="1" applyAlignment="1"/>
    <xf numFmtId="169" fontId="1" fillId="0" borderId="10" xfId="0" applyNumberFormat="1" applyFont="1" applyBorder="1" applyAlignment="1"/>
    <xf numFmtId="0" fontId="0" fillId="0" borderId="9" xfId="0" applyBorder="1" applyAlignment="1"/>
    <xf numFmtId="6" fontId="0" fillId="0" borderId="1" xfId="0" applyNumberFormat="1" applyBorder="1" applyAlignment="1">
      <alignment horizontal="right"/>
    </xf>
    <xf numFmtId="6" fontId="0" fillId="0" borderId="8" xfId="0" applyNumberFormat="1" applyBorder="1" applyAlignment="1">
      <alignment horizontal="right"/>
    </xf>
    <xf numFmtId="0" fontId="0" fillId="0" borderId="7" xfId="0" applyBorder="1" applyAlignment="1">
      <alignment horizontal="right" vertical="center"/>
    </xf>
    <xf numFmtId="6" fontId="0" fillId="0" borderId="7" xfId="0" applyNumberFormat="1" applyBorder="1" applyAlignment="1">
      <alignment horizontal="right"/>
    </xf>
    <xf numFmtId="169" fontId="0" fillId="0" borderId="10" xfId="0" applyNumberFormat="1" applyBorder="1">
      <alignment vertical="center"/>
    </xf>
    <xf numFmtId="1" fontId="0" fillId="0" borderId="10" xfId="0" applyNumberFormat="1" applyBorder="1">
      <alignment vertical="center"/>
    </xf>
    <xf numFmtId="0" fontId="0" fillId="0" borderId="9" xfId="0" applyBorder="1" applyAlignment="1">
      <alignment horizontal="right" vertical="center"/>
    </xf>
    <xf numFmtId="169" fontId="0" fillId="0" borderId="8" xfId="0" applyNumberFormat="1" applyBorder="1">
      <alignment vertical="center"/>
    </xf>
    <xf numFmtId="6" fontId="0" fillId="0" borderId="0" xfId="0" applyNumberFormat="1" applyAlignment="1">
      <alignment horizontal="right" vertical="center"/>
    </xf>
    <xf numFmtId="6" fontId="0" fillId="0" borderId="10" xfId="0" applyNumberFormat="1" applyBorder="1" applyAlignment="1">
      <alignment horizontal="right" vertical="center"/>
    </xf>
    <xf numFmtId="2" fontId="0" fillId="0" borderId="0" xfId="0" applyNumberFormat="1" applyAlignment="1">
      <alignment horizontal="right" vertical="center"/>
    </xf>
    <xf numFmtId="2" fontId="0" fillId="0" borderId="10" xfId="0" applyNumberFormat="1" applyBorder="1" applyAlignment="1">
      <alignment horizontal="right" vertical="center"/>
    </xf>
    <xf numFmtId="2" fontId="0" fillId="0" borderId="1" xfId="0" applyNumberFormat="1" applyBorder="1" applyAlignment="1">
      <alignment horizontal="right" vertical="center"/>
    </xf>
    <xf numFmtId="2" fontId="0" fillId="0" borderId="8" xfId="0" applyNumberFormat="1" applyBorder="1" applyAlignment="1">
      <alignment horizontal="right" vertical="center"/>
    </xf>
    <xf numFmtId="0" fontId="16" fillId="0" borderId="0" xfId="0" applyFont="1">
      <alignment vertical="center"/>
    </xf>
    <xf numFmtId="0" fontId="0" fillId="4" borderId="16" xfId="0" applyFill="1" applyBorder="1">
      <alignment vertical="center"/>
    </xf>
    <xf numFmtId="0" fontId="17" fillId="0" borderId="0" xfId="0" applyFont="1">
      <alignment vertical="center"/>
    </xf>
    <xf numFmtId="165" fontId="13" fillId="0" borderId="0" xfId="0" applyNumberFormat="1" applyFont="1">
      <alignment vertical="center"/>
    </xf>
    <xf numFmtId="0" fontId="15" fillId="4" borderId="16" xfId="0" applyFont="1" applyFill="1" applyBorder="1">
      <alignment vertical="center"/>
    </xf>
    <xf numFmtId="0" fontId="15" fillId="5" borderId="0" xfId="0" applyFont="1" applyFill="1">
      <alignment vertical="center"/>
    </xf>
    <xf numFmtId="0" fontId="18" fillId="0" borderId="0" xfId="0" applyFont="1">
      <alignment vertical="center"/>
    </xf>
    <xf numFmtId="1" fontId="13" fillId="0" borderId="11" xfId="0" applyNumberFormat="1" applyFont="1" applyBorder="1">
      <alignment vertical="center"/>
    </xf>
    <xf numFmtId="2" fontId="0" fillId="0" borderId="10" xfId="0" applyNumberFormat="1" applyBorder="1">
      <alignment vertical="center"/>
    </xf>
    <xf numFmtId="0" fontId="19" fillId="0" borderId="7" xfId="0" applyFont="1" applyBorder="1">
      <alignment vertical="center"/>
    </xf>
    <xf numFmtId="0" fontId="19" fillId="0" borderId="10" xfId="0" applyFont="1" applyBorder="1">
      <alignment vertical="center"/>
    </xf>
    <xf numFmtId="0" fontId="19" fillId="0" borderId="17" xfId="0" applyFont="1" applyBorder="1">
      <alignment vertical="center"/>
    </xf>
    <xf numFmtId="0" fontId="8" fillId="0" borderId="2" xfId="1" applyFont="1" applyBorder="1" applyAlignment="1">
      <alignment horizontal="center"/>
    </xf>
    <xf numFmtId="0" fontId="11" fillId="0" borderId="0" xfId="1" applyFont="1" applyAlignment="1">
      <alignment horizontal="left" vertical="top" wrapText="1"/>
    </xf>
    <xf numFmtId="0" fontId="8" fillId="2" borderId="2" xfId="1" applyFont="1" applyFill="1" applyBorder="1" applyAlignment="1">
      <alignment horizontal="center"/>
    </xf>
    <xf numFmtId="0" fontId="8" fillId="0" borderId="3" xfId="1" applyFont="1" applyBorder="1" applyAlignment="1">
      <alignment horizontal="center"/>
    </xf>
    <xf numFmtId="0" fontId="10" fillId="0" borderId="0" xfId="1" applyFont="1" applyAlignment="1">
      <alignment horizontal="left" vertical="top" wrapText="1"/>
    </xf>
    <xf numFmtId="0" fontId="17" fillId="0" borderId="0" xfId="0" applyFont="1" applyAlignment="1">
      <alignment vertical="center" textRotation="90" wrapText="1"/>
    </xf>
  </cellXfs>
  <cellStyles count="3">
    <cellStyle name="Normal" xfId="0" builtinId="0"/>
    <cellStyle name="一般 2" xfId="1" xr:uid="{6E9F67CD-D7E7-1A49-842C-859E5E80E0EF}"/>
    <cellStyle name="百分比 2" xfId="2" xr:uid="{E8AF9921-0816-D44B-828F-9C4C3BAEF9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D5F6-86D6-7445-8F51-05F8D299316C}">
  <sheetPr>
    <pageSetUpPr fitToPage="1"/>
  </sheetPr>
  <dimension ref="A1:N40"/>
  <sheetViews>
    <sheetView workbookViewId="0">
      <selection activeCell="J30" sqref="J30"/>
    </sheetView>
  </sheetViews>
  <sheetFormatPr defaultColWidth="7.5" defaultRowHeight="14.1"/>
  <cols>
    <col min="1" max="1" width="3" style="3" customWidth="1"/>
    <col min="2" max="2" width="12.375" style="3" customWidth="1"/>
    <col min="3" max="3" width="9.375" style="3" customWidth="1"/>
    <col min="4" max="6" width="7.375" style="3" customWidth="1"/>
    <col min="7" max="10" width="8.125" style="3" customWidth="1"/>
    <col min="11" max="11" width="3.125" style="3" customWidth="1"/>
    <col min="12" max="16" width="7.5" style="3"/>
    <col min="17" max="17" width="13" style="3" customWidth="1"/>
    <col min="18" max="18" width="7.5" style="3"/>
    <col min="19" max="19" width="8.5" style="3" customWidth="1"/>
    <col min="20" max="21" width="7.5" style="3"/>
    <col min="22" max="22" width="9.5" style="3" customWidth="1"/>
    <col min="23" max="25" width="8.5" style="3" customWidth="1"/>
    <col min="26" max="16384" width="7.5" style="3"/>
  </cols>
  <sheetData>
    <row r="1" spans="1:14" ht="20.100000000000001">
      <c r="A1" s="1" t="s">
        <v>0</v>
      </c>
      <c r="B1" s="2"/>
    </row>
    <row r="3" spans="1:14" ht="15" thickBot="1">
      <c r="A3" s="5"/>
      <c r="B3" s="5"/>
      <c r="C3" s="5"/>
      <c r="D3" s="5"/>
      <c r="E3" s="5"/>
      <c r="F3" s="5"/>
      <c r="G3" s="5"/>
      <c r="H3" s="5"/>
      <c r="I3" s="5"/>
      <c r="J3" s="5"/>
      <c r="K3" s="5"/>
    </row>
    <row r="4" spans="1:14">
      <c r="E4" s="6" t="s">
        <v>1</v>
      </c>
      <c r="F4" s="6" t="s">
        <v>2</v>
      </c>
      <c r="G4" s="157" t="s">
        <v>3</v>
      </c>
      <c r="H4" s="157"/>
      <c r="I4" s="157"/>
      <c r="J4" s="157"/>
    </row>
    <row r="5" spans="1:14">
      <c r="B5" s="10" t="s">
        <v>4</v>
      </c>
      <c r="C5" s="6"/>
      <c r="D5" s="6" t="s">
        <v>5</v>
      </c>
      <c r="E5" s="6" t="s">
        <v>6</v>
      </c>
      <c r="F5" s="6" t="s">
        <v>7</v>
      </c>
      <c r="J5" s="6" t="s">
        <v>8</v>
      </c>
    </row>
    <row r="6" spans="1:14">
      <c r="A6" s="8"/>
      <c r="B6" s="7" t="s">
        <v>9</v>
      </c>
      <c r="C6" s="9" t="s">
        <v>10</v>
      </c>
      <c r="D6" s="9" t="s">
        <v>11</v>
      </c>
      <c r="E6" s="9" t="s">
        <v>12</v>
      </c>
      <c r="F6" s="9" t="s">
        <v>6</v>
      </c>
      <c r="G6" s="9" t="s">
        <v>13</v>
      </c>
      <c r="H6" s="9" t="s">
        <v>14</v>
      </c>
      <c r="I6" s="9" t="s">
        <v>15</v>
      </c>
      <c r="J6" s="9" t="s">
        <v>16</v>
      </c>
      <c r="K6" s="9"/>
    </row>
    <row r="7" spans="1:14">
      <c r="N7" s="43"/>
    </row>
    <row r="8" spans="1:14">
      <c r="A8" s="10" t="s">
        <v>17</v>
      </c>
      <c r="C8" s="44"/>
      <c r="D8" s="44"/>
      <c r="E8" s="33"/>
      <c r="F8" s="33"/>
      <c r="G8" s="11"/>
      <c r="H8" s="43"/>
      <c r="I8" s="45"/>
      <c r="J8" s="11"/>
    </row>
    <row r="9" spans="1:14">
      <c r="B9" s="3" t="s">
        <v>18</v>
      </c>
      <c r="C9" s="44">
        <v>42796</v>
      </c>
      <c r="D9" s="46">
        <v>10</v>
      </c>
      <c r="E9" s="33">
        <v>0.12</v>
      </c>
      <c r="F9" s="47">
        <v>0.06</v>
      </c>
      <c r="G9" s="11">
        <v>3862.7</v>
      </c>
      <c r="H9" s="37" t="s">
        <v>19</v>
      </c>
      <c r="I9" s="37" t="s">
        <v>19</v>
      </c>
      <c r="J9" s="11">
        <v>-177.9</v>
      </c>
    </row>
    <row r="10" spans="1:14">
      <c r="B10" s="3" t="s">
        <v>20</v>
      </c>
      <c r="C10" s="44">
        <v>42796</v>
      </c>
      <c r="D10" s="46">
        <v>22</v>
      </c>
      <c r="E10" s="33">
        <v>0.13400000000000001</v>
      </c>
      <c r="F10" s="47">
        <v>0.03</v>
      </c>
      <c r="G10" s="11">
        <v>4500.277</v>
      </c>
      <c r="H10" s="3">
        <v>250</v>
      </c>
      <c r="I10" s="37" t="s">
        <v>19</v>
      </c>
      <c r="J10" s="11">
        <v>605</v>
      </c>
    </row>
    <row r="11" spans="1:14">
      <c r="B11" s="3" t="s">
        <v>21</v>
      </c>
      <c r="C11" s="44">
        <v>42797</v>
      </c>
      <c r="D11" s="46">
        <v>22</v>
      </c>
      <c r="E11" s="48" t="s">
        <v>19</v>
      </c>
      <c r="F11" s="37" t="s">
        <v>19</v>
      </c>
      <c r="G11" s="48" t="s">
        <v>19</v>
      </c>
      <c r="H11" s="3">
        <v>280</v>
      </c>
      <c r="I11" s="45">
        <v>21.24</v>
      </c>
      <c r="J11" s="37">
        <v>357</v>
      </c>
    </row>
    <row r="12" spans="1:14">
      <c r="B12" s="3" t="s">
        <v>22</v>
      </c>
      <c r="C12" s="44">
        <v>42803</v>
      </c>
      <c r="D12" s="46">
        <v>23</v>
      </c>
      <c r="E12" s="33">
        <v>0.10299999999999999</v>
      </c>
      <c r="F12" s="47">
        <v>4.4999999999999998E-2</v>
      </c>
      <c r="G12" s="37">
        <v>4816</v>
      </c>
      <c r="H12" s="3">
        <v>369</v>
      </c>
      <c r="I12" s="45">
        <v>14.09</v>
      </c>
      <c r="J12" s="11">
        <v>-592</v>
      </c>
    </row>
    <row r="13" spans="1:14">
      <c r="B13" s="3" t="s">
        <v>23</v>
      </c>
      <c r="C13" s="44">
        <v>42808</v>
      </c>
      <c r="D13" s="46">
        <v>18</v>
      </c>
      <c r="E13" s="33">
        <v>0.12</v>
      </c>
      <c r="F13" s="47">
        <v>0.04</v>
      </c>
      <c r="G13" s="11">
        <v>6247.9</v>
      </c>
      <c r="H13" s="43">
        <v>346</v>
      </c>
      <c r="I13" s="45">
        <v>18.919</v>
      </c>
      <c r="J13" s="11">
        <v>397.9</v>
      </c>
    </row>
    <row r="14" spans="1:14">
      <c r="B14" s="3" t="s">
        <v>24</v>
      </c>
      <c r="C14" s="44">
        <v>42816</v>
      </c>
      <c r="D14" s="46">
        <v>23</v>
      </c>
      <c r="E14" s="33">
        <v>0.107</v>
      </c>
      <c r="F14" s="47">
        <v>-0.02</v>
      </c>
      <c r="G14" s="11">
        <v>6396</v>
      </c>
      <c r="H14" s="43">
        <v>289</v>
      </c>
      <c r="I14" s="45">
        <v>22.41</v>
      </c>
      <c r="J14" s="11">
        <v>253</v>
      </c>
    </row>
    <row r="15" spans="1:14">
      <c r="F15" s="47"/>
    </row>
    <row r="16" spans="1:14">
      <c r="A16" s="10" t="s">
        <v>25</v>
      </c>
      <c r="F16" s="47"/>
    </row>
    <row r="17" spans="1:11">
      <c r="B17" s="49" t="s">
        <v>26</v>
      </c>
      <c r="C17" s="50">
        <v>42821</v>
      </c>
      <c r="D17" s="51">
        <v>28</v>
      </c>
      <c r="E17" s="52">
        <v>9.7000000000000003E-2</v>
      </c>
      <c r="F17" s="53">
        <v>3.5000000000000003E-2</v>
      </c>
      <c r="G17" s="54">
        <v>4901.7</v>
      </c>
      <c r="H17" s="55">
        <v>236</v>
      </c>
      <c r="I17" s="56">
        <v>20.72</v>
      </c>
      <c r="J17" s="54">
        <v>-243</v>
      </c>
    </row>
    <row r="18" spans="1:11">
      <c r="A18" s="10" t="s">
        <v>27</v>
      </c>
      <c r="C18" s="44"/>
      <c r="D18" s="44"/>
      <c r="E18" s="33"/>
      <c r="F18" s="47"/>
      <c r="G18" s="11"/>
      <c r="H18" s="57"/>
      <c r="I18" s="45"/>
      <c r="J18" s="11"/>
    </row>
    <row r="19" spans="1:11">
      <c r="B19" s="3" t="s">
        <v>28</v>
      </c>
      <c r="C19" s="44">
        <v>42821</v>
      </c>
      <c r="D19" s="46">
        <v>24</v>
      </c>
      <c r="E19" s="33">
        <v>0.13</v>
      </c>
      <c r="F19" s="47">
        <v>3.5000000000000003E-2</v>
      </c>
      <c r="G19" s="11">
        <v>6808</v>
      </c>
      <c r="H19" s="43">
        <v>299</v>
      </c>
      <c r="I19" s="45">
        <v>21.3</v>
      </c>
      <c r="J19" s="11">
        <v>1026.0999999999999</v>
      </c>
    </row>
    <row r="20" spans="1:11">
      <c r="B20" s="3" t="s">
        <v>29</v>
      </c>
      <c r="C20" s="44">
        <v>42821</v>
      </c>
      <c r="D20" s="46">
        <v>30</v>
      </c>
      <c r="E20" s="33">
        <v>0.157</v>
      </c>
      <c r="F20" s="37" t="s">
        <v>19</v>
      </c>
      <c r="G20" s="11">
        <v>5126</v>
      </c>
      <c r="H20" s="3">
        <v>272</v>
      </c>
      <c r="I20" s="45">
        <v>18.059999999999999</v>
      </c>
      <c r="J20" s="11">
        <v>1275</v>
      </c>
    </row>
    <row r="21" spans="1:11">
      <c r="B21" s="3" t="s">
        <v>30</v>
      </c>
      <c r="C21" s="44">
        <v>42821</v>
      </c>
      <c r="D21" s="46">
        <v>30</v>
      </c>
      <c r="E21" s="33">
        <v>0.11</v>
      </c>
      <c r="F21" s="47">
        <v>0.03</v>
      </c>
      <c r="G21" s="11">
        <v>4634.3</v>
      </c>
      <c r="H21" s="43">
        <v>281.2</v>
      </c>
      <c r="I21" s="45">
        <v>17.02</v>
      </c>
      <c r="J21" s="11">
        <v>351</v>
      </c>
    </row>
    <row r="22" spans="1:11">
      <c r="A22" s="10" t="s">
        <v>31</v>
      </c>
      <c r="C22" s="44"/>
      <c r="D22" s="44"/>
      <c r="E22" s="33"/>
      <c r="F22" s="47"/>
      <c r="G22" s="11"/>
      <c r="H22" s="43"/>
      <c r="I22" s="45"/>
      <c r="J22" s="11"/>
    </row>
    <row r="23" spans="1:11">
      <c r="B23" s="3" t="s">
        <v>32</v>
      </c>
      <c r="C23" s="44">
        <v>42821</v>
      </c>
      <c r="D23" s="46">
        <v>26</v>
      </c>
      <c r="E23" s="33">
        <v>0.1</v>
      </c>
      <c r="F23" s="37" t="s">
        <v>19</v>
      </c>
      <c r="G23" s="11">
        <v>5204.3</v>
      </c>
      <c r="H23" s="3">
        <v>289</v>
      </c>
      <c r="I23" s="45">
        <v>18.16</v>
      </c>
      <c r="J23" s="11">
        <v>351</v>
      </c>
    </row>
    <row r="24" spans="1:11">
      <c r="B24" s="3" t="s">
        <v>33</v>
      </c>
      <c r="C24" s="44">
        <v>42821</v>
      </c>
      <c r="D24" s="46">
        <v>28</v>
      </c>
      <c r="E24" s="33">
        <v>0.15</v>
      </c>
      <c r="F24" s="37" t="s">
        <v>19</v>
      </c>
      <c r="G24" s="11">
        <v>4964.7</v>
      </c>
      <c r="H24" s="37" t="s">
        <v>19</v>
      </c>
      <c r="I24" s="37" t="s">
        <v>19</v>
      </c>
      <c r="J24" s="11">
        <v>634.1</v>
      </c>
    </row>
    <row r="25" spans="1:11">
      <c r="B25" s="3" t="s">
        <v>34</v>
      </c>
      <c r="C25" s="44">
        <v>42821</v>
      </c>
      <c r="D25" s="37" t="s">
        <v>35</v>
      </c>
      <c r="E25" s="37" t="s">
        <v>19</v>
      </c>
      <c r="F25" s="37" t="s">
        <v>19</v>
      </c>
      <c r="G25" s="11">
        <v>5649</v>
      </c>
      <c r="H25" s="3">
        <v>281</v>
      </c>
      <c r="I25" s="45">
        <v>18.89</v>
      </c>
      <c r="J25" s="37">
        <v>953</v>
      </c>
    </row>
    <row r="26" spans="1:11">
      <c r="B26" s="3" t="s">
        <v>36</v>
      </c>
      <c r="C26" s="44">
        <v>42821</v>
      </c>
      <c r="D26" s="46">
        <v>31</v>
      </c>
      <c r="E26" s="33">
        <v>0.11</v>
      </c>
      <c r="F26" s="47">
        <v>0.05</v>
      </c>
      <c r="G26" s="11">
        <v>4621</v>
      </c>
      <c r="H26" s="37" t="s">
        <v>19</v>
      </c>
      <c r="I26" s="37" t="s">
        <v>19</v>
      </c>
      <c r="J26" s="11">
        <v>390.76609000000002</v>
      </c>
    </row>
    <row r="27" spans="1:11">
      <c r="B27" s="3" t="s">
        <v>37</v>
      </c>
      <c r="C27" s="44">
        <v>42821</v>
      </c>
      <c r="D27" s="46">
        <v>24</v>
      </c>
      <c r="E27" s="33">
        <v>0.18</v>
      </c>
      <c r="F27" s="37" t="s">
        <v>19</v>
      </c>
      <c r="G27" s="11">
        <v>5269</v>
      </c>
      <c r="H27" s="43">
        <v>332</v>
      </c>
      <c r="I27" s="45">
        <v>16.7</v>
      </c>
      <c r="J27" s="11">
        <v>442</v>
      </c>
    </row>
    <row r="28" spans="1:11">
      <c r="A28" s="8"/>
      <c r="B28" s="8" t="s">
        <v>38</v>
      </c>
      <c r="C28" s="58">
        <v>42821</v>
      </c>
      <c r="D28" s="59" t="s">
        <v>35</v>
      </c>
      <c r="E28" s="60">
        <v>0.1</v>
      </c>
      <c r="F28" s="61" t="s">
        <v>19</v>
      </c>
      <c r="G28" s="15">
        <v>4654</v>
      </c>
      <c r="H28" s="61" t="s">
        <v>19</v>
      </c>
      <c r="I28" s="61" t="s">
        <v>19</v>
      </c>
      <c r="J28" s="61" t="s">
        <v>19</v>
      </c>
      <c r="K28" s="8"/>
    </row>
    <row r="30" spans="1:11">
      <c r="B30" s="62" t="s">
        <v>39</v>
      </c>
      <c r="C30" s="44"/>
      <c r="D30" s="63">
        <f t="shared" ref="D30:J30" si="0">AVERAGE(D9:D28)</f>
        <v>24.214285714285715</v>
      </c>
      <c r="E30" s="33">
        <f t="shared" si="0"/>
        <v>0.12271428571428573</v>
      </c>
      <c r="F30" s="47">
        <f t="shared" si="0"/>
        <v>3.3888888888888885E-2</v>
      </c>
      <c r="G30" s="46">
        <f t="shared" si="0"/>
        <v>5176.9918000000007</v>
      </c>
      <c r="H30" s="64">
        <f t="shared" si="0"/>
        <v>293.68333333333334</v>
      </c>
      <c r="I30" s="45">
        <f t="shared" si="0"/>
        <v>18.864454545454542</v>
      </c>
      <c r="J30" s="11">
        <f t="shared" si="0"/>
        <v>401.53107266666666</v>
      </c>
    </row>
    <row r="31" spans="1:11">
      <c r="B31" s="62" t="s">
        <v>40</v>
      </c>
      <c r="C31" s="44"/>
      <c r="D31" s="63">
        <f t="shared" ref="D31:J31" si="1">MEDIAN(D9:D28)</f>
        <v>24</v>
      </c>
      <c r="E31" s="33">
        <f t="shared" si="1"/>
        <v>0.11499999999999999</v>
      </c>
      <c r="F31" s="47">
        <f t="shared" si="1"/>
        <v>3.5000000000000003E-2</v>
      </c>
      <c r="G31" s="46">
        <f t="shared" si="1"/>
        <v>4964.7</v>
      </c>
      <c r="H31" s="64">
        <f t="shared" si="1"/>
        <v>285.10000000000002</v>
      </c>
      <c r="I31" s="45">
        <f t="shared" si="1"/>
        <v>18.89</v>
      </c>
      <c r="J31" s="11">
        <f t="shared" si="1"/>
        <v>390.76609000000002</v>
      </c>
    </row>
    <row r="32" spans="1:11">
      <c r="B32" s="62" t="s">
        <v>41</v>
      </c>
      <c r="C32" s="44"/>
      <c r="D32" s="63">
        <f t="shared" ref="D32:J32" si="2">MAX(D9:D28)</f>
        <v>31</v>
      </c>
      <c r="E32" s="33">
        <f t="shared" si="2"/>
        <v>0.18</v>
      </c>
      <c r="F32" s="47">
        <f t="shared" si="2"/>
        <v>0.06</v>
      </c>
      <c r="G32" s="46">
        <f t="shared" si="2"/>
        <v>6808</v>
      </c>
      <c r="H32" s="64">
        <f t="shared" si="2"/>
        <v>369</v>
      </c>
      <c r="I32" s="45">
        <f t="shared" si="2"/>
        <v>22.41</v>
      </c>
      <c r="J32" s="11">
        <f t="shared" si="2"/>
        <v>1275</v>
      </c>
    </row>
    <row r="33" spans="1:12">
      <c r="B33" s="62" t="s">
        <v>42</v>
      </c>
      <c r="C33" s="44"/>
      <c r="D33" s="63">
        <f t="shared" ref="D33:J33" si="3">MIN(D9:D28)</f>
        <v>10</v>
      </c>
      <c r="E33" s="33">
        <f t="shared" si="3"/>
        <v>9.7000000000000003E-2</v>
      </c>
      <c r="F33" s="47">
        <f t="shared" si="3"/>
        <v>-0.02</v>
      </c>
      <c r="G33" s="46">
        <f t="shared" si="3"/>
        <v>3862.7</v>
      </c>
      <c r="H33" s="64">
        <f t="shared" si="3"/>
        <v>236</v>
      </c>
      <c r="I33" s="45">
        <f t="shared" si="3"/>
        <v>14.09</v>
      </c>
      <c r="J33" s="11">
        <f t="shared" si="3"/>
        <v>-592</v>
      </c>
    </row>
    <row r="34" spans="1:12" ht="15">
      <c r="B34" s="62" t="s">
        <v>43</v>
      </c>
      <c r="C34" s="44"/>
      <c r="D34" s="63">
        <f t="shared" ref="D34:J34" si="4">_xlfn.STDEV.S(D9:D28)</f>
        <v>5.5355990771421624</v>
      </c>
      <c r="E34" s="24">
        <f t="shared" si="4"/>
        <v>2.4882581400306008E-2</v>
      </c>
      <c r="F34" s="12">
        <f t="shared" si="4"/>
        <v>2.2469114604521275E-2</v>
      </c>
      <c r="G34" s="46">
        <f t="shared" si="4"/>
        <v>794.68108058337873</v>
      </c>
      <c r="H34" s="64">
        <f t="shared" si="4"/>
        <v>38.328290840942586</v>
      </c>
      <c r="I34" s="45">
        <f t="shared" si="4"/>
        <v>2.4416871774917022</v>
      </c>
      <c r="J34" s="46">
        <f t="shared" si="4"/>
        <v>487.10683356948272</v>
      </c>
    </row>
    <row r="35" spans="1:12">
      <c r="B35" s="62" t="s">
        <v>44</v>
      </c>
      <c r="D35" s="34">
        <f>D34/D30</f>
        <v>0.22860881144539902</v>
      </c>
      <c r="E35" s="34">
        <f t="shared" ref="E35:J35" si="5">E34/E30</f>
        <v>0.20276841653334346</v>
      </c>
      <c r="F35" s="34">
        <f t="shared" si="5"/>
        <v>0.66302305390390659</v>
      </c>
      <c r="G35" s="34">
        <f t="shared" si="5"/>
        <v>0.15350248006639272</v>
      </c>
      <c r="H35" s="34">
        <f t="shared" si="5"/>
        <v>0.13050890701189236</v>
      </c>
      <c r="I35" s="34">
        <f t="shared" si="5"/>
        <v>0.12943322435368457</v>
      </c>
      <c r="J35" s="34">
        <f t="shared" si="5"/>
        <v>1.2131236328349047</v>
      </c>
    </row>
    <row r="36" spans="1:12" ht="8.1" customHeight="1" thickBot="1">
      <c r="A36" s="5"/>
      <c r="B36" s="5"/>
      <c r="C36" s="5"/>
      <c r="D36" s="5"/>
      <c r="E36" s="5"/>
      <c r="F36" s="5"/>
      <c r="G36" s="5"/>
      <c r="H36" s="5"/>
      <c r="I36" s="5"/>
      <c r="J36" s="5"/>
      <c r="K36" s="5"/>
      <c r="L36" s="65"/>
    </row>
    <row r="38" spans="1:12">
      <c r="A38" s="27" t="s">
        <v>45</v>
      </c>
    </row>
    <row r="39" spans="1:12" ht="26.45" customHeight="1">
      <c r="A39" s="158" t="s">
        <v>46</v>
      </c>
      <c r="B39" s="158"/>
      <c r="C39" s="158"/>
      <c r="D39" s="158"/>
      <c r="E39" s="158"/>
      <c r="F39" s="158"/>
      <c r="G39" s="158"/>
      <c r="H39" s="158"/>
      <c r="I39" s="158"/>
      <c r="J39" s="158"/>
    </row>
    <row r="40" spans="1:12" ht="26.1" customHeight="1">
      <c r="A40" s="158" t="s">
        <v>47</v>
      </c>
      <c r="B40" s="158"/>
      <c r="C40" s="158"/>
      <c r="D40" s="158"/>
      <c r="E40" s="158"/>
      <c r="F40" s="158"/>
      <c r="G40" s="158"/>
      <c r="H40" s="158"/>
      <c r="I40" s="158"/>
      <c r="J40" s="158"/>
    </row>
  </sheetData>
  <mergeCells count="3">
    <mergeCell ref="G4:J4"/>
    <mergeCell ref="A39:J39"/>
    <mergeCell ref="A40:J40"/>
  </mergeCells>
  <phoneticPr fontId="5" type="noConversion"/>
  <pageMargins left="0.7" right="0.7" top="0.75" bottom="0.75" header="0.3" footer="0.3"/>
  <pageSetup scale="9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2BA4B-036B-AB42-83E3-17B85D26C9B0}">
  <dimension ref="A1:P37"/>
  <sheetViews>
    <sheetView workbookViewId="0">
      <selection activeCell="D19" sqref="D19"/>
    </sheetView>
  </sheetViews>
  <sheetFormatPr defaultColWidth="7.5" defaultRowHeight="14.1"/>
  <cols>
    <col min="1" max="2" width="2.375" style="3" customWidth="1"/>
    <col min="3" max="3" width="7.5" style="3"/>
    <col min="4" max="4" width="6.5" style="3" customWidth="1"/>
    <col min="5" max="14" width="8.125" style="3" customWidth="1"/>
    <col min="15" max="15" width="11.625" style="3" customWidth="1"/>
    <col min="16" max="17" width="3.125" style="3" customWidth="1"/>
    <col min="18" max="16384" width="7.5" style="3"/>
  </cols>
  <sheetData>
    <row r="1" spans="1:15" ht="20.100000000000001">
      <c r="A1" s="1" t="s">
        <v>48</v>
      </c>
      <c r="B1" s="2"/>
      <c r="H1" s="4"/>
    </row>
    <row r="3" spans="1:15" ht="15" thickBot="1">
      <c r="A3" s="5"/>
      <c r="B3" s="5"/>
      <c r="C3" s="5"/>
      <c r="D3" s="5"/>
      <c r="E3" s="5"/>
      <c r="F3" s="5"/>
      <c r="G3" s="5"/>
      <c r="H3" s="5"/>
      <c r="I3" s="5"/>
      <c r="J3" s="5"/>
      <c r="K3" s="5"/>
      <c r="L3" s="5"/>
      <c r="M3" s="5"/>
      <c r="N3" s="5"/>
      <c r="O3" s="5"/>
    </row>
    <row r="4" spans="1:15">
      <c r="E4" s="6" t="s">
        <v>49</v>
      </c>
      <c r="F4" s="159" t="s">
        <v>50</v>
      </c>
      <c r="G4" s="159"/>
      <c r="H4" s="159"/>
      <c r="I4" s="159"/>
      <c r="J4" s="159"/>
      <c r="K4" s="159"/>
      <c r="L4" s="159"/>
      <c r="M4" s="159"/>
      <c r="N4" s="159"/>
      <c r="O4" s="159"/>
    </row>
    <row r="5" spans="1:15">
      <c r="A5" s="7" t="s">
        <v>51</v>
      </c>
      <c r="B5" s="7"/>
      <c r="C5" s="8"/>
      <c r="D5" s="8"/>
      <c r="E5" s="9">
        <v>2016</v>
      </c>
      <c r="F5" s="7">
        <v>2017</v>
      </c>
      <c r="G5" s="7">
        <v>2018</v>
      </c>
      <c r="H5" s="7">
        <v>2019</v>
      </c>
      <c r="I5" s="7">
        <v>2020</v>
      </c>
      <c r="J5" s="7">
        <v>2021</v>
      </c>
      <c r="K5" s="7">
        <v>2022</v>
      </c>
      <c r="L5" s="7">
        <v>2023</v>
      </c>
      <c r="M5" s="7">
        <v>2024</v>
      </c>
      <c r="N5" s="7">
        <v>2025</v>
      </c>
      <c r="O5" s="9" t="s">
        <v>52</v>
      </c>
    </row>
    <row r="6" spans="1:15" ht="6" customHeight="1">
      <c r="A6" s="10"/>
    </row>
    <row r="7" spans="1:15">
      <c r="A7" s="10" t="s">
        <v>53</v>
      </c>
      <c r="E7" s="4"/>
    </row>
    <row r="8" spans="1:15">
      <c r="B8" s="3" t="s">
        <v>54</v>
      </c>
      <c r="E8" s="11">
        <v>404.5</v>
      </c>
      <c r="F8" s="11">
        <v>943.7</v>
      </c>
      <c r="G8" s="11">
        <v>1934.7</v>
      </c>
      <c r="H8" s="11">
        <v>3254</v>
      </c>
      <c r="I8" s="11">
        <v>4901.7</v>
      </c>
      <c r="J8" s="11">
        <v>6907.3</v>
      </c>
      <c r="K8" s="11">
        <v>9188.5</v>
      </c>
      <c r="L8" s="11">
        <v>11635.3</v>
      </c>
      <c r="M8" s="11">
        <v>14130.6</v>
      </c>
      <c r="N8" s="11">
        <v>16568.900000000001</v>
      </c>
      <c r="O8" s="11">
        <v>17148.8</v>
      </c>
    </row>
    <row r="9" spans="1:15" ht="15">
      <c r="C9" s="3" t="s">
        <v>7</v>
      </c>
      <c r="E9" s="12">
        <v>5.8949999999999996</v>
      </c>
      <c r="F9" s="12">
        <v>1.333</v>
      </c>
      <c r="G9" s="12">
        <v>1.05</v>
      </c>
      <c r="H9" s="12">
        <v>0.68200000000000005</v>
      </c>
      <c r="I9" s="12">
        <v>0.50600000000000001</v>
      </c>
      <c r="J9" s="12">
        <v>0.40899999999999997</v>
      </c>
      <c r="K9" s="12">
        <v>0.33</v>
      </c>
      <c r="L9" s="12">
        <v>0.26600000000000001</v>
      </c>
      <c r="M9" s="12">
        <v>0.214</v>
      </c>
      <c r="N9" s="12">
        <v>0.17299999999999999</v>
      </c>
      <c r="O9" s="13">
        <f>(O8-N8)/N8</f>
        <v>3.4999305928576897E-2</v>
      </c>
    </row>
    <row r="10" spans="1:15">
      <c r="B10" s="3" t="s">
        <v>55</v>
      </c>
      <c r="E10" s="11">
        <v>-459.4</v>
      </c>
      <c r="F10" s="11">
        <v>-771.9</v>
      </c>
      <c r="G10" s="11">
        <v>-609.5</v>
      </c>
      <c r="H10" s="11">
        <v>-194.6</v>
      </c>
      <c r="I10" s="11">
        <v>362.6</v>
      </c>
      <c r="J10" s="11">
        <v>1474</v>
      </c>
      <c r="K10" s="11">
        <v>2616.1</v>
      </c>
      <c r="L10" s="11">
        <v>3887.8</v>
      </c>
      <c r="M10" s="11">
        <v>5222.5</v>
      </c>
      <c r="N10" s="11">
        <v>6573.6</v>
      </c>
      <c r="O10" s="11">
        <v>6803.7</v>
      </c>
    </row>
    <row r="11" spans="1:15" ht="15">
      <c r="C11" s="3" t="s">
        <v>56</v>
      </c>
      <c r="E11" s="12">
        <f t="shared" ref="E11:O11" si="0">E10/E8</f>
        <v>-1.1357231149567366</v>
      </c>
      <c r="F11" s="12">
        <f t="shared" si="0"/>
        <v>-0.81795061990039197</v>
      </c>
      <c r="G11" s="12">
        <f t="shared" si="0"/>
        <v>-0.31503592288210058</v>
      </c>
      <c r="H11" s="12">
        <f t="shared" si="0"/>
        <v>-5.980331899200983E-2</v>
      </c>
      <c r="I11" s="12">
        <f t="shared" si="0"/>
        <v>7.3974335434645128E-2</v>
      </c>
      <c r="J11" s="12">
        <f t="shared" si="0"/>
        <v>0.21339742012074181</v>
      </c>
      <c r="K11" s="12">
        <f t="shared" si="0"/>
        <v>0.28471458888828427</v>
      </c>
      <c r="L11" s="12">
        <f t="shared" si="0"/>
        <v>0.33413835483399656</v>
      </c>
      <c r="M11" s="12">
        <f t="shared" si="0"/>
        <v>0.36958798635585183</v>
      </c>
      <c r="N11" s="12">
        <f t="shared" si="0"/>
        <v>0.39674329617536469</v>
      </c>
      <c r="O11" s="12">
        <f t="shared" si="0"/>
        <v>0.39674496174659452</v>
      </c>
    </row>
    <row r="12" spans="1:15" ht="6" customHeight="1">
      <c r="E12" s="12"/>
      <c r="F12" s="12"/>
      <c r="G12" s="12"/>
      <c r="H12" s="12"/>
      <c r="I12" s="12"/>
      <c r="J12" s="12"/>
      <c r="K12" s="12"/>
      <c r="L12" s="12"/>
      <c r="M12" s="12"/>
      <c r="N12" s="12"/>
      <c r="O12" s="12"/>
    </row>
    <row r="13" spans="1:15">
      <c r="A13" s="10" t="s">
        <v>57</v>
      </c>
    </row>
    <row r="14" spans="1:15">
      <c r="A14" s="10"/>
      <c r="B14" s="14" t="s">
        <v>58</v>
      </c>
      <c r="E14" s="11">
        <v>0</v>
      </c>
      <c r="F14" s="11">
        <v>0</v>
      </c>
      <c r="G14" s="11">
        <v>0</v>
      </c>
      <c r="H14" s="11">
        <v>0</v>
      </c>
      <c r="I14" s="11">
        <v>0</v>
      </c>
      <c r="J14" s="11">
        <v>0</v>
      </c>
      <c r="K14" s="11">
        <v>0</v>
      </c>
      <c r="L14" s="11">
        <v>0</v>
      </c>
      <c r="M14" s="11">
        <v>823.3</v>
      </c>
      <c r="N14" s="11">
        <v>1448.4</v>
      </c>
      <c r="O14" s="11"/>
    </row>
    <row r="15" spans="1:15">
      <c r="B15" s="14" t="s">
        <v>59</v>
      </c>
      <c r="E15" s="11">
        <v>150.5</v>
      </c>
      <c r="F15" s="11">
        <v>256.60000000000002</v>
      </c>
      <c r="G15" s="11">
        <v>227.5</v>
      </c>
      <c r="H15" s="11">
        <v>230.5</v>
      </c>
      <c r="I15" s="11">
        <v>228.4</v>
      </c>
      <c r="J15" s="11">
        <v>208.9</v>
      </c>
      <c r="K15" s="11">
        <v>223.8</v>
      </c>
      <c r="L15" s="11">
        <v>248.1</v>
      </c>
      <c r="M15" s="11">
        <v>206.9</v>
      </c>
      <c r="N15" s="11">
        <v>150.6</v>
      </c>
      <c r="O15" s="11"/>
    </row>
    <row r="16" spans="1:15">
      <c r="B16" s="14" t="s">
        <v>60</v>
      </c>
      <c r="E16" s="11">
        <v>67</v>
      </c>
      <c r="F16" s="11">
        <v>82.6</v>
      </c>
      <c r="G16" s="11">
        <v>96.6</v>
      </c>
      <c r="H16" s="11">
        <v>109.1</v>
      </c>
      <c r="I16" s="11">
        <v>120.1</v>
      </c>
      <c r="J16" s="11">
        <v>130.1</v>
      </c>
      <c r="K16" s="11">
        <v>140.1</v>
      </c>
      <c r="L16" s="11">
        <v>148.1</v>
      </c>
      <c r="M16" s="11">
        <v>155.1</v>
      </c>
      <c r="N16" s="11">
        <v>161.1</v>
      </c>
      <c r="O16" s="11"/>
    </row>
    <row r="17" spans="1:16">
      <c r="B17" s="14" t="s">
        <v>61</v>
      </c>
      <c r="E17" s="15">
        <v>31.8</v>
      </c>
      <c r="F17" s="15">
        <v>75</v>
      </c>
      <c r="G17" s="15">
        <v>159.30000000000001</v>
      </c>
      <c r="H17" s="15">
        <v>202.8</v>
      </c>
      <c r="I17" s="15">
        <v>256.5</v>
      </c>
      <c r="J17" s="15">
        <v>316.60000000000002</v>
      </c>
      <c r="K17" s="15">
        <v>421.1</v>
      </c>
      <c r="L17" s="15">
        <v>533.29999999999995</v>
      </c>
      <c r="M17" s="15">
        <v>647.70000000000005</v>
      </c>
      <c r="N17" s="15">
        <v>759.4</v>
      </c>
      <c r="O17" s="11"/>
    </row>
    <row r="18" spans="1:16">
      <c r="C18" s="10" t="s">
        <v>62</v>
      </c>
      <c r="E18" s="16">
        <v>-708.8</v>
      </c>
      <c r="F18" s="16">
        <v>-1186.2</v>
      </c>
      <c r="G18" s="16">
        <v>-1093</v>
      </c>
      <c r="H18" s="16">
        <v>-737.1</v>
      </c>
      <c r="I18" s="16">
        <v>-242.5</v>
      </c>
      <c r="J18" s="16">
        <f>J10-SUM(J14:J17)</f>
        <v>818.4</v>
      </c>
      <c r="K18" s="16">
        <f>K10-SUM(K14:K17)</f>
        <v>1831.1</v>
      </c>
      <c r="L18" s="16">
        <v>2958.2</v>
      </c>
      <c r="M18" s="16">
        <v>3389.6</v>
      </c>
      <c r="N18" s="16">
        <v>4054.2</v>
      </c>
      <c r="O18" s="16">
        <v>4196.1000000000004</v>
      </c>
    </row>
    <row r="19" spans="1:16" ht="6" customHeight="1" thickBot="1">
      <c r="A19" s="5"/>
      <c r="B19" s="5"/>
      <c r="C19" s="5"/>
      <c r="D19" s="5"/>
      <c r="E19" s="5"/>
      <c r="F19" s="5"/>
      <c r="G19" s="5"/>
      <c r="H19" s="5"/>
      <c r="I19" s="5"/>
      <c r="J19" s="5"/>
      <c r="K19" s="5"/>
      <c r="L19" s="5"/>
      <c r="M19" s="5"/>
      <c r="N19" s="5"/>
      <c r="O19" s="5"/>
    </row>
    <row r="20" spans="1:16" ht="3.95" customHeight="1"/>
    <row r="21" spans="1:16" ht="3.95" customHeight="1" thickBot="1">
      <c r="A21" s="5"/>
      <c r="B21" s="5"/>
      <c r="C21" s="5"/>
      <c r="D21" s="5"/>
      <c r="E21" s="5"/>
      <c r="F21" s="5"/>
      <c r="G21" s="5"/>
      <c r="H21" s="5"/>
      <c r="I21" s="5"/>
      <c r="J21" s="5"/>
      <c r="K21" s="5"/>
      <c r="L21" s="5"/>
      <c r="M21" s="5"/>
      <c r="N21" s="5"/>
      <c r="O21" s="5"/>
      <c r="P21" s="5"/>
    </row>
    <row r="22" spans="1:16">
      <c r="A22" s="17" t="s">
        <v>63</v>
      </c>
      <c r="B22" s="8"/>
      <c r="C22" s="8"/>
      <c r="D22" s="8"/>
      <c r="E22" s="8"/>
      <c r="F22" s="8"/>
      <c r="G22" s="8"/>
      <c r="H22" s="8"/>
      <c r="I22" s="8"/>
      <c r="J22" s="8"/>
      <c r="L22" s="17" t="s">
        <v>64</v>
      </c>
      <c r="M22" s="8"/>
      <c r="N22" s="8"/>
    </row>
    <row r="23" spans="1:16" ht="8.1" customHeight="1"/>
    <row r="24" spans="1:16" ht="15">
      <c r="B24" s="3" t="s">
        <v>65</v>
      </c>
      <c r="E24" s="18">
        <v>0.03</v>
      </c>
      <c r="G24" s="3" t="s">
        <v>66</v>
      </c>
      <c r="J24" s="19">
        <v>1404</v>
      </c>
      <c r="L24" s="7" t="s">
        <v>67</v>
      </c>
      <c r="M24" s="8"/>
      <c r="N24" s="20">
        <v>43186</v>
      </c>
    </row>
    <row r="25" spans="1:16" ht="15">
      <c r="B25" s="3" t="s">
        <v>68</v>
      </c>
      <c r="E25" s="21">
        <v>0.02</v>
      </c>
      <c r="G25" s="3" t="s">
        <v>69</v>
      </c>
      <c r="J25" s="11">
        <v>2081</v>
      </c>
      <c r="M25" s="3" t="s">
        <v>70</v>
      </c>
      <c r="N25" s="22">
        <v>3.0599999999999999E-2</v>
      </c>
    </row>
    <row r="26" spans="1:16" ht="15">
      <c r="B26" s="3" t="s">
        <v>71</v>
      </c>
      <c r="E26" s="21">
        <v>0.35</v>
      </c>
      <c r="M26" s="3" t="s">
        <v>72</v>
      </c>
      <c r="N26" s="22">
        <v>2.3800000000000002E-2</v>
      </c>
    </row>
    <row r="27" spans="1:16" ht="15">
      <c r="B27" s="3" t="s">
        <v>73</v>
      </c>
      <c r="E27" s="23">
        <v>9.9000000000000005E-2</v>
      </c>
      <c r="G27" s="3" t="s">
        <v>74</v>
      </c>
      <c r="J27" s="24">
        <v>3.5000000000000003E-2</v>
      </c>
    </row>
    <row r="28" spans="1:16" ht="15.95" thickBot="1">
      <c r="B28" s="3" t="s">
        <v>75</v>
      </c>
      <c r="E28" s="23">
        <v>5.5899999999999998E-2</v>
      </c>
    </row>
    <row r="29" spans="1:16" ht="15.95" thickBot="1">
      <c r="B29" s="3" t="s">
        <v>76</v>
      </c>
      <c r="E29" s="25">
        <v>9.7000000000000003E-2</v>
      </c>
    </row>
    <row r="30" spans="1:16" ht="8.1" customHeight="1" thickBot="1">
      <c r="A30" s="5"/>
      <c r="B30" s="5"/>
      <c r="C30" s="5"/>
      <c r="D30" s="5"/>
      <c r="E30" s="26"/>
      <c r="F30" s="5"/>
      <c r="G30" s="5"/>
      <c r="H30" s="5"/>
      <c r="I30" s="5"/>
      <c r="J30" s="5"/>
      <c r="K30" s="5"/>
      <c r="L30" s="5"/>
      <c r="M30" s="5"/>
      <c r="N30" s="5"/>
      <c r="O30" s="5"/>
      <c r="P30" s="5"/>
    </row>
    <row r="31" spans="1:16" ht="15">
      <c r="E31" s="18"/>
    </row>
    <row r="32" spans="1:16">
      <c r="A32" s="27" t="s">
        <v>77</v>
      </c>
    </row>
    <row r="33" spans="1:14">
      <c r="A33" s="28" t="s">
        <v>78</v>
      </c>
    </row>
    <row r="34" spans="1:14" ht="10.35" customHeight="1">
      <c r="A34" s="28"/>
    </row>
    <row r="35" spans="1:14" ht="29.1" customHeight="1">
      <c r="A35" s="158" t="s">
        <v>79</v>
      </c>
      <c r="B35" s="158"/>
      <c r="C35" s="158"/>
      <c r="D35" s="158"/>
      <c r="E35" s="158"/>
      <c r="F35" s="158"/>
      <c r="G35" s="158"/>
      <c r="H35" s="158"/>
      <c r="I35" s="158"/>
      <c r="J35" s="158"/>
      <c r="K35" s="158"/>
      <c r="L35" s="158"/>
      <c r="M35" s="158"/>
      <c r="N35" s="158"/>
    </row>
    <row r="36" spans="1:14" ht="10.35" customHeight="1">
      <c r="A36" s="29"/>
      <c r="B36" s="29"/>
      <c r="C36" s="29"/>
      <c r="D36" s="29"/>
      <c r="E36" s="29"/>
      <c r="F36" s="29"/>
      <c r="G36" s="29"/>
      <c r="H36" s="29"/>
      <c r="I36" s="29"/>
      <c r="J36" s="29"/>
      <c r="K36" s="29"/>
      <c r="L36" s="29"/>
      <c r="M36" s="29"/>
      <c r="N36" s="29"/>
    </row>
    <row r="37" spans="1:14" ht="57.6" customHeight="1">
      <c r="A37" s="158" t="s">
        <v>80</v>
      </c>
      <c r="B37" s="158"/>
      <c r="C37" s="158"/>
      <c r="D37" s="158"/>
      <c r="E37" s="158"/>
      <c r="F37" s="158"/>
      <c r="G37" s="158"/>
      <c r="H37" s="158"/>
      <c r="I37" s="158"/>
      <c r="J37" s="158"/>
      <c r="K37" s="158"/>
      <c r="L37" s="158"/>
      <c r="M37" s="158"/>
      <c r="N37" s="158"/>
    </row>
  </sheetData>
  <mergeCells count="3">
    <mergeCell ref="F4:O4"/>
    <mergeCell ref="A35:N35"/>
    <mergeCell ref="A37:N37"/>
  </mergeCells>
  <phoneticPr fontId="5" type="noConversion"/>
  <pageMargins left="0.7" right="0.7" top="0.47" bottom="0.35" header="0.3" footer="0.3"/>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61FEA-7E90-9D4C-83ED-FD85C06C0F3D}">
  <sheetPr>
    <pageSetUpPr fitToPage="1"/>
  </sheetPr>
  <dimension ref="A1:K30"/>
  <sheetViews>
    <sheetView workbookViewId="0">
      <selection activeCell="J11" sqref="J11"/>
    </sheetView>
  </sheetViews>
  <sheetFormatPr defaultColWidth="7.5" defaultRowHeight="14.1"/>
  <cols>
    <col min="1" max="1" width="11.5" style="3" customWidth="1"/>
    <col min="2" max="2" width="9.875" style="3" customWidth="1"/>
    <col min="3" max="3" width="8.125" style="3" customWidth="1"/>
    <col min="4" max="4" width="2.375" style="3" customWidth="1"/>
    <col min="5" max="6" width="8.5" style="3" customWidth="1"/>
    <col min="7" max="7" width="2.375" style="3" customWidth="1"/>
    <col min="8" max="9" width="7.5" style="3"/>
    <col min="10" max="10" width="9" style="3" customWidth="1"/>
    <col min="11" max="11" width="3.125" style="3" customWidth="1"/>
    <col min="12" max="12" width="4.375" style="3" customWidth="1"/>
    <col min="13" max="16384" width="7.5" style="3"/>
  </cols>
  <sheetData>
    <row r="1" spans="1:11" ht="15">
      <c r="A1" s="1" t="s">
        <v>81</v>
      </c>
    </row>
    <row r="3" spans="1:11" ht="15" thickBot="1">
      <c r="A3" s="5"/>
      <c r="B3" s="5"/>
      <c r="C3" s="5"/>
      <c r="D3" s="5"/>
      <c r="E3" s="5"/>
      <c r="F3" s="5"/>
      <c r="G3" s="5"/>
      <c r="H3" s="5"/>
      <c r="I3" s="5"/>
      <c r="J3" s="5"/>
      <c r="K3" s="5"/>
    </row>
    <row r="4" spans="1:11">
      <c r="H4" s="157" t="s">
        <v>82</v>
      </c>
      <c r="I4" s="157"/>
      <c r="J4" s="157"/>
    </row>
    <row r="5" spans="1:11">
      <c r="B5" s="160" t="s">
        <v>83</v>
      </c>
      <c r="C5" s="160"/>
      <c r="E5" s="160" t="s">
        <v>84</v>
      </c>
      <c r="F5" s="160"/>
      <c r="H5" s="6"/>
      <c r="I5" s="6" t="s">
        <v>85</v>
      </c>
      <c r="J5" s="6" t="s">
        <v>86</v>
      </c>
      <c r="K5" s="10"/>
    </row>
    <row r="6" spans="1:11">
      <c r="B6" s="6" t="s">
        <v>87</v>
      </c>
      <c r="E6" s="6" t="s">
        <v>88</v>
      </c>
      <c r="F6" s="6" t="s">
        <v>89</v>
      </c>
      <c r="H6" s="6"/>
      <c r="I6" s="6" t="s">
        <v>90</v>
      </c>
      <c r="J6" s="6" t="s">
        <v>91</v>
      </c>
      <c r="K6" s="6"/>
    </row>
    <row r="7" spans="1:11">
      <c r="A7" s="7" t="s">
        <v>92</v>
      </c>
      <c r="B7" s="9" t="s">
        <v>93</v>
      </c>
      <c r="C7" s="9" t="s">
        <v>12</v>
      </c>
      <c r="D7" s="8"/>
      <c r="E7" s="9" t="s">
        <v>94</v>
      </c>
      <c r="F7" s="9" t="s">
        <v>95</v>
      </c>
      <c r="G7" s="8"/>
      <c r="H7" s="9" t="s">
        <v>96</v>
      </c>
      <c r="I7" s="9" t="s">
        <v>97</v>
      </c>
      <c r="J7" s="9" t="s">
        <v>97</v>
      </c>
      <c r="K7" s="9"/>
    </row>
    <row r="8" spans="1:11" ht="8.1" customHeight="1" thickBot="1">
      <c r="A8" s="10"/>
      <c r="B8" s="6"/>
      <c r="C8" s="6"/>
    </row>
    <row r="9" spans="1:11" ht="15" thickBot="1">
      <c r="A9" s="3" t="s">
        <v>98</v>
      </c>
      <c r="B9" s="31">
        <v>43186</v>
      </c>
      <c r="C9" s="32">
        <v>9.7000000000000003E-2</v>
      </c>
    </row>
    <row r="10" spans="1:11" ht="8.1" customHeight="1">
      <c r="C10" s="33"/>
    </row>
    <row r="11" spans="1:11">
      <c r="A11" s="3" t="s">
        <v>99</v>
      </c>
      <c r="B11" s="31">
        <v>42817</v>
      </c>
      <c r="C11" s="33">
        <v>0.08</v>
      </c>
      <c r="E11" s="34">
        <v>0.99134</v>
      </c>
      <c r="F11" s="34">
        <v>1.33985</v>
      </c>
      <c r="H11" s="11">
        <v>12918</v>
      </c>
      <c r="I11" s="11">
        <v>3935</v>
      </c>
      <c r="J11" s="11">
        <v>539069.52974999999</v>
      </c>
    </row>
    <row r="12" spans="1:11">
      <c r="A12" s="3" t="s">
        <v>100</v>
      </c>
      <c r="B12" s="31">
        <v>42753</v>
      </c>
      <c r="C12" s="33">
        <v>7.4999999999999997E-2</v>
      </c>
      <c r="E12" s="34">
        <v>0.97140000000000004</v>
      </c>
      <c r="F12" s="34">
        <v>1.3001</v>
      </c>
      <c r="H12" s="11">
        <v>19334</v>
      </c>
      <c r="I12" s="11">
        <v>20413</v>
      </c>
      <c r="J12" s="11">
        <v>356313.12359999999</v>
      </c>
    </row>
    <row r="13" spans="1:11">
      <c r="A13" s="3" t="s">
        <v>101</v>
      </c>
      <c r="B13" s="31">
        <v>42754</v>
      </c>
      <c r="C13" s="33">
        <v>6.3E-2</v>
      </c>
      <c r="E13" s="34">
        <v>1.3120000000000001</v>
      </c>
      <c r="F13" s="34">
        <v>1.3819999999999999</v>
      </c>
      <c r="H13" s="11">
        <v>1816</v>
      </c>
      <c r="I13" s="11">
        <v>8960</v>
      </c>
      <c r="J13" s="11">
        <v>33191</v>
      </c>
    </row>
    <row r="14" spans="1:11">
      <c r="A14" s="3" t="s">
        <v>102</v>
      </c>
      <c r="B14" s="31">
        <v>42795</v>
      </c>
      <c r="C14" s="33">
        <v>8.1000000000000003E-2</v>
      </c>
      <c r="E14" s="34">
        <v>1.5708299999999999</v>
      </c>
      <c r="F14" s="34">
        <v>2.32002</v>
      </c>
      <c r="H14" s="11">
        <v>181.59200000000001</v>
      </c>
      <c r="I14" s="11">
        <v>12.125</v>
      </c>
      <c r="J14" s="11">
        <v>1361.40049</v>
      </c>
    </row>
    <row r="15" spans="1:11">
      <c r="A15" s="3" t="s">
        <v>103</v>
      </c>
      <c r="B15" s="31">
        <v>42768</v>
      </c>
      <c r="C15" s="33">
        <v>8.5999999999999993E-2</v>
      </c>
      <c r="E15" s="34">
        <v>0.85634999999999994</v>
      </c>
      <c r="F15" s="34">
        <v>1.1151199999999999</v>
      </c>
      <c r="H15" s="11">
        <v>8903</v>
      </c>
      <c r="I15" s="11">
        <v>0</v>
      </c>
      <c r="J15" s="11">
        <v>331593.65850000002</v>
      </c>
    </row>
    <row r="16" spans="1:11">
      <c r="A16" s="3" t="s">
        <v>104</v>
      </c>
      <c r="B16" s="31">
        <v>42782</v>
      </c>
      <c r="C16" s="33">
        <v>8.2000000000000003E-2</v>
      </c>
      <c r="E16" s="34">
        <v>1.9530700000000001</v>
      </c>
      <c r="F16" s="34">
        <v>2.08412</v>
      </c>
      <c r="H16" s="11">
        <v>862.97699999999998</v>
      </c>
      <c r="I16" s="11">
        <v>227.60300000000001</v>
      </c>
      <c r="J16" s="11">
        <v>1896.2511999999999</v>
      </c>
    </row>
    <row r="17" spans="1:11">
      <c r="A17" s="3" t="s">
        <v>105</v>
      </c>
      <c r="B17" s="31">
        <v>42774</v>
      </c>
      <c r="C17" s="33">
        <v>8.5000000000000006E-2</v>
      </c>
      <c r="E17" s="34">
        <v>1.48458</v>
      </c>
      <c r="F17" s="34">
        <v>1.12896</v>
      </c>
      <c r="H17" s="11">
        <v>239.52799999999999</v>
      </c>
      <c r="I17" s="11">
        <v>0</v>
      </c>
      <c r="J17" s="11">
        <v>3220.0012499999998</v>
      </c>
    </row>
    <row r="18" spans="1:11">
      <c r="A18" s="3" t="s">
        <v>106</v>
      </c>
      <c r="B18" s="31">
        <v>42489</v>
      </c>
      <c r="C18" s="33">
        <v>9.0999999999999998E-2</v>
      </c>
      <c r="E18" s="35" t="s">
        <v>19</v>
      </c>
      <c r="F18" s="35" t="s">
        <v>19</v>
      </c>
      <c r="H18" s="35" t="s">
        <v>19</v>
      </c>
      <c r="I18" s="35" t="s">
        <v>19</v>
      </c>
      <c r="J18" s="35" t="s">
        <v>19</v>
      </c>
    </row>
    <row r="19" spans="1:11">
      <c r="A19" s="3" t="s">
        <v>107</v>
      </c>
      <c r="B19" s="31">
        <v>42794</v>
      </c>
      <c r="C19" s="33">
        <v>0.08</v>
      </c>
      <c r="E19" s="36">
        <v>1.446</v>
      </c>
      <c r="F19" s="36">
        <v>1.331</v>
      </c>
      <c r="H19" s="37">
        <v>2081</v>
      </c>
      <c r="I19" s="37">
        <v>7169</v>
      </c>
      <c r="J19" s="37">
        <v>72343</v>
      </c>
    </row>
    <row r="20" spans="1:11">
      <c r="A20" s="3" t="s">
        <v>108</v>
      </c>
      <c r="B20" s="31">
        <v>42775</v>
      </c>
      <c r="C20" s="33">
        <v>6.3E-2</v>
      </c>
      <c r="E20" s="34">
        <v>0.91469999999999996</v>
      </c>
      <c r="F20" s="34">
        <v>1.7140599999999999</v>
      </c>
      <c r="H20" s="11">
        <v>988.59799999999996</v>
      </c>
      <c r="I20" s="11">
        <v>1686.652</v>
      </c>
      <c r="J20" s="11">
        <v>11563.1059</v>
      </c>
    </row>
    <row r="21" spans="1:11">
      <c r="A21" s="3" t="s">
        <v>109</v>
      </c>
      <c r="B21" s="31">
        <v>42677</v>
      </c>
      <c r="C21" s="33">
        <v>8.3000000000000004E-2</v>
      </c>
      <c r="E21" s="34">
        <v>1.62635</v>
      </c>
      <c r="F21" s="34">
        <v>1.46468</v>
      </c>
      <c r="H21" s="11">
        <v>272.20100000000002</v>
      </c>
      <c r="I21" s="11">
        <v>0</v>
      </c>
      <c r="J21" s="11">
        <v>2991.6797999999999</v>
      </c>
    </row>
    <row r="22" spans="1:11">
      <c r="A22" s="3" t="s">
        <v>110</v>
      </c>
      <c r="B22" s="31">
        <v>42754</v>
      </c>
      <c r="C22" s="33">
        <v>0.09</v>
      </c>
      <c r="E22" s="34">
        <v>1.17621</v>
      </c>
      <c r="F22" s="34">
        <v>1.2196400000000001</v>
      </c>
      <c r="H22" s="11">
        <v>852.46699999999998</v>
      </c>
      <c r="I22" s="11">
        <v>0</v>
      </c>
      <c r="J22" s="11">
        <v>2292.2838200000001</v>
      </c>
    </row>
    <row r="23" spans="1:11" ht="8.1" customHeight="1">
      <c r="B23" s="31"/>
      <c r="C23" s="33"/>
      <c r="E23" s="35"/>
      <c r="F23" s="35"/>
    </row>
    <row r="24" spans="1:11">
      <c r="A24" s="6" t="s">
        <v>39</v>
      </c>
      <c r="B24" s="31"/>
      <c r="C24" s="38">
        <f>AVERAGE(C11:C22)</f>
        <v>7.9916666666666664E-2</v>
      </c>
      <c r="E24" s="39">
        <f>AVERAGE(E11:E22)</f>
        <v>1.3002572727272728</v>
      </c>
      <c r="F24" s="39">
        <f>AVERAGE(F11:F22)</f>
        <v>1.4908681818181817</v>
      </c>
    </row>
    <row r="25" spans="1:11">
      <c r="A25" s="40" t="s">
        <v>40</v>
      </c>
      <c r="B25" s="41"/>
      <c r="C25" s="38">
        <f>MEDIAN(C11:C22)</f>
        <v>8.1500000000000003E-2</v>
      </c>
      <c r="D25" s="10"/>
      <c r="E25" s="39">
        <f>MEDIAN(E11:E22)</f>
        <v>1.3120000000000001</v>
      </c>
      <c r="F25" s="39">
        <f>MEDIAN(F11:F22)</f>
        <v>1.33985</v>
      </c>
    </row>
    <row r="26" spans="1:11" ht="8.1" customHeight="1" thickBot="1">
      <c r="A26" s="5"/>
      <c r="B26" s="42"/>
      <c r="C26" s="5"/>
      <c r="D26" s="5"/>
      <c r="E26" s="5"/>
      <c r="F26" s="5"/>
      <c r="G26" s="5"/>
      <c r="H26" s="5"/>
      <c r="I26" s="5"/>
      <c r="J26" s="5"/>
      <c r="K26" s="5"/>
    </row>
    <row r="28" spans="1:11" ht="29.1" customHeight="1">
      <c r="A28" s="161" t="s">
        <v>111</v>
      </c>
      <c r="B28" s="161"/>
      <c r="C28" s="161"/>
      <c r="D28" s="161"/>
      <c r="E28" s="161"/>
      <c r="F28" s="161"/>
      <c r="G28" s="161"/>
      <c r="H28" s="161"/>
      <c r="I28" s="161"/>
      <c r="J28" s="161"/>
    </row>
    <row r="29" spans="1:11" ht="10.35" customHeight="1"/>
    <row r="30" spans="1:11">
      <c r="A30" s="28" t="s">
        <v>112</v>
      </c>
    </row>
  </sheetData>
  <mergeCells count="4">
    <mergeCell ref="H4:J4"/>
    <mergeCell ref="B5:C5"/>
    <mergeCell ref="E5:F5"/>
    <mergeCell ref="A28:J28"/>
  </mergeCells>
  <phoneticPr fontId="5" type="noConversion"/>
  <pageMargins left="0.7" right="0.7" top="0.75" bottom="0.75" header="0.3" footer="0.3"/>
  <pageSetup scale="9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8D72-BAE9-3341-A550-31812939821F}">
  <dimension ref="A1:M19"/>
  <sheetViews>
    <sheetView workbookViewId="0">
      <selection activeCell="C12" sqref="C12:M12"/>
    </sheetView>
  </sheetViews>
  <sheetFormatPr defaultColWidth="11" defaultRowHeight="15"/>
  <cols>
    <col min="1" max="1" width="10.875" customWidth="1"/>
    <col min="2" max="2" width="36.125" bestFit="1" customWidth="1"/>
    <col min="3" max="3" width="10.875" customWidth="1"/>
    <col min="6" max="6" width="10.875" customWidth="1"/>
    <col min="12" max="12" width="10.875" customWidth="1"/>
  </cols>
  <sheetData>
    <row r="1" spans="1:13" ht="27" thickBot="1">
      <c r="A1" s="87" t="s">
        <v>113</v>
      </c>
      <c r="B1" s="86"/>
      <c r="C1" s="86"/>
      <c r="D1" s="86"/>
      <c r="E1" s="86"/>
      <c r="F1" s="86"/>
      <c r="G1" s="86"/>
      <c r="H1" s="86"/>
      <c r="I1" s="86"/>
      <c r="J1" s="86"/>
      <c r="K1" s="86"/>
      <c r="L1" s="86"/>
      <c r="M1" s="86"/>
    </row>
    <row r="2" spans="1:13" ht="15.95" thickTop="1"/>
    <row r="3" spans="1:13" ht="15.95" thickBot="1">
      <c r="B3" s="73"/>
      <c r="C3" s="73"/>
    </row>
    <row r="4" spans="1:13" ht="17.100000000000001" thickBot="1">
      <c r="A4" s="75"/>
      <c r="B4" s="79" t="s">
        <v>114</v>
      </c>
      <c r="C4" s="85"/>
    </row>
    <row r="5" spans="1:13">
      <c r="A5" s="75"/>
      <c r="C5" s="75"/>
    </row>
    <row r="6" spans="1:13" ht="15.95">
      <c r="A6" s="75"/>
      <c r="B6" s="30" t="s">
        <v>115</v>
      </c>
      <c r="C6" s="93">
        <f>'Ex #10 FCF &amp; Assumptions'!E29</f>
        <v>9.7000000000000003E-2</v>
      </c>
    </row>
    <row r="7" spans="1:13" ht="15.95">
      <c r="A7" s="75"/>
      <c r="B7" s="30" t="s">
        <v>116</v>
      </c>
      <c r="C7" s="93">
        <f>'Ex #10 FCF &amp; Assumptions'!J27</f>
        <v>3.5000000000000003E-2</v>
      </c>
      <c r="D7" s="30"/>
      <c r="E7" s="30"/>
      <c r="F7" s="30"/>
      <c r="G7" s="30"/>
      <c r="H7" s="30"/>
      <c r="I7" s="30"/>
      <c r="J7" s="30"/>
      <c r="K7" s="30"/>
      <c r="L7" s="30"/>
    </row>
    <row r="8" spans="1:13" ht="17.100000000000001" thickBot="1">
      <c r="A8" s="75"/>
      <c r="B8" s="91" t="s">
        <v>117</v>
      </c>
      <c r="C8" s="97">
        <f>'Ex #10 FCF &amp; Assumptions'!E25</f>
        <v>0.02</v>
      </c>
      <c r="D8" s="30"/>
      <c r="E8" s="30"/>
      <c r="F8" s="30"/>
      <c r="G8" s="30"/>
      <c r="H8" s="30"/>
      <c r="I8" s="30"/>
      <c r="J8" s="30"/>
      <c r="K8" s="30"/>
      <c r="L8" s="30"/>
    </row>
    <row r="9" spans="1:13" ht="15.95">
      <c r="D9" s="30"/>
      <c r="E9" s="30"/>
      <c r="F9" s="30"/>
      <c r="G9" s="30"/>
      <c r="H9" s="30"/>
      <c r="I9" s="30"/>
      <c r="J9" s="30"/>
      <c r="K9" s="30"/>
      <c r="L9" s="30"/>
    </row>
    <row r="10" spans="1:13" ht="17.100000000000001" thickBot="1">
      <c r="A10" s="30"/>
      <c r="B10" s="30"/>
      <c r="D10" s="30"/>
      <c r="E10" s="30"/>
      <c r="F10" s="30"/>
      <c r="G10" s="30"/>
      <c r="H10" s="30"/>
      <c r="I10" s="30"/>
      <c r="J10" s="30"/>
      <c r="K10" s="30"/>
      <c r="L10" s="30"/>
    </row>
    <row r="11" spans="1:13" ht="17.100000000000001" thickBot="1">
      <c r="A11" s="30"/>
      <c r="B11" s="79" t="s">
        <v>118</v>
      </c>
      <c r="C11" s="78">
        <v>2016</v>
      </c>
      <c r="D11" s="78">
        <v>2017</v>
      </c>
      <c r="E11" s="78">
        <v>2018</v>
      </c>
      <c r="F11" s="78">
        <v>2019</v>
      </c>
      <c r="G11" s="78">
        <v>2020</v>
      </c>
      <c r="H11" s="78">
        <v>2021</v>
      </c>
      <c r="I11" s="78">
        <v>2022</v>
      </c>
      <c r="J11" s="78">
        <v>2023</v>
      </c>
      <c r="K11" s="78">
        <v>2024</v>
      </c>
      <c r="L11" s="78">
        <v>2025</v>
      </c>
      <c r="M11" s="77">
        <v>2026</v>
      </c>
    </row>
    <row r="12" spans="1:13" ht="15.95">
      <c r="B12" s="71" t="s">
        <v>119</v>
      </c>
      <c r="C12" s="101">
        <f>'Ex #10 FCF &amp; Assumptions'!E18</f>
        <v>-708.8</v>
      </c>
      <c r="D12" s="101">
        <f>'Ex #10 FCF &amp; Assumptions'!F18</f>
        <v>-1186.2</v>
      </c>
      <c r="E12" s="101">
        <f>'Ex #10 FCF &amp; Assumptions'!G18</f>
        <v>-1093</v>
      </c>
      <c r="F12" s="101">
        <f>'Ex #10 FCF &amp; Assumptions'!H18</f>
        <v>-737.1</v>
      </c>
      <c r="G12" s="101">
        <f>'Ex #10 FCF &amp; Assumptions'!I18</f>
        <v>-242.5</v>
      </c>
      <c r="H12" s="101">
        <f>'Ex #10 FCF &amp; Assumptions'!J18</f>
        <v>818.4</v>
      </c>
      <c r="I12" s="101">
        <f>'Ex #10 FCF &amp; Assumptions'!K18</f>
        <v>1831.1</v>
      </c>
      <c r="J12" s="101">
        <f>'Ex #10 FCF &amp; Assumptions'!L18</f>
        <v>2958.2</v>
      </c>
      <c r="K12" s="101">
        <f>'Ex #10 FCF &amp; Assumptions'!M18</f>
        <v>3389.6</v>
      </c>
      <c r="L12" s="101">
        <f>'Ex #10 FCF &amp; Assumptions'!N18</f>
        <v>4054.2</v>
      </c>
      <c r="M12" s="105">
        <f>'Ex #10 FCF &amp; Assumptions'!O18</f>
        <v>4196.1000000000004</v>
      </c>
    </row>
    <row r="13" spans="1:13" ht="15.95">
      <c r="B13" s="71" t="s">
        <v>120</v>
      </c>
      <c r="C13" s="30"/>
      <c r="D13" s="30"/>
      <c r="E13" s="30"/>
      <c r="F13" s="30"/>
      <c r="G13" s="30"/>
      <c r="H13" s="30"/>
      <c r="I13" s="30"/>
      <c r="J13" s="30"/>
      <c r="K13" s="30"/>
      <c r="L13" s="101">
        <f>M12/(C6-C7)</f>
        <v>67679.03225806453</v>
      </c>
      <c r="M13" s="75"/>
    </row>
    <row r="14" spans="1:13" ht="15.95">
      <c r="B14" s="71" t="s">
        <v>121</v>
      </c>
      <c r="C14" s="30"/>
      <c r="D14" s="101">
        <f t="shared" ref="D14:K14" si="0">D12/(1+$C$6)^(D11-$C$11)</f>
        <v>-1081.3126709206929</v>
      </c>
      <c r="E14" s="101">
        <f t="shared" si="0"/>
        <v>-908.25313754509068</v>
      </c>
      <c r="F14" s="101">
        <f t="shared" si="0"/>
        <v>-558.35001028713123</v>
      </c>
      <c r="G14" s="101">
        <f t="shared" si="0"/>
        <v>-167.45003113983404</v>
      </c>
      <c r="H14" s="101">
        <f t="shared" si="0"/>
        <v>515.14855128735417</v>
      </c>
      <c r="I14" s="101">
        <f t="shared" si="0"/>
        <v>1050.684431572326</v>
      </c>
      <c r="J14" s="101">
        <f t="shared" si="0"/>
        <v>1547.3235650787663</v>
      </c>
      <c r="K14" s="101">
        <f t="shared" si="0"/>
        <v>1616.2012205033977</v>
      </c>
      <c r="L14" s="101">
        <f>(L12+L13)/(1+$C$6)^(L11-$C$11)</f>
        <v>31178.897348438644</v>
      </c>
      <c r="M14" s="106"/>
    </row>
    <row r="15" spans="1:13" ht="15.95">
      <c r="B15" s="71" t="s">
        <v>122</v>
      </c>
      <c r="C15" s="30"/>
      <c r="D15" s="101">
        <f>SUM(D14:L14)</f>
        <v>33192.889266987739</v>
      </c>
      <c r="E15" s="30"/>
      <c r="F15" s="30"/>
      <c r="G15" s="30"/>
      <c r="H15" s="30"/>
      <c r="I15" s="30"/>
      <c r="J15" s="30"/>
      <c r="K15" s="30"/>
      <c r="L15" s="30"/>
      <c r="M15" s="94"/>
    </row>
    <row r="16" spans="1:13" ht="15.95">
      <c r="B16" s="71" t="s">
        <v>123</v>
      </c>
      <c r="C16" s="30"/>
      <c r="D16" s="101">
        <f>D15*C8-B10</f>
        <v>663.85778533975474</v>
      </c>
      <c r="E16" s="30"/>
      <c r="F16" s="30"/>
      <c r="G16" s="30"/>
      <c r="H16" s="30"/>
      <c r="I16" s="30"/>
      <c r="J16" s="30"/>
      <c r="K16" s="30"/>
      <c r="L16" s="30"/>
      <c r="M16" s="94"/>
    </row>
    <row r="17" spans="2:13" ht="15.95">
      <c r="B17" s="71" t="s">
        <v>124</v>
      </c>
      <c r="C17" s="30"/>
      <c r="D17" s="101">
        <f>D15-D16</f>
        <v>32529.031481647984</v>
      </c>
      <c r="E17" s="30"/>
      <c r="F17" s="30"/>
      <c r="G17" s="30"/>
      <c r="H17" s="30"/>
      <c r="I17" s="30"/>
      <c r="J17" s="30"/>
      <c r="K17" s="30"/>
      <c r="L17" s="30"/>
      <c r="M17" s="94"/>
    </row>
    <row r="18" spans="2:13" ht="15.95">
      <c r="B18" s="71" t="s">
        <v>125</v>
      </c>
      <c r="C18" s="30"/>
      <c r="D18" s="102">
        <f>'Ex #10 FCF &amp; Assumptions'!J24</f>
        <v>1404</v>
      </c>
      <c r="E18" s="30"/>
      <c r="F18" s="30"/>
      <c r="G18" s="30"/>
      <c r="H18" s="30"/>
      <c r="I18" s="30"/>
      <c r="J18" s="30"/>
      <c r="K18" s="30"/>
      <c r="L18" s="30"/>
      <c r="M18" s="94"/>
    </row>
    <row r="19" spans="2:13" ht="15.95">
      <c r="B19" s="104" t="s">
        <v>126</v>
      </c>
      <c r="C19" s="98"/>
      <c r="D19" s="99">
        <f>D17/D18</f>
        <v>23.168825841629619</v>
      </c>
      <c r="E19" s="91"/>
      <c r="F19" s="91"/>
      <c r="G19" s="103"/>
      <c r="H19" s="91"/>
      <c r="I19" s="91"/>
      <c r="J19" s="91"/>
      <c r="K19" s="91"/>
      <c r="L19" s="91"/>
      <c r="M19" s="95"/>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AD9D-7798-3F46-9774-65E169742EEB}">
  <dimension ref="A1:H21"/>
  <sheetViews>
    <sheetView workbookViewId="0">
      <selection activeCell="C8" sqref="C8"/>
    </sheetView>
  </sheetViews>
  <sheetFormatPr defaultColWidth="11" defaultRowHeight="15"/>
  <cols>
    <col min="1" max="1" width="13.5" customWidth="1"/>
    <col min="2" max="2" width="20.5" bestFit="1" customWidth="1"/>
    <col min="3" max="4" width="22" bestFit="1" customWidth="1"/>
    <col min="5" max="5" width="26" bestFit="1" customWidth="1"/>
    <col min="6" max="6" width="21.625" bestFit="1" customWidth="1"/>
    <col min="7" max="7" width="17.625" bestFit="1" customWidth="1"/>
    <col min="8" max="8" width="17.875" bestFit="1" customWidth="1"/>
  </cols>
  <sheetData>
    <row r="1" spans="1:8" ht="27" thickBot="1">
      <c r="A1" s="87" t="s">
        <v>127</v>
      </c>
      <c r="B1" s="88"/>
      <c r="C1" s="88"/>
      <c r="D1" s="88"/>
      <c r="E1" s="86"/>
      <c r="F1" s="86"/>
      <c r="G1" s="86"/>
      <c r="H1" s="86"/>
    </row>
    <row r="2" spans="1:8" ht="15.95" thickTop="1"/>
    <row r="3" spans="1:8" ht="15.95" thickBot="1">
      <c r="A3" s="73"/>
      <c r="B3" s="73"/>
      <c r="C3" s="73"/>
      <c r="D3" s="73"/>
      <c r="E3" s="73"/>
      <c r="F3" s="73"/>
      <c r="G3" s="73"/>
      <c r="H3" s="73"/>
    </row>
    <row r="4" spans="1:8" ht="17.100000000000001" thickBot="1">
      <c r="A4" s="78" t="s">
        <v>128</v>
      </c>
      <c r="B4" s="78" t="s">
        <v>129</v>
      </c>
      <c r="C4" s="78" t="s">
        <v>130</v>
      </c>
      <c r="D4" s="78" t="s">
        <v>131</v>
      </c>
      <c r="E4" s="78" t="s">
        <v>132</v>
      </c>
      <c r="F4" s="78" t="s">
        <v>133</v>
      </c>
      <c r="G4" s="78" t="s">
        <v>134</v>
      </c>
      <c r="H4" s="77" t="s">
        <v>135</v>
      </c>
    </row>
    <row r="5" spans="1:8" ht="15.95">
      <c r="A5" s="30" t="str">
        <f>'Ex #11 MS WACCs'!A11</f>
        <v>Alphabet</v>
      </c>
      <c r="B5" s="30">
        <f>'Ex #11 MS WACCs'!J11</f>
        <v>539069.52974999999</v>
      </c>
      <c r="C5" s="30">
        <f>'Ex #11 MS WACCs'!I11-'Ex #11 MS WACCs'!H11</f>
        <v>-8983</v>
      </c>
      <c r="D5" s="68">
        <f>'Ex #11 MS WACCs'!E11</f>
        <v>0.99134</v>
      </c>
      <c r="E5" s="68">
        <f>'Ex #11 MS WACCs'!F11</f>
        <v>1.33985</v>
      </c>
      <c r="F5" s="100">
        <v>0</v>
      </c>
      <c r="G5" s="68">
        <f t="shared" ref="G5:G15" si="0">B5/(B5+C5)*D5+C5/(B5+C5)*F5</f>
        <v>1.0081395350196878</v>
      </c>
      <c r="H5" s="90">
        <f t="shared" ref="H5:H15" si="1">B5/(B5+C5)*E5+C5/(B5+C5)*F5</f>
        <v>1.3625554865092993</v>
      </c>
    </row>
    <row r="6" spans="1:8" ht="15.95">
      <c r="A6" s="30" t="str">
        <f>'Ex #11 MS WACCs'!A12</f>
        <v>Amazon</v>
      </c>
      <c r="B6" s="30">
        <f>'Ex #11 MS WACCs'!J12</f>
        <v>356313.12359999999</v>
      </c>
      <c r="C6" s="30">
        <f>'Ex #11 MS WACCs'!I12-'Ex #11 MS WACCs'!H12</f>
        <v>1079</v>
      </c>
      <c r="D6" s="68">
        <f>'Ex #11 MS WACCs'!E12</f>
        <v>0.97140000000000004</v>
      </c>
      <c r="E6" s="68">
        <f>'Ex #11 MS WACCs'!F12</f>
        <v>1.3001</v>
      </c>
      <c r="F6" s="30">
        <v>0</v>
      </c>
      <c r="G6" s="68">
        <f t="shared" si="0"/>
        <v>0.96846725321911931</v>
      </c>
      <c r="H6" s="89">
        <f t="shared" si="1"/>
        <v>1.2961748774039294</v>
      </c>
    </row>
    <row r="7" spans="1:8" ht="15.95">
      <c r="A7" s="30" t="str">
        <f>'Ex #11 MS WACCs'!A13</f>
        <v>eBay</v>
      </c>
      <c r="B7" s="30">
        <f>'Ex #11 MS WACCs'!J13</f>
        <v>33191</v>
      </c>
      <c r="C7" s="30">
        <f>'Ex #11 MS WACCs'!I13-'Ex #11 MS WACCs'!H13</f>
        <v>7144</v>
      </c>
      <c r="D7" s="68">
        <f>'Ex #11 MS WACCs'!E13</f>
        <v>1.3120000000000001</v>
      </c>
      <c r="E7" s="68">
        <f>'Ex #11 MS WACCs'!F13</f>
        <v>1.3819999999999999</v>
      </c>
      <c r="F7" s="30">
        <v>0</v>
      </c>
      <c r="G7" s="68">
        <f t="shared" si="0"/>
        <v>1.0796229577290195</v>
      </c>
      <c r="H7" s="89">
        <f t="shared" si="1"/>
        <v>1.1372247923639518</v>
      </c>
    </row>
    <row r="8" spans="1:8" ht="15.95">
      <c r="A8" s="30" t="str">
        <f>'Ex #11 MS WACCs'!A14</f>
        <v>Etsy</v>
      </c>
      <c r="B8" s="30">
        <f>'Ex #11 MS WACCs'!J14</f>
        <v>1361.40049</v>
      </c>
      <c r="C8" s="30">
        <f>'Ex #11 MS WACCs'!I14-'Ex #11 MS WACCs'!H14</f>
        <v>-169.46700000000001</v>
      </c>
      <c r="D8" s="68">
        <f>'Ex #11 MS WACCs'!E14</f>
        <v>1.5708299999999999</v>
      </c>
      <c r="E8" s="68">
        <f>'Ex #11 MS WACCs'!F14</f>
        <v>2.32002</v>
      </c>
      <c r="F8" s="30">
        <v>0</v>
      </c>
      <c r="G8" s="68">
        <f t="shared" si="0"/>
        <v>1.7941678370885443</v>
      </c>
      <c r="H8" s="89">
        <f t="shared" si="1"/>
        <v>2.6498763490652486</v>
      </c>
    </row>
    <row r="9" spans="1:8" ht="15.95">
      <c r="A9" s="30" t="str">
        <f>'Ex #11 MS WACCs'!A15</f>
        <v>Facebook</v>
      </c>
      <c r="B9" s="30">
        <f>'Ex #11 MS WACCs'!J15</f>
        <v>331593.65850000002</v>
      </c>
      <c r="C9" s="30">
        <f>'Ex #11 MS WACCs'!I15-'Ex #11 MS WACCs'!H15</f>
        <v>-8903</v>
      </c>
      <c r="D9" s="68">
        <f>'Ex #11 MS WACCs'!E15</f>
        <v>0.85634999999999994</v>
      </c>
      <c r="E9" s="68">
        <f>'Ex #11 MS WACCs'!F15</f>
        <v>1.1151199999999999</v>
      </c>
      <c r="F9" s="30">
        <v>0</v>
      </c>
      <c r="G9" s="68">
        <f t="shared" si="0"/>
        <v>0.87997660290644886</v>
      </c>
      <c r="H9" s="89">
        <f t="shared" si="1"/>
        <v>1.1458860389245509</v>
      </c>
    </row>
    <row r="10" spans="1:8" ht="15.95">
      <c r="A10" s="30" t="str">
        <f>'Ex #11 MS WACCs'!A16</f>
        <v>Groupon</v>
      </c>
      <c r="B10" s="30">
        <f>'Ex #11 MS WACCs'!J16</f>
        <v>1896.2511999999999</v>
      </c>
      <c r="C10" s="30">
        <f>'Ex #11 MS WACCs'!I16-'Ex #11 MS WACCs'!H16</f>
        <v>-635.37400000000002</v>
      </c>
      <c r="D10" s="68">
        <f>'Ex #11 MS WACCs'!E16</f>
        <v>1.9530700000000001</v>
      </c>
      <c r="E10" s="68">
        <f>'Ex #11 MS WACCs'!F16</f>
        <v>2.08412</v>
      </c>
      <c r="F10" s="30">
        <v>0</v>
      </c>
      <c r="G10" s="68">
        <f t="shared" si="0"/>
        <v>2.9372498219366645</v>
      </c>
      <c r="H10" s="89">
        <f t="shared" si="1"/>
        <v>3.1343377855860983</v>
      </c>
    </row>
    <row r="11" spans="1:8" ht="15.95">
      <c r="A11" s="30" t="str">
        <f>'Ex #11 MS WACCs'!A17</f>
        <v>GrubHub</v>
      </c>
      <c r="B11" s="30">
        <f>'Ex #11 MS WACCs'!J17</f>
        <v>3220.0012499999998</v>
      </c>
      <c r="C11" s="30">
        <f>'Ex #11 MS WACCs'!I17-'Ex #11 MS WACCs'!H17</f>
        <v>-239.52799999999999</v>
      </c>
      <c r="D11" s="68">
        <f>'Ex #11 MS WACCs'!E17</f>
        <v>1.48458</v>
      </c>
      <c r="E11" s="68">
        <f>'Ex #11 MS WACCs'!F17</f>
        <v>1.12896</v>
      </c>
      <c r="F11" s="30">
        <v>0</v>
      </c>
      <c r="G11" s="68">
        <f t="shared" si="0"/>
        <v>1.6038894010288465</v>
      </c>
      <c r="H11" s="89">
        <f t="shared" si="1"/>
        <v>1.2196897292065949</v>
      </c>
    </row>
    <row r="12" spans="1:8" ht="15.95">
      <c r="A12" s="30" t="str">
        <f>'Ex #11 MS WACCs'!A19</f>
        <v>Priceline Group</v>
      </c>
      <c r="B12" s="30">
        <f>'Ex #11 MS WACCs'!J19</f>
        <v>72343</v>
      </c>
      <c r="C12" s="30">
        <f>'Ex #11 MS WACCs'!I19-'Ex #11 MS WACCs'!H19</f>
        <v>5088</v>
      </c>
      <c r="D12" s="68">
        <f>'Ex #11 MS WACCs'!E19</f>
        <v>1.446</v>
      </c>
      <c r="E12" s="68">
        <f>'Ex #11 MS WACCs'!F19</f>
        <v>1.331</v>
      </c>
      <c r="F12" s="30">
        <v>0</v>
      </c>
      <c r="G12" s="68">
        <f t="shared" si="0"/>
        <v>1.3509831721145278</v>
      </c>
      <c r="H12" s="89">
        <f t="shared" si="1"/>
        <v>1.2435398354664153</v>
      </c>
    </row>
    <row r="13" spans="1:8" ht="15.95">
      <c r="A13" s="30" t="str">
        <f>'Ex #11 MS WACCs'!A20</f>
        <v>Twitter</v>
      </c>
      <c r="B13" s="30">
        <f>'Ex #11 MS WACCs'!J20</f>
        <v>11563.1059</v>
      </c>
      <c r="C13" s="30">
        <f>'Ex #11 MS WACCs'!I20-'Ex #11 MS WACCs'!H20</f>
        <v>698.05400000000009</v>
      </c>
      <c r="D13" s="68">
        <f>'Ex #11 MS WACCs'!E20</f>
        <v>0.91469999999999996</v>
      </c>
      <c r="E13" s="68">
        <f>'Ex #11 MS WACCs'!F20</f>
        <v>1.7140599999999999</v>
      </c>
      <c r="F13" s="30">
        <v>0</v>
      </c>
      <c r="G13" s="68">
        <f t="shared" si="0"/>
        <v>0.86262417691249582</v>
      </c>
      <c r="H13" s="89">
        <f t="shared" si="1"/>
        <v>1.6164749061753936</v>
      </c>
    </row>
    <row r="14" spans="1:8" ht="15.95">
      <c r="A14" s="30" t="str">
        <f>'Ex #11 MS WACCs'!A21</f>
        <v>Yelp</v>
      </c>
      <c r="B14" s="30">
        <f>'Ex #11 MS WACCs'!J21</f>
        <v>2991.6797999999999</v>
      </c>
      <c r="C14" s="30">
        <f>'Ex #11 MS WACCs'!I21-'Ex #11 MS WACCs'!H21</f>
        <v>-272.20100000000002</v>
      </c>
      <c r="D14" s="68">
        <f>'Ex #11 MS WACCs'!E21</f>
        <v>1.62635</v>
      </c>
      <c r="E14" s="68">
        <f>'Ex #11 MS WACCs'!F21</f>
        <v>1.46468</v>
      </c>
      <c r="F14" s="30">
        <v>0</v>
      </c>
      <c r="G14" s="68">
        <f t="shared" si="0"/>
        <v>1.7891363752238114</v>
      </c>
      <c r="H14" s="89">
        <f t="shared" si="1"/>
        <v>1.6112843275204058</v>
      </c>
    </row>
    <row r="15" spans="1:8" ht="15.95">
      <c r="A15" s="30" t="str">
        <f>'Ex #11 MS WACCs'!A22</f>
        <v>Zynga</v>
      </c>
      <c r="B15" s="30">
        <f>'Ex #11 MS WACCs'!J22</f>
        <v>2292.2838200000001</v>
      </c>
      <c r="C15" s="30">
        <f>'Ex #11 MS WACCs'!I22-'Ex #11 MS WACCs'!H22</f>
        <v>-852.46699999999998</v>
      </c>
      <c r="D15" s="68">
        <f>'Ex #11 MS WACCs'!E22</f>
        <v>1.17621</v>
      </c>
      <c r="E15" s="68">
        <f>'Ex #11 MS WACCs'!F22</f>
        <v>1.2196400000000001</v>
      </c>
      <c r="F15" s="30">
        <v>0</v>
      </c>
      <c r="G15" s="68">
        <f t="shared" si="0"/>
        <v>1.8726042885942951</v>
      </c>
      <c r="H15" s="89">
        <f t="shared" si="1"/>
        <v>1.9417477274816115</v>
      </c>
    </row>
    <row r="16" spans="1:8" ht="17.100000000000001" thickBot="1">
      <c r="A16" s="98" t="s">
        <v>136</v>
      </c>
      <c r="B16" s="73"/>
      <c r="C16" s="73"/>
      <c r="D16" s="73"/>
      <c r="E16" s="73"/>
      <c r="F16" s="73"/>
      <c r="G16" s="107">
        <f>AVERAGE(G5:G15)</f>
        <v>1.4678964928884966</v>
      </c>
      <c r="H16" s="108">
        <f>AVERAGE(H5:H15)</f>
        <v>1.6689810777912273</v>
      </c>
    </row>
    <row r="17" spans="2:4">
      <c r="C17" s="66"/>
      <c r="D17" s="66"/>
    </row>
    <row r="18" spans="2:4">
      <c r="B18" s="67"/>
      <c r="C18" s="69"/>
      <c r="D18" s="69"/>
    </row>
    <row r="19" spans="2:4">
      <c r="B19" s="67"/>
      <c r="C19" s="69"/>
      <c r="D19" s="69"/>
    </row>
    <row r="21" spans="2:4">
      <c r="B21" s="67"/>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B256-054B-4792-A925-89600822D9A3}">
  <dimension ref="A1:I26"/>
  <sheetViews>
    <sheetView workbookViewId="0">
      <selection activeCell="H3" sqref="H3"/>
    </sheetView>
  </sheetViews>
  <sheetFormatPr defaultColWidth="8.875" defaultRowHeight="15"/>
  <cols>
    <col min="5" max="5" width="28.125" bestFit="1" customWidth="1"/>
    <col min="6" max="6" width="2.875" customWidth="1"/>
    <col min="7" max="7" width="0" hidden="1" customWidth="1"/>
    <col min="8" max="8" width="12.875" bestFit="1" customWidth="1"/>
  </cols>
  <sheetData>
    <row r="1" spans="1:9" ht="26.1">
      <c r="A1" s="149" t="s">
        <v>137</v>
      </c>
      <c r="B1" s="146"/>
      <c r="C1" s="146"/>
      <c r="D1" s="146"/>
      <c r="E1" s="146"/>
      <c r="F1" s="146"/>
      <c r="G1" s="146"/>
      <c r="H1" s="146"/>
      <c r="I1" s="146"/>
    </row>
    <row r="2" spans="1:9" ht="16.5" customHeight="1">
      <c r="A2" s="150"/>
    </row>
    <row r="3" spans="1:9">
      <c r="B3" s="145" t="s">
        <v>138</v>
      </c>
      <c r="C3" s="145" t="s">
        <v>139</v>
      </c>
      <c r="E3" s="145" t="s">
        <v>140</v>
      </c>
      <c r="H3">
        <f>AVERAGE(C4:C26)</f>
        <v>2.4926086956521742</v>
      </c>
    </row>
    <row r="4" spans="1:9">
      <c r="B4">
        <v>1994</v>
      </c>
      <c r="C4" s="66">
        <v>4.04</v>
      </c>
    </row>
    <row r="5" spans="1:9">
      <c r="B5">
        <v>1995</v>
      </c>
      <c r="C5" s="66">
        <v>2.72</v>
      </c>
    </row>
    <row r="6" spans="1:9">
      <c r="B6">
        <v>1996</v>
      </c>
      <c r="C6" s="66">
        <v>3.8</v>
      </c>
    </row>
    <row r="7" spans="1:9">
      <c r="B7">
        <v>1997</v>
      </c>
      <c r="C7" s="66">
        <v>4.49</v>
      </c>
    </row>
    <row r="8" spans="1:9">
      <c r="B8">
        <v>1998</v>
      </c>
      <c r="C8" s="66">
        <v>4.45</v>
      </c>
    </row>
    <row r="9" spans="1:9">
      <c r="B9">
        <v>1999</v>
      </c>
      <c r="C9" s="66">
        <v>4.6900000000000004</v>
      </c>
    </row>
    <row r="10" spans="1:9">
      <c r="B10">
        <v>2000</v>
      </c>
      <c r="C10" s="66">
        <v>4.09</v>
      </c>
    </row>
    <row r="11" spans="1:9">
      <c r="B11">
        <v>2001</v>
      </c>
      <c r="C11" s="66">
        <v>0.98</v>
      </c>
    </row>
    <row r="12" spans="1:9">
      <c r="B12">
        <v>2002</v>
      </c>
      <c r="C12" s="66">
        <v>1.79</v>
      </c>
    </row>
    <row r="13" spans="1:9">
      <c r="B13">
        <v>2003</v>
      </c>
      <c r="C13" s="66">
        <v>2.81</v>
      </c>
    </row>
    <row r="14" spans="1:9">
      <c r="B14">
        <v>2004</v>
      </c>
      <c r="C14" s="66">
        <v>3.79</v>
      </c>
    </row>
    <row r="15" spans="1:9">
      <c r="B15">
        <v>2005</v>
      </c>
      <c r="C15" s="66">
        <v>3.35</v>
      </c>
    </row>
    <row r="16" spans="1:9">
      <c r="B16">
        <v>2006</v>
      </c>
      <c r="C16" s="66">
        <v>2.67</v>
      </c>
    </row>
    <row r="17" spans="2:3">
      <c r="B17">
        <v>2007</v>
      </c>
      <c r="C17" s="66">
        <v>1.78</v>
      </c>
    </row>
    <row r="18" spans="2:3">
      <c r="B18">
        <v>2008</v>
      </c>
      <c r="C18" s="66">
        <v>-0.28999999999999998</v>
      </c>
    </row>
    <row r="19" spans="2:3">
      <c r="B19">
        <v>2009</v>
      </c>
      <c r="C19" s="66">
        <v>-2.78</v>
      </c>
    </row>
    <row r="20" spans="2:3">
      <c r="B20">
        <v>2010</v>
      </c>
      <c r="C20" s="66">
        <v>2.5299999999999998</v>
      </c>
    </row>
    <row r="21" spans="2:3">
      <c r="B21">
        <v>2011</v>
      </c>
      <c r="C21" s="66">
        <v>1.6</v>
      </c>
    </row>
    <row r="22" spans="2:3">
      <c r="B22">
        <v>2012</v>
      </c>
      <c r="C22" s="66">
        <v>2.2200000000000002</v>
      </c>
    </row>
    <row r="23" spans="2:3">
      <c r="B23">
        <v>2013</v>
      </c>
      <c r="C23" s="66">
        <v>1.68</v>
      </c>
    </row>
    <row r="24" spans="2:3">
      <c r="B24">
        <v>2014</v>
      </c>
      <c r="C24" s="66">
        <v>2.57</v>
      </c>
    </row>
    <row r="25" spans="2:3">
      <c r="B25">
        <v>2015</v>
      </c>
      <c r="C25" s="66">
        <v>2.86</v>
      </c>
    </row>
    <row r="26" spans="2:3">
      <c r="B26">
        <v>2016</v>
      </c>
      <c r="C26" s="66">
        <v>1.49</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2E9B-1536-44E2-A237-37B4799C3F8C}">
  <dimension ref="A1:J35"/>
  <sheetViews>
    <sheetView workbookViewId="0">
      <selection activeCell="H9" sqref="H9"/>
    </sheetView>
  </sheetViews>
  <sheetFormatPr defaultColWidth="8.875" defaultRowHeight="15"/>
  <cols>
    <col min="1" max="1" width="15.375" customWidth="1"/>
    <col min="2" max="2" width="17.125" customWidth="1"/>
    <col min="5" max="5" width="11" customWidth="1"/>
    <col min="7" max="7" width="17.125" customWidth="1"/>
    <col min="8" max="8" width="10.375" customWidth="1"/>
  </cols>
  <sheetData>
    <row r="1" spans="1:10" ht="27" thickBot="1">
      <c r="A1" s="111" t="s">
        <v>141</v>
      </c>
      <c r="B1" s="112"/>
      <c r="C1" s="112"/>
      <c r="D1" s="112"/>
      <c r="E1" s="112"/>
      <c r="F1" s="112"/>
      <c r="G1" s="112"/>
      <c r="H1" s="112"/>
      <c r="I1" s="112"/>
      <c r="J1" s="112"/>
    </row>
    <row r="2" spans="1:10" ht="15.95" thickTop="1"/>
    <row r="3" spans="1:10" ht="15.95" thickBot="1"/>
    <row r="4" spans="1:10" ht="15.95" thickBot="1">
      <c r="B4" s="116" t="s">
        <v>142</v>
      </c>
      <c r="C4" s="117" t="s">
        <v>14</v>
      </c>
      <c r="D4" s="117" t="s">
        <v>15</v>
      </c>
      <c r="E4" s="118" t="s">
        <v>143</v>
      </c>
      <c r="G4" s="116" t="s">
        <v>144</v>
      </c>
      <c r="H4" s="85"/>
    </row>
    <row r="5" spans="1:10">
      <c r="B5" s="82"/>
      <c r="E5" s="75"/>
      <c r="G5" s="82"/>
      <c r="H5" s="75"/>
    </row>
    <row r="6" spans="1:10">
      <c r="B6" s="119" t="s">
        <v>145</v>
      </c>
      <c r="E6" s="75"/>
      <c r="G6" s="119" t="s">
        <v>145</v>
      </c>
      <c r="H6" s="75"/>
    </row>
    <row r="7" spans="1:10">
      <c r="B7" s="120" t="s">
        <v>18</v>
      </c>
      <c r="C7" s="115" t="s">
        <v>19</v>
      </c>
      <c r="D7" s="115" t="s">
        <v>19</v>
      </c>
      <c r="E7" s="121" t="s">
        <v>19</v>
      </c>
      <c r="G7" s="133" t="s">
        <v>14</v>
      </c>
      <c r="H7" s="75">
        <f>AVERAGE(C9:C12)</f>
        <v>321</v>
      </c>
    </row>
    <row r="8" spans="1:10">
      <c r="B8" s="120" t="s">
        <v>20</v>
      </c>
      <c r="C8" s="114">
        <v>250</v>
      </c>
      <c r="D8" s="115" t="s">
        <v>19</v>
      </c>
      <c r="E8" s="121" t="s">
        <v>19</v>
      </c>
      <c r="G8" s="134" t="s">
        <v>15</v>
      </c>
      <c r="H8" s="135">
        <f>AVERAGE(D9:D12)</f>
        <v>19.164749999999998</v>
      </c>
    </row>
    <row r="9" spans="1:10">
      <c r="B9" s="120" t="s">
        <v>21</v>
      </c>
      <c r="C9" s="114">
        <v>280</v>
      </c>
      <c r="D9" s="122">
        <v>21.24</v>
      </c>
      <c r="E9" s="75">
        <f>C9*D9</f>
        <v>5947.2</v>
      </c>
      <c r="G9" s="133" t="s">
        <v>13</v>
      </c>
      <c r="H9" s="153">
        <f>AVERAGE(E9:E12)</f>
        <v>6042.218499999999</v>
      </c>
    </row>
    <row r="10" spans="1:10">
      <c r="B10" s="120" t="s">
        <v>22</v>
      </c>
      <c r="C10" s="114">
        <v>369</v>
      </c>
      <c r="D10" s="122">
        <v>14.09</v>
      </c>
      <c r="E10" s="75">
        <f t="shared" ref="E10:E12" si="0">C10*D10</f>
        <v>5199.21</v>
      </c>
      <c r="G10" s="82"/>
      <c r="H10" s="75"/>
    </row>
    <row r="11" spans="1:10">
      <c r="B11" s="120" t="s">
        <v>23</v>
      </c>
      <c r="C11" s="123">
        <v>346</v>
      </c>
      <c r="D11" s="122">
        <v>18.919</v>
      </c>
      <c r="E11" s="75">
        <f t="shared" si="0"/>
        <v>6545.9740000000002</v>
      </c>
      <c r="G11" s="82"/>
      <c r="H11" s="75"/>
    </row>
    <row r="12" spans="1:10">
      <c r="B12" s="120" t="s">
        <v>24</v>
      </c>
      <c r="C12" s="123">
        <v>289</v>
      </c>
      <c r="D12" s="122">
        <v>22.41</v>
      </c>
      <c r="E12" s="75">
        <f t="shared" si="0"/>
        <v>6476.49</v>
      </c>
      <c r="G12" s="82"/>
      <c r="H12" s="75"/>
    </row>
    <row r="13" spans="1:10">
      <c r="B13" s="82"/>
      <c r="E13" s="75"/>
      <c r="G13" s="82"/>
      <c r="H13" s="75"/>
    </row>
    <row r="14" spans="1:10">
      <c r="B14" s="124" t="s">
        <v>25</v>
      </c>
      <c r="E14" s="75"/>
      <c r="G14" s="82"/>
      <c r="H14" s="75"/>
    </row>
    <row r="15" spans="1:10">
      <c r="B15" s="125" t="s">
        <v>26</v>
      </c>
      <c r="C15" s="126">
        <v>236</v>
      </c>
      <c r="D15" s="113">
        <v>20.72</v>
      </c>
      <c r="E15" s="127">
        <f>C15*D15</f>
        <v>4889.92</v>
      </c>
      <c r="G15" s="82"/>
      <c r="H15" s="75"/>
    </row>
    <row r="16" spans="1:10">
      <c r="B16" s="82"/>
      <c r="E16" s="128"/>
      <c r="G16" s="82"/>
      <c r="H16" s="75"/>
    </row>
    <row r="17" spans="2:8">
      <c r="B17" s="124" t="s">
        <v>27</v>
      </c>
      <c r="E17" s="128"/>
      <c r="G17" s="124" t="s">
        <v>27</v>
      </c>
      <c r="H17" s="75"/>
    </row>
    <row r="18" spans="2:8">
      <c r="B18" s="120" t="s">
        <v>28</v>
      </c>
      <c r="C18" s="123">
        <v>299</v>
      </c>
      <c r="D18" s="122">
        <v>21.3</v>
      </c>
      <c r="E18" s="129">
        <f t="shared" ref="E18:E27" si="1">C18*D18</f>
        <v>6368.7</v>
      </c>
      <c r="G18" s="133" t="s">
        <v>14</v>
      </c>
      <c r="H18" s="136">
        <f>AVERAGE(C18:C20)</f>
        <v>284.06666666666666</v>
      </c>
    </row>
    <row r="19" spans="2:8">
      <c r="B19" s="120" t="s">
        <v>29</v>
      </c>
      <c r="C19" s="114">
        <v>272</v>
      </c>
      <c r="D19" s="122">
        <v>18.059999999999999</v>
      </c>
      <c r="E19" s="129">
        <f t="shared" si="1"/>
        <v>4912.32</v>
      </c>
      <c r="G19" s="134" t="s">
        <v>15</v>
      </c>
      <c r="H19" s="135">
        <f>AVERAGE(D18:D20)</f>
        <v>18.793333333333333</v>
      </c>
    </row>
    <row r="20" spans="2:8">
      <c r="B20" s="120" t="s">
        <v>30</v>
      </c>
      <c r="C20" s="123">
        <v>281.2</v>
      </c>
      <c r="D20" s="122">
        <v>17.02</v>
      </c>
      <c r="E20" s="129">
        <f t="shared" si="1"/>
        <v>4786.0239999999994</v>
      </c>
      <c r="G20" s="133" t="s">
        <v>13</v>
      </c>
      <c r="H20" s="135">
        <f>AVERAGE(E18:E20)</f>
        <v>5355.681333333333</v>
      </c>
    </row>
    <row r="21" spans="2:8">
      <c r="B21" s="82"/>
      <c r="E21" s="129"/>
      <c r="G21" s="82"/>
      <c r="H21" s="75"/>
    </row>
    <row r="22" spans="2:8">
      <c r="B22" s="124" t="s">
        <v>31</v>
      </c>
      <c r="E22" s="129"/>
      <c r="G22" s="124" t="s">
        <v>31</v>
      </c>
      <c r="H22" s="75"/>
    </row>
    <row r="23" spans="2:8">
      <c r="B23" s="120" t="s">
        <v>32</v>
      </c>
      <c r="C23" s="114">
        <v>289</v>
      </c>
      <c r="D23" s="122">
        <v>18.16</v>
      </c>
      <c r="E23" s="129">
        <f t="shared" si="1"/>
        <v>5248.24</v>
      </c>
      <c r="G23" s="133" t="s">
        <v>14</v>
      </c>
      <c r="H23" s="136">
        <f>AVERAGE(C23:C28)</f>
        <v>300.66666666666669</v>
      </c>
    </row>
    <row r="24" spans="2:8">
      <c r="B24" s="120" t="s">
        <v>33</v>
      </c>
      <c r="C24" s="115" t="s">
        <v>19</v>
      </c>
      <c r="D24" s="115" t="s">
        <v>19</v>
      </c>
      <c r="E24" s="121" t="s">
        <v>19</v>
      </c>
      <c r="G24" s="134" t="s">
        <v>15</v>
      </c>
      <c r="H24" s="135">
        <f>AVERAGE(D23:D28)</f>
        <v>17.916666666666668</v>
      </c>
    </row>
    <row r="25" spans="2:8" ht="15.95" thickBot="1">
      <c r="B25" s="120" t="s">
        <v>34</v>
      </c>
      <c r="C25" s="114">
        <v>281</v>
      </c>
      <c r="D25" s="122">
        <v>18.89</v>
      </c>
      <c r="E25" s="129">
        <f t="shared" si="1"/>
        <v>5308.09</v>
      </c>
      <c r="G25" s="137" t="s">
        <v>13</v>
      </c>
      <c r="H25" s="138">
        <f>AVERAGE(E23:E28)</f>
        <v>5366.91</v>
      </c>
    </row>
    <row r="26" spans="2:8">
      <c r="B26" s="120" t="s">
        <v>36</v>
      </c>
      <c r="C26" s="115" t="s">
        <v>19</v>
      </c>
      <c r="D26" s="115" t="s">
        <v>19</v>
      </c>
      <c r="E26" s="121" t="s">
        <v>19</v>
      </c>
    </row>
    <row r="27" spans="2:8">
      <c r="B27" s="120" t="s">
        <v>37</v>
      </c>
      <c r="C27" s="123">
        <v>332</v>
      </c>
      <c r="D27" s="122">
        <v>16.7</v>
      </c>
      <c r="E27" s="129">
        <f t="shared" si="1"/>
        <v>5544.4</v>
      </c>
    </row>
    <row r="28" spans="2:8" ht="15.95" thickBot="1">
      <c r="B28" s="130" t="s">
        <v>38</v>
      </c>
      <c r="C28" s="131" t="s">
        <v>19</v>
      </c>
      <c r="D28" s="131" t="s">
        <v>19</v>
      </c>
      <c r="E28" s="132" t="s">
        <v>19</v>
      </c>
    </row>
    <row r="29" spans="2:8">
      <c r="B29" s="84"/>
      <c r="C29" s="80"/>
      <c r="D29" s="80"/>
      <c r="E29" s="76"/>
    </row>
    <row r="30" spans="2:8">
      <c r="B30" s="120" t="s">
        <v>39</v>
      </c>
      <c r="C30" s="139"/>
      <c r="D30" s="139"/>
      <c r="E30" s="140">
        <f>AVERAGE(E7:E28)</f>
        <v>5566.0516363636352</v>
      </c>
    </row>
    <row r="31" spans="2:8">
      <c r="B31" s="120" t="s">
        <v>40</v>
      </c>
      <c r="C31" s="139"/>
      <c r="D31" s="139"/>
      <c r="E31" s="140">
        <f>MEDIAN(E7:E28)</f>
        <v>5308.09</v>
      </c>
    </row>
    <row r="32" spans="2:8">
      <c r="B32" s="120" t="s">
        <v>41</v>
      </c>
      <c r="C32" s="139"/>
      <c r="D32" s="139"/>
      <c r="E32" s="140">
        <f>MAX(E7:E28)</f>
        <v>6545.9740000000002</v>
      </c>
    </row>
    <row r="33" spans="2:5">
      <c r="B33" s="120" t="s">
        <v>42</v>
      </c>
      <c r="C33" s="139"/>
      <c r="D33" s="139"/>
      <c r="E33" s="140">
        <f t="shared" ref="E33" si="2">MIN(E7:E28)</f>
        <v>4786.0239999999994</v>
      </c>
    </row>
    <row r="34" spans="2:5">
      <c r="B34" s="120" t="s">
        <v>43</v>
      </c>
      <c r="C34" s="141"/>
      <c r="D34" s="141"/>
      <c r="E34" s="142">
        <f t="shared" ref="E34" si="3">_xlfn.STDEV.S(E7:E28)</f>
        <v>661.37859812838144</v>
      </c>
    </row>
    <row r="35" spans="2:5" ht="15.95" thickBot="1">
      <c r="B35" s="130" t="s">
        <v>146</v>
      </c>
      <c r="C35" s="143"/>
      <c r="D35" s="143"/>
      <c r="E35" s="144">
        <f t="shared" ref="E35" si="4">E34/E30</f>
        <v>0.11882365478026136</v>
      </c>
    </row>
  </sheetData>
  <phoneticPr fontId="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20C77-805A-4F07-92A3-B3D049F25490}">
  <dimension ref="A1:M36"/>
  <sheetViews>
    <sheetView tabSelected="1" topLeftCell="A15" workbookViewId="0">
      <selection activeCell="B28" sqref="B28"/>
    </sheetView>
  </sheetViews>
  <sheetFormatPr defaultColWidth="11" defaultRowHeight="15"/>
  <cols>
    <col min="2" max="2" width="25.875" bestFit="1" customWidth="1"/>
    <col min="3" max="3" width="13" bestFit="1" customWidth="1"/>
    <col min="4" max="4" width="10.875" customWidth="1"/>
    <col min="5" max="8" width="10.5" bestFit="1" customWidth="1"/>
    <col min="9" max="12" width="9"/>
    <col min="13" max="13" width="14.375" bestFit="1" customWidth="1"/>
    <col min="14" max="14" width="10.875" customWidth="1"/>
  </cols>
  <sheetData>
    <row r="1" spans="1:13" ht="26.1">
      <c r="A1" s="87" t="s">
        <v>147</v>
      </c>
      <c r="B1" s="86"/>
      <c r="C1" s="86"/>
      <c r="D1" s="86"/>
      <c r="E1" s="86"/>
      <c r="F1" s="86"/>
      <c r="G1" s="86"/>
      <c r="H1" s="86"/>
      <c r="I1" s="86"/>
      <c r="J1" s="86"/>
      <c r="K1" s="86"/>
      <c r="L1" s="86"/>
      <c r="M1" s="86"/>
    </row>
    <row r="4" spans="1:13" ht="15.95">
      <c r="A4" s="75"/>
      <c r="B4" s="78" t="s">
        <v>114</v>
      </c>
      <c r="C4" s="85"/>
    </row>
    <row r="5" spans="1:13">
      <c r="A5" s="75"/>
      <c r="B5" s="84"/>
      <c r="C5" s="75"/>
    </row>
    <row r="6" spans="1:13" ht="15.95">
      <c r="A6" s="75"/>
      <c r="B6" s="71" t="s">
        <v>148</v>
      </c>
      <c r="C6" s="93">
        <f>'Ex #10 FCF &amp; Assumptions'!N26</f>
        <v>2.3800000000000002E-2</v>
      </c>
      <c r="D6" s="83"/>
    </row>
    <row r="7" spans="1:13" ht="15.95">
      <c r="A7" s="75"/>
      <c r="B7" s="71" t="s">
        <v>149</v>
      </c>
      <c r="C7" s="93">
        <f>'Ex #10 FCF &amp; Assumptions'!E28</f>
        <v>5.5899999999999998E-2</v>
      </c>
      <c r="D7" s="92"/>
    </row>
    <row r="8" spans="1:13" ht="15.95">
      <c r="A8" s="75"/>
      <c r="B8" s="71" t="s">
        <v>150</v>
      </c>
      <c r="C8" s="89">
        <f>'Comparable Firms Information'!H16</f>
        <v>1.6689810777912273</v>
      </c>
      <c r="D8" s="83"/>
      <c r="E8" s="30"/>
      <c r="F8" s="30"/>
    </row>
    <row r="9" spans="1:13" ht="16.5">
      <c r="A9" s="75"/>
      <c r="B9" s="154" t="s">
        <v>151</v>
      </c>
      <c r="C9" s="109">
        <f>C6+C8*C7</f>
        <v>0.11709604224852961</v>
      </c>
    </row>
    <row r="10" spans="1:13" ht="16.5">
      <c r="A10" s="75"/>
      <c r="B10" s="71" t="s">
        <v>152</v>
      </c>
      <c r="C10" s="155">
        <v>1430</v>
      </c>
    </row>
    <row r="11" spans="1:13" ht="15.95">
      <c r="A11" s="75"/>
      <c r="B11" s="71" t="s">
        <v>153</v>
      </c>
      <c r="C11" s="96">
        <v>0</v>
      </c>
      <c r="D11" s="30"/>
    </row>
    <row r="12" spans="1:13" ht="15.95">
      <c r="A12" s="75"/>
      <c r="B12" s="71" t="s">
        <v>154</v>
      </c>
      <c r="C12" s="96">
        <v>1</v>
      </c>
      <c r="D12" s="30"/>
    </row>
    <row r="13" spans="1:13" ht="15.95">
      <c r="A13" s="75"/>
      <c r="B13" s="71" t="s">
        <v>115</v>
      </c>
      <c r="C13" s="109">
        <f>C9</f>
        <v>0.11709604224852961</v>
      </c>
      <c r="D13" s="83"/>
    </row>
    <row r="14" spans="1:13">
      <c r="A14" s="75"/>
      <c r="B14" s="82"/>
      <c r="C14" s="75"/>
    </row>
    <row r="15" spans="1:13" ht="15.95">
      <c r="B15" s="81" t="s">
        <v>155</v>
      </c>
      <c r="C15" s="110">
        <v>3.5000000000000003E-2</v>
      </c>
    </row>
    <row r="16" spans="1:13">
      <c r="B16" s="80"/>
    </row>
    <row r="18" spans="2:13" ht="17.100000000000001" thickBot="1">
      <c r="B18" s="79" t="s">
        <v>118</v>
      </c>
      <c r="C18" s="78">
        <v>2016</v>
      </c>
      <c r="D18" s="78">
        <v>2017</v>
      </c>
      <c r="E18" s="78">
        <v>2018</v>
      </c>
      <c r="F18" s="78">
        <v>2019</v>
      </c>
      <c r="G18" s="78">
        <v>2020</v>
      </c>
      <c r="H18" s="78">
        <v>2021</v>
      </c>
      <c r="I18" s="78">
        <v>2022</v>
      </c>
      <c r="J18" s="78">
        <v>2023</v>
      </c>
      <c r="K18" s="78">
        <v>2024</v>
      </c>
      <c r="L18" s="78">
        <v>2025</v>
      </c>
      <c r="M18" s="77" t="s">
        <v>156</v>
      </c>
    </row>
    <row r="19" spans="2:13" ht="15.95">
      <c r="B19" s="70" t="s">
        <v>157</v>
      </c>
      <c r="C19" s="101">
        <f>'Ex #10 FCF &amp; Assumptions'!E18</f>
        <v>-708.8</v>
      </c>
      <c r="D19" s="101">
        <f>'Ex #10 FCF &amp; Assumptions'!F18</f>
        <v>-1186.2</v>
      </c>
      <c r="E19" s="101">
        <f>'Ex #10 FCF &amp; Assumptions'!G18</f>
        <v>-1093</v>
      </c>
      <c r="F19" s="101">
        <f>'Ex #10 FCF &amp; Assumptions'!H18</f>
        <v>-737.1</v>
      </c>
      <c r="G19" s="101">
        <f>'Ex #10 FCF &amp; Assumptions'!I18</f>
        <v>-242.5</v>
      </c>
      <c r="H19" s="101">
        <f>'Ex #10 FCF &amp; Assumptions'!J18</f>
        <v>818.4</v>
      </c>
      <c r="I19" s="101">
        <f>'Ex #10 FCF &amp; Assumptions'!K18</f>
        <v>1831.1</v>
      </c>
      <c r="J19" s="101">
        <f>'Ex #10 FCF &amp; Assumptions'!L18</f>
        <v>2958.2</v>
      </c>
      <c r="K19" s="101">
        <f>'Ex #10 FCF &amp; Assumptions'!M18</f>
        <v>3389.6</v>
      </c>
      <c r="L19" s="101">
        <f>'Ex #10 FCF &amp; Assumptions'!N18</f>
        <v>4054.2</v>
      </c>
      <c r="M19" s="152">
        <f>'Ex #10 FCF &amp; Assumptions'!O18</f>
        <v>4196.1000000000004</v>
      </c>
    </row>
    <row r="20" spans="2:13" ht="15.95">
      <c r="B20" s="71" t="s">
        <v>120</v>
      </c>
      <c r="D20" s="101"/>
      <c r="E20" s="101"/>
      <c r="F20" s="101"/>
      <c r="G20" s="101"/>
      <c r="H20" s="101"/>
      <c r="I20" s="101"/>
      <c r="J20" s="101"/>
      <c r="K20" s="101"/>
      <c r="L20" s="101">
        <f>L19*(1+C13)/(C13-C15)</f>
        <v>55166.249802561033</v>
      </c>
      <c r="M20" s="136"/>
    </row>
    <row r="21" spans="2:13" ht="15.95">
      <c r="B21" s="71" t="s">
        <v>121</v>
      </c>
      <c r="D21" s="101">
        <f>(D19+D20)/(1+$C$13)^(D18-$C$18)</f>
        <v>-1061.8603550079504</v>
      </c>
      <c r="E21" s="101">
        <f t="shared" ref="E21:K21" si="0">(E19+E20)/(1+$C$13)^(E18-$C$18)</f>
        <v>-875.86896004766345</v>
      </c>
      <c r="F21" s="101">
        <f t="shared" si="0"/>
        <v>-528.75546820753493</v>
      </c>
      <c r="G21" s="101">
        <f t="shared" si="0"/>
        <v>-155.72189867478357</v>
      </c>
      <c r="H21" s="101">
        <f t="shared" si="0"/>
        <v>470.44954725969143</v>
      </c>
      <c r="I21" s="101">
        <f t="shared" si="0"/>
        <v>942.25615644725576</v>
      </c>
      <c r="J21" s="101">
        <f t="shared" si="0"/>
        <v>1362.6801844749475</v>
      </c>
      <c r="K21" s="101">
        <f t="shared" si="0"/>
        <v>1397.7334084426566</v>
      </c>
      <c r="L21" s="101">
        <f>(L19+L20)/(1+$C$13)^(L18-$C$18)</f>
        <v>21860.348603602706</v>
      </c>
      <c r="M21" s="136"/>
    </row>
    <row r="22" spans="2:13" ht="15.95">
      <c r="B22" s="71" t="s">
        <v>158</v>
      </c>
      <c r="D22" s="101">
        <f>SUM(D21:L21)</f>
        <v>23411.261218289324</v>
      </c>
      <c r="E22" s="101"/>
      <c r="F22" s="101"/>
      <c r="G22" s="101"/>
      <c r="H22" s="101"/>
      <c r="I22" s="101"/>
      <c r="J22" s="101"/>
      <c r="K22" s="101"/>
      <c r="L22" s="101"/>
      <c r="M22" s="136"/>
    </row>
    <row r="23" spans="2:13" ht="15.95">
      <c r="B23" s="71" t="s">
        <v>123</v>
      </c>
      <c r="D23" s="30">
        <v>0</v>
      </c>
      <c r="E23" s="30"/>
      <c r="F23" s="30"/>
      <c r="G23" s="30"/>
      <c r="H23" s="30"/>
      <c r="I23" s="30"/>
      <c r="J23" s="30"/>
      <c r="K23" s="30"/>
      <c r="L23" s="30"/>
      <c r="M23" s="75"/>
    </row>
    <row r="24" spans="2:13" ht="15.95">
      <c r="B24" s="71" t="s">
        <v>124</v>
      </c>
      <c r="D24" s="101">
        <f>D22-D23</f>
        <v>23411.261218289324</v>
      </c>
      <c r="E24" s="30"/>
      <c r="F24" s="30"/>
      <c r="G24" s="30"/>
      <c r="H24" s="30"/>
      <c r="I24" s="30"/>
      <c r="J24" s="30"/>
      <c r="K24" s="30"/>
      <c r="L24" s="30"/>
      <c r="M24" s="75"/>
    </row>
    <row r="25" spans="2:13" ht="15.95">
      <c r="B25" s="71" t="s">
        <v>159</v>
      </c>
      <c r="D25" s="30">
        <v>1430</v>
      </c>
      <c r="E25" s="30"/>
      <c r="F25" s="30"/>
      <c r="G25" s="30"/>
      <c r="H25" s="30"/>
      <c r="I25" s="30"/>
      <c r="J25" s="30"/>
      <c r="K25" s="30"/>
      <c r="L25" s="30"/>
      <c r="M25" s="75"/>
    </row>
    <row r="26" spans="2:13" ht="15.95">
      <c r="B26" s="74" t="s">
        <v>160</v>
      </c>
      <c r="C26" s="73"/>
      <c r="D26" s="99">
        <f>D24/D25</f>
        <v>16.371511341461066</v>
      </c>
      <c r="E26" s="91"/>
      <c r="F26" s="91"/>
      <c r="G26" s="91"/>
      <c r="H26" s="91"/>
      <c r="I26" s="91"/>
      <c r="J26" s="91"/>
      <c r="K26" s="91"/>
      <c r="L26" s="91"/>
      <c r="M26" s="72"/>
    </row>
    <row r="27" spans="2:13" ht="16.5">
      <c r="D27" s="30"/>
      <c r="E27" s="30"/>
      <c r="F27" s="30"/>
      <c r="G27" s="30"/>
      <c r="H27" s="30"/>
      <c r="I27" s="30"/>
      <c r="J27" s="30"/>
      <c r="K27" s="30"/>
      <c r="L27" s="30"/>
    </row>
    <row r="28" spans="2:13" ht="16.5">
      <c r="B28" s="156" t="s">
        <v>161</v>
      </c>
      <c r="D28" s="30"/>
      <c r="E28" s="30"/>
      <c r="F28" s="30"/>
      <c r="G28" s="30"/>
      <c r="H28" s="30"/>
      <c r="I28" s="30"/>
      <c r="J28" s="30"/>
      <c r="K28" s="30"/>
      <c r="L28" s="30"/>
    </row>
    <row r="29" spans="2:13" ht="16.5">
      <c r="D29" s="30"/>
      <c r="E29" s="147"/>
      <c r="F29" s="151" t="s">
        <v>115</v>
      </c>
      <c r="G29" s="30"/>
      <c r="H29" s="30"/>
      <c r="I29" s="30"/>
      <c r="J29" s="30"/>
      <c r="K29" s="30"/>
      <c r="L29" s="30"/>
    </row>
    <row r="30" spans="2:13" ht="15.95">
      <c r="C30" s="68">
        <f>D26</f>
        <v>16.371511341461066</v>
      </c>
      <c r="D30" s="148">
        <v>0.106</v>
      </c>
      <c r="E30" s="148">
        <v>0.111</v>
      </c>
      <c r="F30" s="148">
        <v>0.11700000000000001</v>
      </c>
      <c r="G30" s="148">
        <v>0.122</v>
      </c>
      <c r="H30" s="148">
        <v>0.127</v>
      </c>
      <c r="I30" s="30"/>
      <c r="J30" s="30"/>
      <c r="K30" s="30"/>
      <c r="L30" s="30"/>
    </row>
    <row r="31" spans="2:13" ht="15.95">
      <c r="B31" s="162" t="s">
        <v>162</v>
      </c>
      <c r="C31" s="148">
        <v>2.5000000000000001E-2</v>
      </c>
      <c r="D31" s="68">
        <f t="dataTable" ref="D31:H35" dt2D="1" dtr="1" r1="C13" r2="C15"/>
        <v>18.03475805213521</v>
      </c>
      <c r="E31" s="68">
        <v>16.478926595233236</v>
      </c>
      <c r="F31" s="68">
        <v>14.849485022368649</v>
      </c>
      <c r="G31" s="68">
        <v>13.656651949639219</v>
      </c>
      <c r="H31" s="68">
        <v>12.590082095510125</v>
      </c>
      <c r="M31" t="s">
        <v>163</v>
      </c>
    </row>
    <row r="32" spans="2:13" ht="15.95">
      <c r="B32" s="162"/>
      <c r="C32" s="148">
        <v>0.03</v>
      </c>
      <c r="D32" s="68">
        <v>19.063246716150573</v>
      </c>
      <c r="E32" s="68">
        <v>17.355610825427128</v>
      </c>
      <c r="F32" s="68">
        <v>15.580298707477034</v>
      </c>
      <c r="G32" s="68">
        <v>14.289117273127401</v>
      </c>
      <c r="H32" s="68">
        <v>13.140605645588606</v>
      </c>
    </row>
    <row r="33" spans="2:8" ht="15.95">
      <c r="B33" s="162"/>
      <c r="C33" s="148">
        <v>3.5000000000000003E-2</v>
      </c>
      <c r="D33" s="68">
        <v>20.236592938477962</v>
      </c>
      <c r="E33" s="68">
        <v>18.347648243804425</v>
      </c>
      <c r="F33" s="68">
        <v>16.400236012720594</v>
      </c>
      <c r="G33" s="68">
        <v>14.994279760234919</v>
      </c>
      <c r="H33" s="68">
        <v>13.750968711979965</v>
      </c>
    </row>
    <row r="34" spans="2:8" ht="15.95">
      <c r="B34" s="162"/>
      <c r="C34" s="148">
        <v>0.04</v>
      </c>
      <c r="D34" s="68">
        <v>21.587718891461009</v>
      </c>
      <c r="E34" s="68">
        <v>19.479409242234865</v>
      </c>
      <c r="F34" s="68">
        <v>17.326658682281494</v>
      </c>
      <c r="G34" s="68">
        <v>15.78543767259945</v>
      </c>
      <c r="H34" s="68">
        <v>14.431488452669182</v>
      </c>
    </row>
    <row r="35" spans="2:8" ht="15.95">
      <c r="B35" s="162"/>
      <c r="C35" s="148">
        <v>4.4999999999999998E-2</v>
      </c>
      <c r="D35" s="68">
        <v>23.160340902310139</v>
      </c>
      <c r="E35" s="68">
        <v>20.782649179821433</v>
      </c>
      <c r="F35" s="68">
        <v>18.381751167059189</v>
      </c>
      <c r="G35" s="68">
        <v>16.67934336579054</v>
      </c>
      <c r="H35" s="68">
        <v>15.194998405637572</v>
      </c>
    </row>
    <row r="36" spans="2:8">
      <c r="B36" s="162"/>
      <c r="D36" s="66"/>
      <c r="E36" s="66"/>
      <c r="F36" s="66"/>
      <c r="G36" s="66"/>
      <c r="H36" s="66"/>
    </row>
  </sheetData>
  <mergeCells count="1">
    <mergeCell ref="B31:B36"/>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468ECA9A7DEC274A891EAEAD877B6C11" ma:contentTypeVersion="8" ma:contentTypeDescription="Luo uusi asiakirja." ma:contentTypeScope="" ma:versionID="310d1bf8ad411a4cc2329c44b0758ec2">
  <xsd:schema xmlns:xsd="http://www.w3.org/2001/XMLSchema" xmlns:xs="http://www.w3.org/2001/XMLSchema" xmlns:p="http://schemas.microsoft.com/office/2006/metadata/properties" xmlns:ns2="4af9fd84-b121-40df-8d12-cb6f99820d01" targetNamespace="http://schemas.microsoft.com/office/2006/metadata/properties" ma:root="true" ma:fieldsID="d7f966cca598aa2df470d41bf5cad456" ns2:_="">
    <xsd:import namespace="4af9fd84-b121-40df-8d12-cb6f99820d0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f9fd84-b121-40df-8d12-cb6f99820d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65444-6D11-4C86-B2F7-A9A34E7D1D88}"/>
</file>

<file path=customXml/itemProps2.xml><?xml version="1.0" encoding="utf-8"?>
<ds:datastoreItem xmlns:ds="http://schemas.openxmlformats.org/officeDocument/2006/customXml" ds:itemID="{82AD1B2D-7329-45B0-B181-F34F256548F0}"/>
</file>

<file path=customXml/itemProps3.xml><?xml version="1.0" encoding="utf-8"?>
<ds:datastoreItem xmlns:ds="http://schemas.openxmlformats.org/officeDocument/2006/customXml" ds:itemID="{C28120D9-C04C-497C-8CE2-0B239B44B1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蘇鼎詮</dc:creator>
  <cp:keywords/>
  <dc:description/>
  <cp:lastModifiedBy>Amaan Ali</cp:lastModifiedBy>
  <cp:revision/>
  <dcterms:created xsi:type="dcterms:W3CDTF">2021-10-05T06:06:39Z</dcterms:created>
  <dcterms:modified xsi:type="dcterms:W3CDTF">2024-02-08T10:21:28Z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0x010100468ECA9A7DEC274A891EAEAD877B6C11</vt:lpwstr>
  </property>
</Properties>
</file>