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wal\Desktop\"/>
    </mc:Choice>
  </mc:AlternateContent>
  <xr:revisionPtr revIDLastSave="0" documentId="8_{8E7CA5A4-9A50-4D00-B9C2-4783B06E2E78}" xr6:coauthVersionLast="47" xr6:coauthVersionMax="47" xr10:uidLastSave="{00000000-0000-0000-0000-000000000000}"/>
  <bookViews>
    <workbookView minimized="1" xWindow="11520" yWindow="2244" windowWidth="11448" windowHeight="12360" xr2:uid="{56CCFBF2-982D-4F17-BBBE-46D88845FC36}"/>
    <workbookView xWindow="18996" yWindow="4380" windowWidth="11448" windowHeight="12360" firstSheet="1" activeTab="1" xr2:uid="{1D67D0DD-4C01-471B-A9D6-2945F5D01B1D}"/>
  </bookViews>
  <sheets>
    <sheet name="Data" sheetId="1" r:id="rId1"/>
    <sheet name="NPV of Projec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5" i="1" l="1"/>
  <c r="B8" i="2"/>
  <c r="C11" i="2"/>
  <c r="B11" i="2"/>
  <c r="C10" i="2"/>
  <c r="C13" i="2" s="1"/>
  <c r="B10" i="2"/>
  <c r="C7" i="2"/>
  <c r="C12" i="2" s="1"/>
  <c r="B7" i="2"/>
  <c r="B9" i="2" s="1"/>
  <c r="C5" i="2"/>
  <c r="B4" i="2"/>
  <c r="C4" i="2"/>
  <c r="B5" i="2"/>
  <c r="D64" i="1"/>
  <c r="D63" i="1"/>
  <c r="D61" i="1"/>
  <c r="D57" i="1"/>
  <c r="D58" i="1" s="1"/>
  <c r="D51" i="1"/>
  <c r="D52" i="1" s="1"/>
  <c r="D50" i="1"/>
  <c r="D45" i="1"/>
  <c r="D42" i="1"/>
  <c r="D44" i="1" s="1"/>
  <c r="D40" i="1"/>
  <c r="D39" i="1" s="1"/>
  <c r="C30" i="1"/>
  <c r="D28" i="1"/>
  <c r="D27" i="1"/>
  <c r="D10" i="1"/>
  <c r="D12" i="1" s="1"/>
  <c r="C10" i="1"/>
  <c r="C12" i="1" s="1"/>
  <c r="C14" i="1" s="1"/>
  <c r="D18" i="1" s="1"/>
  <c r="D14" i="1" s="1"/>
  <c r="C20" i="1"/>
  <c r="C19" i="1"/>
  <c r="C18" i="1"/>
  <c r="D13" i="1"/>
  <c r="E4" i="1"/>
  <c r="E3" i="1" s="1"/>
  <c r="D3" i="1"/>
  <c r="C9" i="2" l="1"/>
  <c r="C8" i="2"/>
  <c r="B14" i="2"/>
  <c r="C16" i="1"/>
  <c r="C21" i="1" s="1"/>
  <c r="E5" i="1"/>
  <c r="C14" i="2" l="1"/>
  <c r="D16" i="1"/>
  <c r="D20" i="1"/>
  <c r="D21" i="1" l="1"/>
  <c r="C23" i="1" l="1"/>
</calcChain>
</file>

<file path=xl/sharedStrings.xml><?xml version="1.0" encoding="utf-8"?>
<sst xmlns="http://schemas.openxmlformats.org/spreadsheetml/2006/main" count="148" uniqueCount="116">
  <si>
    <t>Plastic Roads</t>
  </si>
  <si>
    <t>References</t>
  </si>
  <si>
    <t>Emissions Stats</t>
  </si>
  <si>
    <t>% Saving</t>
  </si>
  <si>
    <t>Emissions</t>
  </si>
  <si>
    <t>PlasticRoads</t>
  </si>
  <si>
    <r>
      <t>kg  CO</t>
    </r>
    <r>
      <rPr>
        <sz val="8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</t>
    </r>
  </si>
  <si>
    <t>per km</t>
  </si>
  <si>
    <t>Asphalt Road</t>
  </si>
  <si>
    <t>Other Research</t>
  </si>
  <si>
    <t>-50%-70%</t>
  </si>
  <si>
    <t>https://redshift.autodesk.com/articles/plastic-roads</t>
  </si>
  <si>
    <t>https://climateadaptationplatform.com/are-plastic-roads-ready-for-commercial-launch/#:~:text=It%20cuts%20carbon%20emissions%20between,compared%20to%20traditional%20road%20construction</t>
  </si>
  <si>
    <t>https://www.sustainableplastics.com/news/plasticroad-granted-funding-shift-industrial-production</t>
  </si>
  <si>
    <t>Cost Analysis</t>
  </si>
  <si>
    <t>http://www.ijirset.com/upload/2017/february/11_A%20Survey.pdf</t>
  </si>
  <si>
    <t>Construction Stats</t>
  </si>
  <si>
    <t>Conventional</t>
  </si>
  <si>
    <t>Plastic</t>
  </si>
  <si>
    <t>https://ijrti.org/papers/IJRTI1804025.pdf</t>
  </si>
  <si>
    <t>Volume of Road</t>
  </si>
  <si>
    <t>m^3</t>
  </si>
  <si>
    <t>https://www.nbmcw.com/article-report/infrastructure-construction/roads-and-pavements/waste-plastic-roads.html</t>
  </si>
  <si>
    <t>Density of Asphalt</t>
  </si>
  <si>
    <t>kg/m^3</t>
  </si>
  <si>
    <t>https://saharabizz.com/how-much-bitumen-used-in-road-construction-per-kilometre/#:~:text=For%20the%20average%20can%20accept%202330%20kg%2Fm%5E3.</t>
  </si>
  <si>
    <t>Weight of Road</t>
  </si>
  <si>
    <t>kg</t>
  </si>
  <si>
    <t>Bitumen %</t>
  </si>
  <si>
    <t>% of Weight</t>
  </si>
  <si>
    <t>Weight of Bitumen</t>
  </si>
  <si>
    <t>Bitumen Cost Per kg</t>
  </si>
  <si>
    <t>Rs/kg</t>
  </si>
  <si>
    <t>https://dir.indiamart.com/impcat/bitumen.html</t>
  </si>
  <si>
    <t>Bitumen Cost</t>
  </si>
  <si>
    <t>Rs</t>
  </si>
  <si>
    <t>Plastic %</t>
  </si>
  <si>
    <t>Weight of Plastic</t>
  </si>
  <si>
    <t>Plastic Cost Per kg</t>
  </si>
  <si>
    <t>Plastic Cost</t>
  </si>
  <si>
    <t>Total Cost</t>
  </si>
  <si>
    <t>% Savings</t>
  </si>
  <si>
    <t>Maintenance Stats</t>
  </si>
  <si>
    <t>Durability</t>
  </si>
  <si>
    <t>1x</t>
  </si>
  <si>
    <t>3x</t>
  </si>
  <si>
    <t>times</t>
  </si>
  <si>
    <t>https://edition.cnn.com/2018/07/02/world/macrebur-plastic-roads/index.html</t>
  </si>
  <si>
    <t>Lifespan</t>
  </si>
  <si>
    <t>years</t>
  </si>
  <si>
    <t>https://www.ayresassociates.com/the-long-and-short-of-it-lifespans-of-paved-roadways/#:~:text=Asphalt%20roads%20are%20likely%20to,need%20to%20consider%20additional%20factors.</t>
  </si>
  <si>
    <t>Cost per km (India)</t>
  </si>
  <si>
    <t>https://www.adb.org/sites/default/files/linked-documents/52298-001-efa.pdf</t>
  </si>
  <si>
    <t>https://www.businessinsider.com/solar-power-roads-china-compared-to-us-2018-6?r=US&amp;IR=T</t>
  </si>
  <si>
    <t>Solar Panels</t>
  </si>
  <si>
    <t>Solar Roads</t>
  </si>
  <si>
    <t>Energy Production</t>
  </si>
  <si>
    <t>Gwh per year</t>
  </si>
  <si>
    <t>https://www.nsenergybusiness.com/features/china-solar-highway-energy/</t>
  </si>
  <si>
    <t>Energy Footprint</t>
  </si>
  <si>
    <r>
      <t>g  CO</t>
    </r>
    <r>
      <rPr>
        <sz val="8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</t>
    </r>
  </si>
  <si>
    <t>https://massachusetts.revolusun.com/blog/carbon-footprint-of-solar-panel-manufacturing/#:~:text=Solar%20panels%20emit%20around%2050g,of%20coal%2Dpowered%20electricity%20sources</t>
  </si>
  <si>
    <t>E. Footprint in 3 years</t>
  </si>
  <si>
    <t>https://www.iea.org/data-and-statistics/charts/evolution-of-solar-pv-module-cost-by-data-source-1970-2020</t>
  </si>
  <si>
    <t>US 2017</t>
  </si>
  <si>
    <t>Solar Price Per Watt</t>
  </si>
  <si>
    <t>US 2022</t>
  </si>
  <si>
    <t>https://www.google.com/url?sa=i&amp;url=https%3A%2F%2Fhomeguide.com%2Fcosts%2Fsolar-panel-cost&amp;psig=AOvVaw30FFc28uS1zsjWP_tB44FU&amp;ust=1670061253580000&amp;source=images&amp;cd=vfe&amp;ved=0CBEQjhxqFwoTCLjkypDV2vsCFQAAAAAdAAAAABAJ</t>
  </si>
  <si>
    <t>Price Decrease %</t>
  </si>
  <si>
    <t>INDIA 2022</t>
  </si>
  <si>
    <t>Rs Price Per Watt</t>
  </si>
  <si>
    <t>https://www.financialexpress.com/industry/domestic-solar-panel-prices-jump-50-in-2-months-to-rs-30-wattpeak/2508346/</t>
  </si>
  <si>
    <t>Price Difference US vs India</t>
  </si>
  <si>
    <t xml:space="preserve">Solar Panel Cost </t>
  </si>
  <si>
    <t>Rs per sq. m</t>
  </si>
  <si>
    <t>https://platiosolar.com/resources/#calc</t>
  </si>
  <si>
    <t>Total Cost Solar Panel Per KM</t>
  </si>
  <si>
    <t>https://www.startupselfie.net/2020/12/10/platio-walkable-solar-pavement-tiles-power-households/</t>
  </si>
  <si>
    <t>Platio Solar Panels</t>
  </si>
  <si>
    <t>panels per km</t>
  </si>
  <si>
    <t>Price of Platio Solar</t>
  </si>
  <si>
    <t>Rs per panel</t>
  </si>
  <si>
    <t>Adjusted Price for INR</t>
  </si>
  <si>
    <t>Accounting for India-US Price Difference</t>
  </si>
  <si>
    <t>Total Per KM Panels Cost</t>
  </si>
  <si>
    <t>12 KM Cost</t>
  </si>
  <si>
    <t>Chinese Solar Panel Calc</t>
  </si>
  <si>
    <t>Area</t>
  </si>
  <si>
    <t>sq m</t>
  </si>
  <si>
    <t>https://www.nsenergybusiness.com/features/china-solar-highway-energy/#:~:text=It%20spans%205%2C875%20sq%20m,snow%20that%20gathers%20on%20it.</t>
  </si>
  <si>
    <t>96 MW Produced in 14 Weeks (98 Days)</t>
  </si>
  <si>
    <t>Energy Per Day Production</t>
  </si>
  <si>
    <t>Wh</t>
  </si>
  <si>
    <t>Energy Per Day Per Sq m Production</t>
  </si>
  <si>
    <t>Relate to Our Project</t>
  </si>
  <si>
    <t>Area per KM</t>
  </si>
  <si>
    <t>Energy Per Day for 12 KM</t>
  </si>
  <si>
    <t>Price per KW</t>
  </si>
  <si>
    <t>Rs per KWh</t>
  </si>
  <si>
    <t>Revenue Per Day</t>
  </si>
  <si>
    <t>Revenue Per Year</t>
  </si>
  <si>
    <t>Revenue for 50 Years</t>
  </si>
  <si>
    <t>Recycled Solar</t>
  </si>
  <si>
    <t>https://www.sciencedirect.com/science/article/abs/pii/S096014811830658X</t>
  </si>
  <si>
    <t>Bottom Layer</t>
  </si>
  <si>
    <t xml:space="preserve">   Bitumen Cost</t>
  </si>
  <si>
    <t xml:space="preserve">   Plastic Cost</t>
  </si>
  <si>
    <t>Top Layer</t>
  </si>
  <si>
    <t xml:space="preserve">   Solar Panels Cost</t>
  </si>
  <si>
    <t>Govt. Contribution</t>
  </si>
  <si>
    <t>Total Investment</t>
  </si>
  <si>
    <t xml:space="preserve">   Per Year CF by Selling Electricity @ Rs.6/KWh</t>
  </si>
  <si>
    <t xml:space="preserve">   Per Year Maintenance Cost</t>
  </si>
  <si>
    <t xml:space="preserve">   Solar Panels Change Cost @ 25th Year</t>
  </si>
  <si>
    <t>PV for 50 Years</t>
  </si>
  <si>
    <t>Net Present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</si>
</sst>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0" fontId="3" fillId="0" borderId="0" xfId="0" applyFont="1"/>
    <xf numFmtId="10" fontId="3" fillId="0" borderId="0" xfId="0" applyNumberFormat="1" applyFont="1"/>
    <xf numFmtId="2" fontId="0" fillId="0" borderId="0" xfId="0" applyNumberFormat="1"/>
    <xf numFmtId="10" fontId="3" fillId="0" borderId="0" xfId="1" applyNumberFormat="1" applyFont="1"/>
    <xf numFmtId="1" fontId="0" fillId="0" borderId="0" xfId="0" applyNumberFormat="1"/>
    <xf numFmtId="2" fontId="3" fillId="0" borderId="0" xfId="0" applyNumberFormat="1" applyFont="1"/>
    <xf numFmtId="165" fontId="0" fillId="0" borderId="0" xfId="1" applyNumberFormat="1" applyFont="1"/>
    <xf numFmtId="0" fontId="0" fillId="0" borderId="0" xfId="0" applyAlignment="1">
      <alignment horizontal="left" wrapText="1"/>
    </xf>
    <xf numFmtId="1" fontId="3" fillId="0" borderId="0" xfId="0" applyNumberFormat="1" applyFont="1"/>
    <xf numFmtId="0" fontId="4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iencedirect.com/science/article/abs/pii/S096014811830658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0B9E6-9430-4F23-B747-D51E1AEA6710}">
  <dimension ref="A1:J65"/>
  <sheetViews>
    <sheetView tabSelected="1" topLeftCell="A13" zoomScale="90" zoomScaleNormal="90" workbookViewId="0">
      <selection activeCell="D10" sqref="D10"/>
    </sheetView>
    <sheetView topLeftCell="A43" workbookViewId="1">
      <selection activeCell="D69" sqref="D69"/>
    </sheetView>
  </sheetViews>
  <sheetFormatPr defaultRowHeight="14.45"/>
  <cols>
    <col min="2" max="2" width="15.42578125" bestFit="1" customWidth="1"/>
    <col min="3" max="3" width="13" bestFit="1" customWidth="1"/>
    <col min="4" max="4" width="14.28515625" bestFit="1" customWidth="1"/>
    <col min="5" max="5" width="12.140625" bestFit="1" customWidth="1"/>
  </cols>
  <sheetData>
    <row r="1" spans="1:10">
      <c r="A1" s="5" t="s">
        <v>0</v>
      </c>
      <c r="H1" s="5" t="s">
        <v>1</v>
      </c>
    </row>
    <row r="2" spans="1:10">
      <c r="B2" s="5" t="s">
        <v>2</v>
      </c>
      <c r="D2" s="5" t="s">
        <v>3</v>
      </c>
      <c r="E2" s="5" t="s">
        <v>4</v>
      </c>
    </row>
    <row r="3" spans="1:10">
      <c r="B3" t="s">
        <v>5</v>
      </c>
      <c r="D3" s="1">
        <f>-70%</f>
        <v>-0.7</v>
      </c>
      <c r="E3">
        <f>0.3*E4</f>
        <v>19.739999999999998</v>
      </c>
      <c r="F3" t="s">
        <v>6</v>
      </c>
      <c r="G3" t="s">
        <v>7</v>
      </c>
    </row>
    <row r="4" spans="1:10">
      <c r="B4" t="s">
        <v>8</v>
      </c>
      <c r="E4">
        <f>65.8</f>
        <v>65.8</v>
      </c>
      <c r="F4" t="s">
        <v>6</v>
      </c>
      <c r="G4" t="s">
        <v>7</v>
      </c>
    </row>
    <row r="5" spans="1:10" ht="15">
      <c r="B5" t="s">
        <v>9</v>
      </c>
      <c r="D5" s="4" t="s">
        <v>10</v>
      </c>
      <c r="E5">
        <f>0.5*E4</f>
        <v>32.9</v>
      </c>
      <c r="F5" t="s">
        <v>6</v>
      </c>
      <c r="G5" t="s">
        <v>7</v>
      </c>
      <c r="H5" t="s">
        <v>11</v>
      </c>
      <c r="I5" t="s">
        <v>12</v>
      </c>
      <c r="J5" t="s">
        <v>13</v>
      </c>
    </row>
    <row r="7" spans="1:10">
      <c r="B7" s="5" t="s">
        <v>14</v>
      </c>
      <c r="H7" t="s">
        <v>15</v>
      </c>
    </row>
    <row r="8" spans="1:10">
      <c r="B8" s="5" t="s">
        <v>16</v>
      </c>
    </row>
    <row r="9" spans="1:10">
      <c r="C9" s="5" t="s">
        <v>17</v>
      </c>
      <c r="D9" s="5" t="s">
        <v>18</v>
      </c>
      <c r="H9" t="s">
        <v>19</v>
      </c>
    </row>
    <row r="10" spans="1:10">
      <c r="B10" t="s">
        <v>20</v>
      </c>
      <c r="C10">
        <f>3.75*1000*0.05</f>
        <v>187.5</v>
      </c>
      <c r="D10">
        <f>3.75*1000*0.05</f>
        <v>187.5</v>
      </c>
      <c r="E10" t="s">
        <v>21</v>
      </c>
      <c r="H10" t="s">
        <v>22</v>
      </c>
    </row>
    <row r="11" spans="1:10">
      <c r="B11" t="s">
        <v>23</v>
      </c>
      <c r="C11">
        <v>2330</v>
      </c>
      <c r="D11">
        <v>2330</v>
      </c>
      <c r="E11" t="s">
        <v>24</v>
      </c>
      <c r="H11" t="s">
        <v>25</v>
      </c>
    </row>
    <row r="12" spans="1:10">
      <c r="B12" t="s">
        <v>26</v>
      </c>
      <c r="C12">
        <f>C11*C10</f>
        <v>436875</v>
      </c>
      <c r="D12">
        <f>D11*D10</f>
        <v>436875</v>
      </c>
      <c r="E12" t="s">
        <v>27</v>
      </c>
    </row>
    <row r="13" spans="1:10">
      <c r="B13" t="s">
        <v>28</v>
      </c>
      <c r="C13" s="3">
        <v>0.05</v>
      </c>
      <c r="D13" s="3">
        <f>C13*(1-8%)</f>
        <v>4.6000000000000006E-2</v>
      </c>
      <c r="E13" t="s">
        <v>29</v>
      </c>
    </row>
    <row r="14" spans="1:10">
      <c r="B14" t="s">
        <v>30</v>
      </c>
      <c r="C14">
        <f>C13*C12</f>
        <v>21843.75</v>
      </c>
      <c r="D14">
        <f>C14-D18</f>
        <v>20096.25</v>
      </c>
      <c r="E14" t="s">
        <v>27</v>
      </c>
    </row>
    <row r="15" spans="1:10">
      <c r="B15" t="s">
        <v>31</v>
      </c>
      <c r="C15">
        <v>45</v>
      </c>
      <c r="D15">
        <v>45</v>
      </c>
      <c r="E15" t="s">
        <v>32</v>
      </c>
      <c r="H15" t="s">
        <v>33</v>
      </c>
    </row>
    <row r="16" spans="1:10">
      <c r="B16" t="s">
        <v>34</v>
      </c>
      <c r="C16">
        <f>C14*C15</f>
        <v>982968.75</v>
      </c>
      <c r="D16">
        <f>D14*D15</f>
        <v>904331.25</v>
      </c>
      <c r="E16" t="s">
        <v>35</v>
      </c>
    </row>
    <row r="17" spans="1:9">
      <c r="B17" t="s">
        <v>36</v>
      </c>
      <c r="C17" s="1">
        <v>0</v>
      </c>
      <c r="D17" s="1">
        <v>0.08</v>
      </c>
      <c r="E17" t="s">
        <v>29</v>
      </c>
    </row>
    <row r="18" spans="1:9">
      <c r="B18" t="s">
        <v>37</v>
      </c>
      <c r="C18">
        <f>0</f>
        <v>0</v>
      </c>
      <c r="D18">
        <f>D17*C14</f>
        <v>1747.5</v>
      </c>
      <c r="E18" t="s">
        <v>27</v>
      </c>
    </row>
    <row r="19" spans="1:9">
      <c r="B19" t="s">
        <v>38</v>
      </c>
      <c r="C19">
        <f>0</f>
        <v>0</v>
      </c>
      <c r="D19">
        <v>12</v>
      </c>
      <c r="E19" t="s">
        <v>32</v>
      </c>
      <c r="H19" t="s">
        <v>15</v>
      </c>
    </row>
    <row r="20" spans="1:9">
      <c r="B20" t="s">
        <v>39</v>
      </c>
      <c r="C20">
        <f>0</f>
        <v>0</v>
      </c>
      <c r="D20">
        <f>D19*D18</f>
        <v>20970</v>
      </c>
      <c r="E20" t="s">
        <v>35</v>
      </c>
    </row>
    <row r="21" spans="1:9">
      <c r="B21" s="5" t="s">
        <v>40</v>
      </c>
      <c r="C21" s="5">
        <f>C16+C20</f>
        <v>982968.75</v>
      </c>
      <c r="D21" s="5">
        <f>D16+D20</f>
        <v>925301.25</v>
      </c>
      <c r="E21" s="5" t="s">
        <v>35</v>
      </c>
    </row>
    <row r="23" spans="1:9">
      <c r="B23" s="5" t="s">
        <v>41</v>
      </c>
      <c r="C23" s="6">
        <f>((C21-D21)/C21)</f>
        <v>5.8666666666666666E-2</v>
      </c>
    </row>
    <row r="25" spans="1:9">
      <c r="B25" s="5" t="s">
        <v>42</v>
      </c>
    </row>
    <row r="26" spans="1:9">
      <c r="B26" t="s">
        <v>43</v>
      </c>
      <c r="C26" t="s">
        <v>44</v>
      </c>
      <c r="D26" s="2" t="s">
        <v>45</v>
      </c>
      <c r="E26" t="s">
        <v>46</v>
      </c>
      <c r="H26" t="s">
        <v>47</v>
      </c>
    </row>
    <row r="27" spans="1:9">
      <c r="B27" t="s">
        <v>48</v>
      </c>
      <c r="C27">
        <v>18</v>
      </c>
      <c r="D27">
        <f>18*3</f>
        <v>54</v>
      </c>
      <c r="E27" t="s">
        <v>49</v>
      </c>
      <c r="H27" t="s">
        <v>50</v>
      </c>
    </row>
    <row r="28" spans="1:9">
      <c r="B28" s="5" t="s">
        <v>51</v>
      </c>
      <c r="C28" s="5">
        <v>150000</v>
      </c>
      <c r="D28" s="5">
        <f>C28/3</f>
        <v>50000</v>
      </c>
      <c r="E28" s="5" t="s">
        <v>7</v>
      </c>
      <c r="H28" t="s">
        <v>52</v>
      </c>
      <c r="I28" t="s">
        <v>53</v>
      </c>
    </row>
    <row r="30" spans="1:9">
      <c r="B30" s="5" t="s">
        <v>41</v>
      </c>
      <c r="C30" s="6">
        <f>((C28-D28)/C28)</f>
        <v>0.66666666666666663</v>
      </c>
    </row>
    <row r="32" spans="1:9">
      <c r="A32" s="5" t="s">
        <v>54</v>
      </c>
    </row>
    <row r="33" spans="2:8">
      <c r="C33" s="5" t="s">
        <v>17</v>
      </c>
      <c r="D33" s="5" t="s">
        <v>55</v>
      </c>
    </row>
    <row r="34" spans="2:8">
      <c r="B34" t="s">
        <v>56</v>
      </c>
      <c r="C34">
        <v>0</v>
      </c>
      <c r="D34">
        <v>0.63800000000000001</v>
      </c>
      <c r="E34" t="s">
        <v>57</v>
      </c>
      <c r="H34" t="s">
        <v>58</v>
      </c>
    </row>
    <row r="35" spans="2:8">
      <c r="B35" t="s">
        <v>59</v>
      </c>
      <c r="C35">
        <v>0</v>
      </c>
      <c r="D35">
        <v>50</v>
      </c>
      <c r="E35" t="s">
        <v>60</v>
      </c>
      <c r="F35" t="s">
        <v>7</v>
      </c>
      <c r="H35" t="s">
        <v>61</v>
      </c>
    </row>
    <row r="36" spans="2:8">
      <c r="B36" t="s">
        <v>62</v>
      </c>
      <c r="C36">
        <v>0</v>
      </c>
      <c r="D36">
        <v>0</v>
      </c>
      <c r="E36" t="s">
        <v>60</v>
      </c>
      <c r="F36" t="s">
        <v>7</v>
      </c>
    </row>
    <row r="37" spans="2:8">
      <c r="C37" s="7"/>
      <c r="H37" t="s">
        <v>63</v>
      </c>
    </row>
    <row r="38" spans="2:8">
      <c r="B38" t="s">
        <v>64</v>
      </c>
      <c r="C38">
        <v>0</v>
      </c>
      <c r="D38" s="7">
        <v>458</v>
      </c>
      <c r="E38" s="7">
        <v>231</v>
      </c>
      <c r="F38" t="s">
        <v>65</v>
      </c>
    </row>
    <row r="39" spans="2:8">
      <c r="B39" t="s">
        <v>66</v>
      </c>
      <c r="C39">
        <v>0</v>
      </c>
      <c r="D39" s="7">
        <f>(1-D40)*D38</f>
        <v>249.81818181818181</v>
      </c>
      <c r="E39" s="7">
        <v>126</v>
      </c>
      <c r="F39" t="s">
        <v>65</v>
      </c>
      <c r="H39" t="s">
        <v>67</v>
      </c>
    </row>
    <row r="40" spans="2:8">
      <c r="C40" s="5"/>
      <c r="D40" s="2">
        <f>(E38-E39)/E38</f>
        <v>0.45454545454545453</v>
      </c>
      <c r="E40" t="s">
        <v>68</v>
      </c>
    </row>
    <row r="41" spans="2:8">
      <c r="B41" t="s">
        <v>69</v>
      </c>
      <c r="C41">
        <v>0</v>
      </c>
      <c r="D41" s="7">
        <v>30</v>
      </c>
      <c r="E41" t="s">
        <v>70</v>
      </c>
      <c r="H41" t="s">
        <v>71</v>
      </c>
    </row>
    <row r="42" spans="2:8">
      <c r="D42" s="8">
        <f>(E39-D41)/E39</f>
        <v>0.76190476190476186</v>
      </c>
      <c r="E42" s="5" t="s">
        <v>72</v>
      </c>
    </row>
    <row r="44" spans="2:8">
      <c r="B44" t="s">
        <v>73</v>
      </c>
      <c r="C44">
        <v>0</v>
      </c>
      <c r="D44" s="7">
        <f>50*(1-D42)*80</f>
        <v>952.38095238095252</v>
      </c>
      <c r="E44" t="s">
        <v>74</v>
      </c>
      <c r="H44" t="s">
        <v>75</v>
      </c>
    </row>
    <row r="45" spans="2:8">
      <c r="B45" s="5" t="s">
        <v>76</v>
      </c>
      <c r="C45" s="5"/>
      <c r="D45" s="10">
        <f>D44*3750</f>
        <v>3571428.5714285718</v>
      </c>
      <c r="E45" s="5" t="s">
        <v>35</v>
      </c>
      <c r="H45" t="s">
        <v>77</v>
      </c>
    </row>
    <row r="46" spans="2:8">
      <c r="D46" s="7"/>
    </row>
    <row r="48" spans="2:8">
      <c r="B48" t="s">
        <v>78</v>
      </c>
      <c r="D48">
        <v>21900</v>
      </c>
      <c r="E48" t="s">
        <v>79</v>
      </c>
      <c r="H48" t="s">
        <v>75</v>
      </c>
    </row>
    <row r="49" spans="2:8">
      <c r="B49" t="s">
        <v>80</v>
      </c>
      <c r="D49">
        <v>4100</v>
      </c>
      <c r="E49" t="s">
        <v>81</v>
      </c>
      <c r="H49" t="s">
        <v>77</v>
      </c>
    </row>
    <row r="50" spans="2:8">
      <c r="B50" t="s">
        <v>82</v>
      </c>
      <c r="D50" s="7">
        <f>(1-D42)*D49</f>
        <v>976.19047619047637</v>
      </c>
      <c r="E50" t="s">
        <v>81</v>
      </c>
      <c r="F50" t="s">
        <v>83</v>
      </c>
    </row>
    <row r="51" spans="2:8">
      <c r="B51" t="s">
        <v>84</v>
      </c>
      <c r="D51" s="7">
        <f>D50*D48</f>
        <v>21378571.428571433</v>
      </c>
      <c r="E51" t="s">
        <v>35</v>
      </c>
    </row>
    <row r="52" spans="2:8">
      <c r="B52" t="s">
        <v>85</v>
      </c>
      <c r="D52" s="7">
        <f>D51*12</f>
        <v>256542857.14285719</v>
      </c>
      <c r="E52" t="s">
        <v>35</v>
      </c>
    </row>
    <row r="54" spans="2:8">
      <c r="B54" s="5" t="s">
        <v>86</v>
      </c>
    </row>
    <row r="55" spans="2:8">
      <c r="B55" t="s">
        <v>87</v>
      </c>
      <c r="D55">
        <v>5875</v>
      </c>
      <c r="E55" t="s">
        <v>88</v>
      </c>
      <c r="H55" t="s">
        <v>89</v>
      </c>
    </row>
    <row r="56" spans="2:8">
      <c r="B56" t="s">
        <v>90</v>
      </c>
      <c r="H56" t="s">
        <v>89</v>
      </c>
    </row>
    <row r="57" spans="2:8">
      <c r="B57" t="s">
        <v>91</v>
      </c>
      <c r="D57" s="7">
        <f>96000000/(14*7)</f>
        <v>979591.83673469385</v>
      </c>
      <c r="E57" t="s">
        <v>92</v>
      </c>
    </row>
    <row r="58" spans="2:8">
      <c r="B58" t="s">
        <v>93</v>
      </c>
      <c r="D58" s="7">
        <f>D57/D55</f>
        <v>166.73903603994788</v>
      </c>
      <c r="E58" t="s">
        <v>92</v>
      </c>
    </row>
    <row r="59" spans="2:8">
      <c r="B59" s="5" t="s">
        <v>94</v>
      </c>
    </row>
    <row r="60" spans="2:8">
      <c r="B60" t="s">
        <v>95</v>
      </c>
      <c r="D60">
        <v>3750</v>
      </c>
      <c r="E60" t="s">
        <v>88</v>
      </c>
    </row>
    <row r="61" spans="2:8">
      <c r="B61" t="s">
        <v>96</v>
      </c>
      <c r="D61" s="7">
        <f>D58*D60*12</f>
        <v>7503256.6217976548</v>
      </c>
      <c r="E61" t="s">
        <v>92</v>
      </c>
    </row>
    <row r="62" spans="2:8">
      <c r="B62" t="s">
        <v>97</v>
      </c>
      <c r="D62">
        <v>6</v>
      </c>
      <c r="E62" t="s">
        <v>98</v>
      </c>
    </row>
    <row r="63" spans="2:8">
      <c r="B63" t="s">
        <v>99</v>
      </c>
      <c r="D63" s="7">
        <f>(D61/1000)*D62</f>
        <v>45019.539730785924</v>
      </c>
      <c r="E63" t="s">
        <v>35</v>
      </c>
    </row>
    <row r="64" spans="2:8">
      <c r="B64" t="s">
        <v>100</v>
      </c>
      <c r="D64" s="7">
        <f>D63*365</f>
        <v>16432132.001736863</v>
      </c>
      <c r="E64" t="s">
        <v>35</v>
      </c>
    </row>
    <row r="65" spans="2:5">
      <c r="B65" t="s">
        <v>101</v>
      </c>
      <c r="D65" s="7">
        <f>D64*50</f>
        <v>821606600.08684313</v>
      </c>
      <c r="E65" t="s">
        <v>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EC68-CD5B-4143-8073-8927D665FFAB}">
  <dimension ref="A2:E14"/>
  <sheetViews>
    <sheetView workbookViewId="0"/>
    <sheetView tabSelected="1" workbookViewId="1">
      <selection activeCell="A21" sqref="A21"/>
    </sheetView>
  </sheetViews>
  <sheetFormatPr defaultRowHeight="14.45"/>
  <cols>
    <col min="1" max="1" width="26.140625" customWidth="1"/>
    <col min="2" max="2" width="11.5703125" bestFit="1" customWidth="1"/>
    <col min="3" max="3" width="16.140625" bestFit="1" customWidth="1"/>
    <col min="4" max="4" width="10.7109375" bestFit="1" customWidth="1"/>
  </cols>
  <sheetData>
    <row r="2" spans="1:5" ht="15">
      <c r="B2" s="5" t="s">
        <v>17</v>
      </c>
      <c r="C2" s="5" t="s">
        <v>102</v>
      </c>
      <c r="E2" s="14" t="s">
        <v>103</v>
      </c>
    </row>
    <row r="3" spans="1:5">
      <c r="A3" s="5" t="s">
        <v>104</v>
      </c>
    </row>
    <row r="4" spans="1:5">
      <c r="A4" t="s">
        <v>105</v>
      </c>
      <c r="B4">
        <f>Data!C16*12</f>
        <v>11795625</v>
      </c>
      <c r="C4">
        <f>Data!D16*12</f>
        <v>10851975</v>
      </c>
    </row>
    <row r="5" spans="1:5">
      <c r="A5" t="s">
        <v>106</v>
      </c>
      <c r="B5">
        <f>Data!C20</f>
        <v>0</v>
      </c>
      <c r="C5">
        <f>Data!D20*12</f>
        <v>251640</v>
      </c>
      <c r="D5" s="7"/>
    </row>
    <row r="6" spans="1:5">
      <c r="A6" s="5" t="s">
        <v>107</v>
      </c>
    </row>
    <row r="7" spans="1:5">
      <c r="A7" t="s">
        <v>108</v>
      </c>
      <c r="B7">
        <f>0</f>
        <v>0</v>
      </c>
      <c r="C7" s="9">
        <f>Data!D52</f>
        <v>256542857.14285719</v>
      </c>
    </row>
    <row r="8" spans="1:5">
      <c r="A8" s="5" t="s">
        <v>109</v>
      </c>
      <c r="B8">
        <f>B4*0.4</f>
        <v>4718250</v>
      </c>
      <c r="C8" s="9">
        <f>(C7+C5+C4)*0.4</f>
        <v>107058588.85714288</v>
      </c>
    </row>
    <row r="9" spans="1:5">
      <c r="A9" s="5" t="s">
        <v>110</v>
      </c>
      <c r="B9">
        <f>SUM(B4:B5,B7)-B8</f>
        <v>7077375</v>
      </c>
      <c r="C9" s="9">
        <f>SUM(C4:C5,C7)-C8</f>
        <v>160587883.28571433</v>
      </c>
      <c r="D9" s="11"/>
    </row>
    <row r="10" spans="1:5" ht="28.9">
      <c r="A10" s="12" t="s">
        <v>111</v>
      </c>
      <c r="B10">
        <f>0</f>
        <v>0</v>
      </c>
      <c r="C10" s="9">
        <f>6*Data!D64</f>
        <v>98592792.010421172</v>
      </c>
    </row>
    <row r="11" spans="1:5" ht="15">
      <c r="A11" s="12" t="s">
        <v>112</v>
      </c>
      <c r="B11">
        <f>Data!C28*12</f>
        <v>1800000</v>
      </c>
      <c r="C11" s="9">
        <f>Data!D28*12</f>
        <v>600000</v>
      </c>
      <c r="D11" s="9"/>
    </row>
    <row r="12" spans="1:5" ht="28.9">
      <c r="A12" s="12" t="s">
        <v>113</v>
      </c>
      <c r="B12">
        <v>0</v>
      </c>
      <c r="C12" s="9">
        <f>C7</f>
        <v>256542857.14285719</v>
      </c>
    </row>
    <row r="13" spans="1:5">
      <c r="A13" s="5" t="s">
        <v>114</v>
      </c>
      <c r="B13">
        <v>0</v>
      </c>
      <c r="C13">
        <f>-PV(5%, 50, C10-C11) - (C12/(1.05^25))</f>
        <v>1713191289.8401136</v>
      </c>
    </row>
    <row r="14" spans="1:5">
      <c r="A14" s="5" t="s">
        <v>115</v>
      </c>
      <c r="B14" s="9">
        <f>-B9+PV(5%,50,B11)</f>
        <v>-39938040.828994296</v>
      </c>
      <c r="C14" s="13">
        <f>-C9+C13</f>
        <v>1552603406.5543993</v>
      </c>
    </row>
  </sheetData>
  <hyperlinks>
    <hyperlink ref="E2" r:id="rId1" xr:uid="{AFD34D4C-FB7E-449D-B00E-1831D7007F24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rabiyah ch</dc:creator>
  <cp:keywords/>
  <dc:description/>
  <cp:lastModifiedBy/>
  <cp:revision/>
  <dcterms:created xsi:type="dcterms:W3CDTF">2022-12-01T20:34:57Z</dcterms:created>
  <dcterms:modified xsi:type="dcterms:W3CDTF">2024-04-02T15:54:43Z</dcterms:modified>
  <cp:category/>
  <cp:contentStatus/>
</cp:coreProperties>
</file>