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Redes\10 Semestre\03- TCC\AHP\Eficacia\"/>
    </mc:Choice>
  </mc:AlternateContent>
  <bookViews>
    <workbookView xWindow="0" yWindow="0" windowWidth="15360" windowHeight="7635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0" i="1" l="1"/>
  <c r="A39" i="1"/>
  <c r="A38" i="1"/>
  <c r="G34" i="1"/>
  <c r="F34" i="1"/>
  <c r="E34" i="1"/>
  <c r="C34" i="1"/>
  <c r="K42" i="1"/>
  <c r="A42" i="1"/>
  <c r="K41" i="1"/>
  <c r="A41" i="1"/>
  <c r="A37" i="1"/>
  <c r="A36" i="1"/>
  <c r="A35" i="1"/>
  <c r="I34" i="1"/>
  <c r="H34" i="1"/>
  <c r="D34" i="1"/>
  <c r="B34" i="1"/>
  <c r="G3" i="1" l="1"/>
  <c r="F3" i="1"/>
  <c r="E3" i="1"/>
  <c r="D3" i="1" l="1"/>
  <c r="C3" i="1"/>
  <c r="B3" i="1"/>
  <c r="B25" i="1" s="1"/>
  <c r="P13" i="1" l="1"/>
  <c r="I25" i="1"/>
  <c r="H25" i="1"/>
  <c r="G25" i="1"/>
  <c r="F25" i="1"/>
  <c r="E25" i="1"/>
  <c r="D25" i="1"/>
  <c r="C25" i="1"/>
  <c r="L21" i="1"/>
  <c r="O21" i="1"/>
  <c r="O20" i="1"/>
  <c r="O18" i="1"/>
  <c r="O19" i="1"/>
  <c r="O17" i="1"/>
  <c r="O16" i="1"/>
  <c r="O15" i="1"/>
  <c r="O14" i="1"/>
  <c r="L20" i="1"/>
  <c r="V20" i="1" s="1"/>
  <c r="L19" i="1"/>
  <c r="U20" i="1" s="1"/>
  <c r="L18" i="1"/>
  <c r="T20" i="1" s="1"/>
  <c r="L17" i="1"/>
  <c r="S20" i="1" s="1"/>
  <c r="L16" i="1"/>
  <c r="L15" i="1"/>
  <c r="L14" i="1"/>
  <c r="Y19" i="1"/>
  <c r="Y21" i="1"/>
  <c r="Y20" i="1"/>
  <c r="Y18" i="1"/>
  <c r="Y17" i="1"/>
  <c r="Y16" i="1"/>
  <c r="Y15" i="1"/>
  <c r="Y14" i="1"/>
  <c r="Q13" i="1"/>
  <c r="R13" i="1"/>
  <c r="S13" i="1"/>
  <c r="T13" i="1"/>
  <c r="U13" i="1"/>
  <c r="V13" i="1"/>
  <c r="W13" i="1"/>
  <c r="A21" i="1"/>
  <c r="A20" i="1"/>
  <c r="A19" i="1"/>
  <c r="A18" i="1"/>
  <c r="A17" i="1"/>
  <c r="A16" i="1"/>
  <c r="A15" i="1"/>
  <c r="A14" i="1"/>
  <c r="E13" i="1"/>
  <c r="F13" i="1"/>
  <c r="G13" i="1"/>
  <c r="H13" i="1"/>
  <c r="I13" i="1"/>
  <c r="D13" i="1"/>
  <c r="C13" i="1"/>
  <c r="B13" i="1"/>
  <c r="P20" i="1" l="1"/>
  <c r="P16" i="1"/>
  <c r="R20" i="1"/>
  <c r="R16" i="1"/>
  <c r="Q20" i="1"/>
  <c r="Q16" i="1"/>
  <c r="W21" i="1"/>
  <c r="W20" i="1"/>
  <c r="W19" i="1"/>
  <c r="W17" i="1"/>
  <c r="W16" i="1"/>
  <c r="W15" i="1"/>
  <c r="W14" i="1"/>
  <c r="W18" i="1"/>
  <c r="V19" i="1"/>
  <c r="V18" i="1"/>
  <c r="V17" i="1"/>
  <c r="V16" i="1"/>
  <c r="V15" i="1"/>
  <c r="V14" i="1"/>
  <c r="V21" i="1"/>
  <c r="U14" i="1"/>
  <c r="U17" i="1"/>
  <c r="U15" i="1"/>
  <c r="U21" i="1"/>
  <c r="U19" i="1"/>
  <c r="U16" i="1"/>
  <c r="U18" i="1"/>
  <c r="T21" i="1"/>
  <c r="T19" i="1"/>
  <c r="T18" i="1"/>
  <c r="T17" i="1"/>
  <c r="T15" i="1"/>
  <c r="T14" i="1"/>
  <c r="T16" i="1"/>
  <c r="S19" i="1"/>
  <c r="S17" i="1"/>
  <c r="S16" i="1"/>
  <c r="S15" i="1"/>
  <c r="S14" i="1"/>
  <c r="S18" i="1"/>
  <c r="S21" i="1"/>
  <c r="R21" i="1"/>
  <c r="R17" i="1"/>
  <c r="R15" i="1"/>
  <c r="R14" i="1"/>
  <c r="R19" i="1"/>
  <c r="R18" i="1"/>
  <c r="Q19" i="1"/>
  <c r="Q17" i="1"/>
  <c r="Q15" i="1"/>
  <c r="Q21" i="1"/>
  <c r="Q18" i="1"/>
  <c r="Q14" i="1"/>
  <c r="P19" i="1"/>
  <c r="P18" i="1"/>
  <c r="P17" i="1"/>
  <c r="P15" i="1"/>
  <c r="P14" i="1"/>
  <c r="P21" i="1"/>
  <c r="A26" i="1"/>
  <c r="Q31" i="1"/>
  <c r="Q30" i="1"/>
  <c r="Q29" i="1"/>
  <c r="Q28" i="1"/>
  <c r="Q27" i="1"/>
  <c r="Q26" i="1"/>
  <c r="A31" i="1"/>
  <c r="A30" i="1"/>
  <c r="A29" i="1"/>
  <c r="A28" i="1"/>
  <c r="A27" i="1"/>
  <c r="Z17" i="1" l="1"/>
  <c r="E35" i="1" s="1"/>
  <c r="Z19" i="1"/>
  <c r="G35" i="1" s="1"/>
  <c r="Z20" i="1"/>
  <c r="Z14" i="1"/>
  <c r="Z21" i="1"/>
  <c r="Z15" i="1"/>
  <c r="Z16" i="1"/>
  <c r="Z18" i="1"/>
  <c r="F35" i="1" s="1"/>
  <c r="C36" i="1" l="1"/>
  <c r="C35" i="1"/>
  <c r="C40" i="1"/>
  <c r="C37" i="1"/>
  <c r="C39" i="1"/>
  <c r="C38" i="1"/>
  <c r="D36" i="1"/>
  <c r="D35" i="1"/>
  <c r="D37" i="1"/>
  <c r="B39" i="1"/>
  <c r="B37" i="1"/>
  <c r="B35" i="1"/>
  <c r="B40" i="1"/>
  <c r="B38" i="1"/>
  <c r="B36" i="1"/>
  <c r="D29" i="1"/>
  <c r="D40" i="1"/>
  <c r="D39" i="1"/>
  <c r="G27" i="1"/>
  <c r="G39" i="1"/>
  <c r="G38" i="1"/>
  <c r="G40" i="1"/>
  <c r="G36" i="1"/>
  <c r="G37" i="1"/>
  <c r="F31" i="1"/>
  <c r="F37" i="1"/>
  <c r="F40" i="1"/>
  <c r="F38" i="1"/>
  <c r="F39" i="1"/>
  <c r="F36" i="1"/>
  <c r="C31" i="1"/>
  <c r="I31" i="1"/>
  <c r="M42" i="1"/>
  <c r="H28" i="1"/>
  <c r="M41" i="1"/>
  <c r="E31" i="1"/>
  <c r="D38" i="1"/>
  <c r="E39" i="1"/>
  <c r="E37" i="1"/>
  <c r="E38" i="1"/>
  <c r="E36" i="1"/>
  <c r="E40" i="1"/>
  <c r="B28" i="1"/>
  <c r="B31" i="1"/>
  <c r="E27" i="1"/>
  <c r="G28" i="1"/>
  <c r="E29" i="1"/>
  <c r="G30" i="1"/>
  <c r="E30" i="1"/>
  <c r="C26" i="1"/>
  <c r="C27" i="1"/>
  <c r="C30" i="1"/>
  <c r="C28" i="1"/>
  <c r="C29" i="1"/>
  <c r="F27" i="1"/>
  <c r="H26" i="1"/>
  <c r="H30" i="1"/>
  <c r="H29" i="1"/>
  <c r="H31" i="1"/>
  <c r="H27" i="1"/>
  <c r="G29" i="1"/>
  <c r="G31" i="1"/>
  <c r="G26" i="1"/>
  <c r="F26" i="1"/>
  <c r="F30" i="1"/>
  <c r="F29" i="1"/>
  <c r="E26" i="1"/>
  <c r="E28" i="1"/>
  <c r="D26" i="1"/>
  <c r="D30" i="1"/>
  <c r="D27" i="1"/>
  <c r="B26" i="1"/>
  <c r="D31" i="1"/>
  <c r="D28" i="1"/>
  <c r="B30" i="1"/>
  <c r="F28" i="1"/>
  <c r="B27" i="1"/>
  <c r="B29" i="1"/>
  <c r="I28" i="1"/>
  <c r="I26" i="1"/>
  <c r="I29" i="1"/>
  <c r="I27" i="1"/>
  <c r="I30" i="1"/>
  <c r="K39" i="1" l="1"/>
  <c r="M39" i="1" s="1"/>
  <c r="K36" i="1"/>
  <c r="M36" i="1" s="1"/>
  <c r="K35" i="1"/>
  <c r="M35" i="1" s="1"/>
  <c r="K37" i="1"/>
  <c r="M37" i="1" s="1"/>
  <c r="K40" i="1"/>
  <c r="M40" i="1" s="1"/>
  <c r="K38" i="1"/>
  <c r="M38" i="1" s="1"/>
  <c r="K26" i="1"/>
  <c r="K29" i="1"/>
  <c r="K31" i="1"/>
  <c r="K27" i="1"/>
  <c r="K30" i="1"/>
  <c r="K28" i="1"/>
  <c r="O36" i="1" l="1"/>
  <c r="O39" i="1" s="1"/>
  <c r="O42" i="1" s="1"/>
  <c r="O27" i="1"/>
  <c r="O28" i="1"/>
  <c r="O26" i="1"/>
  <c r="N28" i="1"/>
  <c r="N26" i="1"/>
  <c r="O29" i="1"/>
  <c r="N29" i="1"/>
  <c r="N27" i="1"/>
  <c r="O30" i="1"/>
  <c r="N30" i="1"/>
  <c r="R28" i="1" l="1"/>
  <c r="R27" i="1"/>
  <c r="R31" i="1"/>
  <c r="R30" i="1"/>
  <c r="R26" i="1"/>
  <c r="R29" i="1"/>
</calcChain>
</file>

<file path=xl/sharedStrings.xml><?xml version="1.0" encoding="utf-8"?>
<sst xmlns="http://schemas.openxmlformats.org/spreadsheetml/2006/main" count="134" uniqueCount="86">
  <si>
    <t>Ferramenta</t>
  </si>
  <si>
    <t>NVI</t>
  </si>
  <si>
    <t>1) Criar a matriz de comparação pareada.</t>
  </si>
  <si>
    <t>2) Calcular os pesos das métricas.</t>
  </si>
  <si>
    <t>a) Soma dos valores em cada coluna</t>
  </si>
  <si>
    <t>Colona 1</t>
  </si>
  <si>
    <t>Colona 2</t>
  </si>
  <si>
    <t>b) Normalização da matriz:</t>
  </si>
  <si>
    <t>1 = Igualmente importante</t>
  </si>
  <si>
    <t>3 = Moderadamente mais importante</t>
  </si>
  <si>
    <t>5 = Fortemente mais importante</t>
  </si>
  <si>
    <t>7 = Muito fortemente mais importante</t>
  </si>
  <si>
    <t>9 = Extremamente mais importante</t>
  </si>
  <si>
    <t>2, 4, 6, 8 são valores intermediários</t>
  </si>
  <si>
    <t>5 Estrelas</t>
  </si>
  <si>
    <t>4 Estrelas</t>
  </si>
  <si>
    <t>3 Estrelas</t>
  </si>
  <si>
    <t>2 Estrelas</t>
  </si>
  <si>
    <t>1 Estrela</t>
  </si>
  <si>
    <t>c) Cálculo da média de cada linha</t>
  </si>
  <si>
    <t>Soma</t>
  </si>
  <si>
    <t>Colona 3</t>
  </si>
  <si>
    <t>Colona 4</t>
  </si>
  <si>
    <t>Colona 5</t>
  </si>
  <si>
    <t>Colona 6</t>
  </si>
  <si>
    <t>Estrela(S)</t>
  </si>
  <si>
    <t>Colona 7</t>
  </si>
  <si>
    <t>Colona 8</t>
  </si>
  <si>
    <t>4) Classificação de ferramentas em estrelas de 1 a 5</t>
  </si>
  <si>
    <t>Intervalos de classificação</t>
  </si>
  <si>
    <t>Soma Col. 1:</t>
  </si>
  <si>
    <t>Soma Col. 2:</t>
  </si>
  <si>
    <t>Soma Col. 3:</t>
  </si>
  <si>
    <t>Soma Col. 4:</t>
  </si>
  <si>
    <t>Soma Col. 5:</t>
  </si>
  <si>
    <t>Soma Col. 6:</t>
  </si>
  <si>
    <t>Soma Col. 7:</t>
  </si>
  <si>
    <t>Soma Col. 8:</t>
  </si>
  <si>
    <t>Clair</t>
  </si>
  <si>
    <t>Número de Vulnerabilidades Identificadas</t>
  </si>
  <si>
    <t>FP</t>
  </si>
  <si>
    <t>Falsos positivoso</t>
  </si>
  <si>
    <t>TP</t>
  </si>
  <si>
    <t>Verdadeiros Positivos</t>
  </si>
  <si>
    <t>FN</t>
  </si>
  <si>
    <t>Falsos Negativos</t>
  </si>
  <si>
    <t>SD</t>
  </si>
  <si>
    <t>Desvio Padrão</t>
  </si>
  <si>
    <t>Anchore</t>
  </si>
  <si>
    <t>Anchore NoDSA</t>
  </si>
  <si>
    <t>ACU</t>
  </si>
  <si>
    <t>Acurácia</t>
  </si>
  <si>
    <t>Publicação: Escaneadores de vulnerabilidades em contêineres: uma análise (Pub-2)</t>
  </si>
  <si>
    <t>Vetor Peso</t>
  </si>
  <si>
    <t>VP/Peso</t>
  </si>
  <si>
    <t>N. Métricas</t>
  </si>
  <si>
    <t>IR</t>
  </si>
  <si>
    <t>λmax</t>
  </si>
  <si>
    <t>IC</t>
  </si>
  <si>
    <t>RC</t>
  </si>
  <si>
    <t>1)TP e Acurácia são as métricas mais importantes, pois refletem diretamente a capacidade da ferramenta de identificar corretamente as vulnerabilidades. TP é ligeiramente mais importante que a Acurácia, pois se concentra especificamente nas vulnerabilidades identificadas corretamente.</t>
  </si>
  <si>
    <t>2)O Número de Vulnerabilidades Identificadas é a próxima métrica mais importante, pois fornece uma indicação geral do desempenho da ferramenta. No entanto, é menos importante que TP e Acurácia, pois não distingue entre verdadeiros e falsos positivos.</t>
  </si>
  <si>
    <t>3) FN é moderadamente importante, pois representa vulnerabilidades não identificadas, mas é menos crítico que TP e Acurácia.</t>
  </si>
  <si>
    <t>4) FP é menos importante que FN, pois, embora seja indesejável, não é tão crítico quanto perder vulnerabilidades reais.</t>
  </si>
  <si>
    <t>5) SD é a métrica menos importante, pois embora a consistência seja desejável, é menos crítica que a capacidade real de detecção de vulnerabilidades.</t>
  </si>
  <si>
    <t>5 estrelas</t>
  </si>
  <si>
    <t>Pontuação no intervalo superior</t>
  </si>
  <si>
    <t>4 estrelas</t>
  </si>
  <si>
    <t>Pontuação no segundo intervalo mais alto</t>
  </si>
  <si>
    <t>3 estrelas</t>
  </si>
  <si>
    <t>Pontuação no intervalo médio</t>
  </si>
  <si>
    <t>2 estrelas</t>
  </si>
  <si>
    <t>Pontuação no segundo intervalo mais baixo</t>
  </si>
  <si>
    <t>1 estrela</t>
  </si>
  <si>
    <t>Pontuação no intervalo inferior</t>
  </si>
  <si>
    <t>Classificação</t>
  </si>
  <si>
    <t>Resultados dos experimentos por métrica avaliada</t>
  </si>
  <si>
    <t>Escala de prioridades (Saaty)</t>
  </si>
  <si>
    <t>Critérios /  Métricas</t>
  </si>
  <si>
    <t>3) Calculo da pontuação de cada ferramenta.</t>
  </si>
  <si>
    <t>Verificar a consistência.</t>
  </si>
  <si>
    <t>Desvio máximo da matriz</t>
  </si>
  <si>
    <t>Indice Randômico</t>
  </si>
  <si>
    <t>Indice de Consistência</t>
  </si>
  <si>
    <t>Razão de Consistência</t>
  </si>
  <si>
    <t>Justificativa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</si>
</sst>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"/>
    <numFmt numFmtId="165" formatCode="#,##0.0000"/>
    <numFmt numFmtId="166" formatCode="0.000"/>
  </numFmts>
  <fonts count="6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2"/>
      <color theme="1"/>
      <name val="Arial"/>
      <family val="2"/>
    </font>
    <font>
      <sz val="8"/>
      <color rgb="FF000000"/>
      <name val="NimbusRomNo9L-Regu"/>
    </font>
    <font>
      <b/>
      <sz val="11"/>
      <color theme="1"/>
      <name val="Calibri"/>
      <family val="2"/>
      <scheme val="minor"/>
    </font>
    <font>
      <sz val="11"/>
      <color rgb="FF3E3F4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9">
    <xf numFmtId="0" fontId="0" fillId="0" borderId="0" xfId="0"/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49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Border="1"/>
    <xf numFmtId="0" fontId="0" fillId="0" borderId="0" xfId="0" applyBorder="1"/>
    <xf numFmtId="0" fontId="0" fillId="0" borderId="0" xfId="0" applyAlignment="1"/>
    <xf numFmtId="49" fontId="0" fillId="3" borderId="1" xfId="0" applyNumberFormat="1" applyFont="1" applyFill="1" applyBorder="1" applyAlignment="1">
      <alignment horizontal="left" vertical="top" wrapText="1"/>
    </xf>
    <xf numFmtId="0" fontId="0" fillId="2" borderId="6" xfId="0" applyFill="1" applyBorder="1"/>
    <xf numFmtId="0" fontId="0" fillId="0" borderId="1" xfId="0" applyBorder="1"/>
    <xf numFmtId="164" fontId="0" fillId="2" borderId="8" xfId="0" applyNumberFormat="1" applyFill="1" applyBorder="1" applyAlignment="1">
      <alignment horizontal="center"/>
    </xf>
    <xf numFmtId="164" fontId="0" fillId="2" borderId="0" xfId="0" applyNumberFormat="1" applyFill="1" applyBorder="1" applyAlignment="1">
      <alignment horizontal="center"/>
    </xf>
    <xf numFmtId="164" fontId="0" fillId="2" borderId="4" xfId="0" applyNumberFormat="1" applyFill="1" applyBorder="1" applyAlignment="1">
      <alignment horizontal="center"/>
    </xf>
    <xf numFmtId="164" fontId="0" fillId="0" borderId="7" xfId="0" applyNumberFormat="1" applyFill="1" applyBorder="1" applyAlignment="1">
      <alignment horizontal="center"/>
    </xf>
    <xf numFmtId="164" fontId="0" fillId="2" borderId="7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49" fontId="0" fillId="2" borderId="2" xfId="0" applyNumberFormat="1" applyFill="1" applyBorder="1" applyAlignment="1">
      <alignment horizontal="left"/>
    </xf>
    <xf numFmtId="49" fontId="0" fillId="0" borderId="6" xfId="0" applyNumberFormat="1" applyBorder="1" applyAlignment="1">
      <alignment horizontal="left" vertical="center"/>
    </xf>
    <xf numFmtId="49" fontId="0" fillId="0" borderId="6" xfId="0" applyNumberFormat="1" applyFill="1" applyBorder="1" applyAlignment="1">
      <alignment horizontal="left" vertical="center"/>
    </xf>
    <xf numFmtId="49" fontId="0" fillId="2" borderId="6" xfId="0" applyNumberFormat="1" applyFill="1" applyBorder="1" applyAlignment="1">
      <alignment horizontal="left" vertical="center"/>
    </xf>
    <xf numFmtId="49" fontId="0" fillId="0" borderId="3" xfId="0" applyNumberFormat="1" applyBorder="1" applyAlignment="1">
      <alignment horizontal="left"/>
    </xf>
    <xf numFmtId="164" fontId="0" fillId="0" borderId="9" xfId="0" applyNumberFormat="1" applyFill="1" applyBorder="1" applyAlignment="1">
      <alignment horizontal="center"/>
    </xf>
    <xf numFmtId="164" fontId="0" fillId="0" borderId="5" xfId="0" applyNumberFormat="1" applyFill="1" applyBorder="1" applyAlignment="1">
      <alignment horizontal="center"/>
    </xf>
    <xf numFmtId="0" fontId="0" fillId="3" borderId="1" xfId="0" applyNumberFormat="1" applyFont="1" applyFill="1" applyBorder="1" applyAlignment="1">
      <alignment horizontal="left" vertical="top" wrapText="1"/>
    </xf>
    <xf numFmtId="0" fontId="0" fillId="0" borderId="1" xfId="0" applyNumberFormat="1" applyFont="1" applyBorder="1"/>
    <xf numFmtId="0" fontId="0" fillId="0" borderId="1" xfId="0" applyNumberFormat="1" applyBorder="1"/>
    <xf numFmtId="0" fontId="0" fillId="0" borderId="1" xfId="0" applyNumberFormat="1" applyFont="1" applyFill="1" applyBorder="1" applyAlignment="1">
      <alignment horizontal="left" vertical="top" wrapText="1"/>
    </xf>
    <xf numFmtId="0" fontId="0" fillId="0" borderId="1" xfId="0" applyNumberFormat="1" applyFill="1" applyBorder="1"/>
    <xf numFmtId="0" fontId="0" fillId="2" borderId="2" xfId="0" applyFill="1" applyBorder="1"/>
    <xf numFmtId="0" fontId="0" fillId="3" borderId="6" xfId="0" applyFill="1" applyBorder="1"/>
    <xf numFmtId="0" fontId="3" fillId="0" borderId="6" xfId="0" applyFont="1" applyBorder="1" applyAlignment="1">
      <alignment vertical="center" wrapText="1"/>
    </xf>
    <xf numFmtId="0" fontId="0" fillId="2" borderId="6" xfId="0" applyFill="1" applyBorder="1" applyAlignment="1">
      <alignment horizontal="left" vertical="center"/>
    </xf>
    <xf numFmtId="0" fontId="0" fillId="0" borderId="3" xfId="0" applyFill="1" applyBorder="1" applyAlignment="1">
      <alignment horizontal="left" vertical="center"/>
    </xf>
    <xf numFmtId="12" fontId="0" fillId="0" borderId="0" xfId="0" applyNumberFormat="1" applyBorder="1" applyAlignment="1">
      <alignment horizontal="center"/>
    </xf>
    <xf numFmtId="12" fontId="0" fillId="0" borderId="9" xfId="0" applyNumberFormat="1" applyBorder="1" applyAlignment="1">
      <alignment horizontal="center"/>
    </xf>
    <xf numFmtId="12" fontId="0" fillId="2" borderId="8" xfId="0" applyNumberFormat="1" applyFill="1" applyBorder="1" applyAlignment="1">
      <alignment horizontal="center"/>
    </xf>
    <xf numFmtId="12" fontId="0" fillId="2" borderId="0" xfId="0" applyNumberFormat="1" applyFill="1" applyBorder="1" applyAlignment="1">
      <alignment horizontal="center"/>
    </xf>
    <xf numFmtId="0" fontId="0" fillId="0" borderId="12" xfId="0" applyFont="1" applyFill="1" applyBorder="1" applyAlignment="1">
      <alignment horizontal="center"/>
    </xf>
    <xf numFmtId="3" fontId="0" fillId="0" borderId="10" xfId="0" applyNumberFormat="1" applyFill="1" applyBorder="1"/>
    <xf numFmtId="164" fontId="0" fillId="0" borderId="11" xfId="0" applyNumberFormat="1" applyBorder="1"/>
    <xf numFmtId="3" fontId="0" fillId="2" borderId="1" xfId="0" applyNumberFormat="1" applyFill="1" applyBorder="1"/>
    <xf numFmtId="3" fontId="0" fillId="2" borderId="10" xfId="0" applyNumberFormat="1" applyFill="1" applyBorder="1"/>
    <xf numFmtId="0" fontId="0" fillId="0" borderId="10" xfId="0" applyBorder="1"/>
    <xf numFmtId="0" fontId="0" fillId="0" borderId="11" xfId="0" applyBorder="1"/>
    <xf numFmtId="165" fontId="0" fillId="0" borderId="10" xfId="0" applyNumberFormat="1" applyBorder="1"/>
    <xf numFmtId="164" fontId="0" fillId="0" borderId="10" xfId="0" applyNumberFormat="1" applyBorder="1"/>
    <xf numFmtId="165" fontId="0" fillId="2" borderId="1" xfId="0" applyNumberFormat="1" applyFill="1" applyBorder="1"/>
    <xf numFmtId="165" fontId="0" fillId="2" borderId="10" xfId="0" applyNumberFormat="1" applyFill="1" applyBorder="1"/>
    <xf numFmtId="164" fontId="0" fillId="2" borderId="10" xfId="0" applyNumberFormat="1" applyFill="1" applyBorder="1"/>
    <xf numFmtId="49" fontId="0" fillId="0" borderId="1" xfId="0" applyNumberFormat="1" applyBorder="1" applyAlignment="1">
      <alignment vertical="center" wrapText="1"/>
    </xf>
    <xf numFmtId="0" fontId="0" fillId="0" borderId="10" xfId="0" applyFont="1" applyBorder="1"/>
    <xf numFmtId="0" fontId="0" fillId="0" borderId="10" xfId="0" applyFont="1" applyFill="1" applyBorder="1" applyAlignment="1">
      <alignment horizontal="left" vertical="top" wrapText="1"/>
    </xf>
    <xf numFmtId="49" fontId="0" fillId="0" borderId="10" xfId="0" applyNumberFormat="1" applyFill="1" applyBorder="1"/>
    <xf numFmtId="0" fontId="0" fillId="0" borderId="1" xfId="0" applyNumberFormat="1" applyBorder="1" applyAlignment="1">
      <alignment vertical="center" wrapText="1"/>
    </xf>
    <xf numFmtId="0" fontId="0" fillId="0" borderId="10" xfId="0" applyNumberFormat="1" applyBorder="1" applyAlignment="1">
      <alignment vertical="center" wrapText="1"/>
    </xf>
    <xf numFmtId="49" fontId="0" fillId="0" borderId="10" xfId="0" applyNumberFormat="1" applyBorder="1" applyAlignment="1">
      <alignment vertical="center" wrapText="1"/>
    </xf>
    <xf numFmtId="0" fontId="0" fillId="0" borderId="11" xfId="0" applyNumberFormat="1" applyBorder="1" applyAlignment="1">
      <alignment vertical="center" wrapText="1"/>
    </xf>
    <xf numFmtId="164" fontId="0" fillId="0" borderId="7" xfId="0" applyNumberFormat="1" applyBorder="1" applyAlignment="1">
      <alignment horizontal="center"/>
    </xf>
    <xf numFmtId="164" fontId="0" fillId="2" borderId="2" xfId="0" applyNumberFormat="1" applyFill="1" applyBorder="1" applyAlignment="1">
      <alignment horizontal="center"/>
    </xf>
    <xf numFmtId="164" fontId="0" fillId="2" borderId="1" xfId="0" applyNumberFormat="1" applyFill="1" applyBorder="1"/>
    <xf numFmtId="3" fontId="0" fillId="0" borderId="6" xfId="0" applyNumberFormat="1" applyBorder="1"/>
    <xf numFmtId="3" fontId="0" fillId="0" borderId="7" xfId="0" applyNumberFormat="1" applyBorder="1"/>
    <xf numFmtId="3" fontId="0" fillId="2" borderId="2" xfId="0" applyNumberFormat="1" applyFill="1" applyBorder="1"/>
    <xf numFmtId="3" fontId="0" fillId="2" borderId="4" xfId="0" applyNumberFormat="1" applyFill="1" applyBorder="1"/>
    <xf numFmtId="3" fontId="0" fillId="2" borderId="6" xfId="0" applyNumberFormat="1" applyFill="1" applyBorder="1"/>
    <xf numFmtId="3" fontId="0" fillId="2" borderId="7" xfId="0" applyNumberFormat="1" applyFill="1" applyBorder="1"/>
    <xf numFmtId="3" fontId="0" fillId="2" borderId="3" xfId="0" applyNumberFormat="1" applyFill="1" applyBorder="1"/>
    <xf numFmtId="3" fontId="0" fillId="2" borderId="5" xfId="0" applyNumberFormat="1" applyFill="1" applyBorder="1"/>
    <xf numFmtId="0" fontId="4" fillId="0" borderId="0" xfId="0" applyFont="1"/>
    <xf numFmtId="0" fontId="4" fillId="0" borderId="0" xfId="0" applyFont="1" applyAlignment="1"/>
    <xf numFmtId="0" fontId="0" fillId="0" borderId="2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6" xfId="0" applyBorder="1" applyAlignment="1">
      <alignment horizontal="center"/>
    </xf>
    <xf numFmtId="49" fontId="0" fillId="0" borderId="12" xfId="0" applyNumberFormat="1" applyBorder="1" applyAlignment="1">
      <alignment horizontal="center"/>
    </xf>
    <xf numFmtId="0" fontId="0" fillId="0" borderId="12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0" xfId="0" applyNumberFormat="1" applyFont="1" applyFill="1" applyBorder="1" applyAlignment="1">
      <alignment horizontal="left" vertical="top" wrapText="1"/>
    </xf>
    <xf numFmtId="49" fontId="0" fillId="0" borderId="2" xfId="0" applyNumberFormat="1" applyBorder="1" applyAlignment="1">
      <alignment horizontal="left" vertical="center" wrapText="1"/>
    </xf>
    <xf numFmtId="0" fontId="0" fillId="0" borderId="6" xfId="0" applyFont="1" applyBorder="1" applyAlignment="1">
      <alignment horizontal="left"/>
    </xf>
    <xf numFmtId="0" fontId="0" fillId="0" borderId="6" xfId="0" applyFont="1" applyFill="1" applyBorder="1" applyAlignment="1">
      <alignment horizontal="left" vertical="top" wrapText="1"/>
    </xf>
    <xf numFmtId="0" fontId="0" fillId="0" borderId="6" xfId="0" applyNumberFormat="1" applyFont="1" applyFill="1" applyBorder="1" applyAlignment="1">
      <alignment horizontal="left" vertical="top" wrapText="1"/>
    </xf>
    <xf numFmtId="49" fontId="0" fillId="0" borderId="6" xfId="0" applyNumberFormat="1" applyFill="1" applyBorder="1" applyAlignment="1">
      <alignment horizontal="left"/>
    </xf>
    <xf numFmtId="49" fontId="0" fillId="0" borderId="1" xfId="0" applyNumberFormat="1" applyBorder="1" applyAlignment="1">
      <alignment horizontal="center"/>
    </xf>
    <xf numFmtId="0" fontId="0" fillId="0" borderId="6" xfId="0" applyNumberFormat="1" applyFill="1" applyBorder="1" applyAlignment="1">
      <alignment horizontal="center"/>
    </xf>
    <xf numFmtId="0" fontId="0" fillId="0" borderId="3" xfId="0" applyNumberFormat="1" applyFill="1" applyBorder="1" applyAlignment="1">
      <alignment horizontal="center"/>
    </xf>
    <xf numFmtId="0" fontId="0" fillId="2" borderId="6" xfId="0" applyNumberFormat="1" applyFill="1" applyBorder="1" applyAlignment="1">
      <alignment horizontal="center"/>
    </xf>
    <xf numFmtId="12" fontId="0" fillId="2" borderId="4" xfId="0" applyNumberFormat="1" applyFill="1" applyBorder="1" applyAlignment="1">
      <alignment horizontal="center"/>
    </xf>
    <xf numFmtId="12" fontId="0" fillId="0" borderId="7" xfId="0" applyNumberFormat="1" applyBorder="1" applyAlignment="1">
      <alignment horizontal="center"/>
    </xf>
    <xf numFmtId="12" fontId="0" fillId="2" borderId="7" xfId="0" applyNumberFormat="1" applyFill="1" applyBorder="1" applyAlignment="1">
      <alignment horizontal="center"/>
    </xf>
    <xf numFmtId="12" fontId="0" fillId="0" borderId="5" xfId="0" applyNumberFormat="1" applyBorder="1" applyAlignment="1">
      <alignment horizontal="center"/>
    </xf>
    <xf numFmtId="12" fontId="0" fillId="2" borderId="0" xfId="0" applyNumberFormat="1" applyFill="1" applyAlignment="1">
      <alignment horizontal="center"/>
    </xf>
    <xf numFmtId="164" fontId="0" fillId="0" borderId="6" xfId="0" applyNumberFormat="1" applyFill="1" applyBorder="1" applyAlignment="1">
      <alignment horizontal="center"/>
    </xf>
    <xf numFmtId="164" fontId="0" fillId="2" borderId="6" xfId="0" applyNumberFormat="1" applyFill="1" applyBorder="1" applyAlignment="1">
      <alignment horizontal="center"/>
    </xf>
    <xf numFmtId="0" fontId="0" fillId="3" borderId="1" xfId="0" applyNumberFormat="1" applyFont="1" applyFill="1" applyBorder="1" applyAlignment="1">
      <alignment horizontal="center" vertical="top" wrapText="1"/>
    </xf>
    <xf numFmtId="0" fontId="0" fillId="0" borderId="8" xfId="0" applyNumberFormat="1" applyBorder="1" applyAlignment="1">
      <alignment horizontal="center"/>
    </xf>
    <xf numFmtId="0" fontId="0" fillId="0" borderId="2" xfId="0" applyNumberFormat="1" applyFon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0" borderId="4" xfId="0" applyNumberFormat="1" applyFont="1" applyFill="1" applyBorder="1" applyAlignment="1">
      <alignment horizontal="center" vertical="top" wrapText="1"/>
    </xf>
    <xf numFmtId="0" fontId="0" fillId="3" borderId="2" xfId="0" applyNumberFormat="1" applyFont="1" applyFill="1" applyBorder="1" applyAlignment="1">
      <alignment horizontal="center" vertical="top" wrapText="1"/>
    </xf>
    <xf numFmtId="0" fontId="0" fillId="0" borderId="1" xfId="0" applyNumberFormat="1" applyFill="1" applyBorder="1" applyAlignment="1">
      <alignment horizontal="center"/>
    </xf>
    <xf numFmtId="165" fontId="0" fillId="2" borderId="2" xfId="0" applyNumberFormat="1" applyFill="1" applyBorder="1" applyAlignment="1">
      <alignment horizontal="center" vertical="center"/>
    </xf>
    <xf numFmtId="165" fontId="0" fillId="2" borderId="8" xfId="0" applyNumberFormat="1" applyFill="1" applyBorder="1"/>
    <xf numFmtId="165" fontId="0" fillId="2" borderId="8" xfId="0" applyNumberFormat="1" applyFill="1" applyBorder="1" applyAlignment="1">
      <alignment horizontal="center"/>
    </xf>
    <xf numFmtId="165" fontId="0" fillId="2" borderId="8" xfId="0" applyNumberFormat="1" applyFill="1" applyBorder="1" applyAlignment="1">
      <alignment horizontal="center" vertical="center"/>
    </xf>
    <xf numFmtId="165" fontId="0" fillId="2" borderId="4" xfId="0" applyNumberFormat="1" applyFill="1" applyBorder="1" applyAlignment="1">
      <alignment horizontal="center"/>
    </xf>
    <xf numFmtId="165" fontId="0" fillId="0" borderId="6" xfId="0" applyNumberFormat="1" applyFill="1" applyBorder="1" applyAlignment="1">
      <alignment horizontal="center" vertical="center"/>
    </xf>
    <xf numFmtId="165" fontId="0" fillId="0" borderId="0" xfId="0" applyNumberFormat="1" applyFill="1" applyBorder="1"/>
    <xf numFmtId="165" fontId="0" fillId="0" borderId="0" xfId="0" applyNumberFormat="1" applyFill="1" applyBorder="1" applyAlignment="1">
      <alignment horizontal="center"/>
    </xf>
    <xf numFmtId="165" fontId="0" fillId="0" borderId="0" xfId="0" applyNumberFormat="1" applyFill="1" applyBorder="1" applyAlignment="1">
      <alignment horizontal="center" vertical="center"/>
    </xf>
    <xf numFmtId="165" fontId="0" fillId="0" borderId="7" xfId="0" applyNumberFormat="1" applyFill="1" applyBorder="1" applyAlignment="1">
      <alignment horizontal="center"/>
    </xf>
    <xf numFmtId="165" fontId="0" fillId="2" borderId="6" xfId="0" applyNumberFormat="1" applyFill="1" applyBorder="1" applyAlignment="1">
      <alignment horizontal="center" vertical="center"/>
    </xf>
    <xf numFmtId="165" fontId="0" fillId="2" borderId="0" xfId="0" applyNumberFormat="1" applyFill="1" applyBorder="1"/>
    <xf numFmtId="165" fontId="0" fillId="2" borderId="0" xfId="0" applyNumberFormat="1" applyFill="1" applyBorder="1" applyAlignment="1">
      <alignment horizontal="center"/>
    </xf>
    <xf numFmtId="165" fontId="0" fillId="2" borderId="0" xfId="0" applyNumberFormat="1" applyFill="1" applyBorder="1" applyAlignment="1">
      <alignment horizontal="center" vertical="center"/>
    </xf>
    <xf numFmtId="165" fontId="0" fillId="2" borderId="7" xfId="0" applyNumberFormat="1" applyFill="1" applyBorder="1" applyAlignment="1">
      <alignment horizontal="center"/>
    </xf>
    <xf numFmtId="165" fontId="0" fillId="0" borderId="3" xfId="0" applyNumberFormat="1" applyFill="1" applyBorder="1" applyAlignment="1">
      <alignment horizontal="center" vertical="center"/>
    </xf>
    <xf numFmtId="165" fontId="0" fillId="0" borderId="9" xfId="0" applyNumberFormat="1" applyFill="1" applyBorder="1"/>
    <xf numFmtId="165" fontId="0" fillId="0" borderId="9" xfId="0" applyNumberFormat="1" applyFill="1" applyBorder="1" applyAlignment="1">
      <alignment horizontal="center"/>
    </xf>
    <xf numFmtId="165" fontId="0" fillId="0" borderId="9" xfId="0" applyNumberFormat="1" applyFill="1" applyBorder="1" applyAlignment="1">
      <alignment horizontal="center" vertical="center"/>
    </xf>
    <xf numFmtId="165" fontId="0" fillId="0" borderId="5" xfId="0" applyNumberFormat="1" applyFill="1" applyBorder="1" applyAlignment="1">
      <alignment horizontal="center"/>
    </xf>
    <xf numFmtId="0" fontId="0" fillId="0" borderId="3" xfId="0" applyBorder="1" applyAlignment="1">
      <alignment horizontal="center"/>
    </xf>
    <xf numFmtId="1" fontId="0" fillId="0" borderId="11" xfId="0" applyNumberFormat="1" applyBorder="1"/>
    <xf numFmtId="49" fontId="5" fillId="2" borderId="6" xfId="0" applyNumberFormat="1" applyFont="1" applyFill="1" applyBorder="1" applyAlignment="1">
      <alignment horizontal="left" vertical="center"/>
    </xf>
    <xf numFmtId="166" fontId="0" fillId="2" borderId="2" xfId="0" applyNumberFormat="1" applyFont="1" applyFill="1" applyBorder="1" applyAlignment="1">
      <alignment horizontal="center" vertical="center"/>
    </xf>
    <xf numFmtId="166" fontId="0" fillId="2" borderId="8" xfId="0" applyNumberFormat="1" applyFill="1" applyBorder="1" applyAlignment="1">
      <alignment horizontal="center"/>
    </xf>
    <xf numFmtId="166" fontId="0" fillId="2" borderId="8" xfId="0" applyNumberFormat="1" applyFont="1" applyFill="1" applyBorder="1" applyAlignment="1">
      <alignment horizontal="center"/>
    </xf>
    <xf numFmtId="166" fontId="0" fillId="2" borderId="4" xfId="0" applyNumberFormat="1" applyFill="1" applyBorder="1" applyAlignment="1">
      <alignment horizontal="center"/>
    </xf>
    <xf numFmtId="166" fontId="0" fillId="3" borderId="6" xfId="0" applyNumberFormat="1" applyFont="1" applyFill="1" applyBorder="1" applyAlignment="1">
      <alignment horizontal="center" vertical="center"/>
    </xf>
    <xf numFmtId="166" fontId="0" fillId="0" borderId="0" xfId="0" applyNumberFormat="1" applyBorder="1" applyAlignment="1">
      <alignment horizontal="center"/>
    </xf>
    <xf numFmtId="166" fontId="0" fillId="3" borderId="0" xfId="0" applyNumberFormat="1" applyFont="1" applyFill="1" applyBorder="1" applyAlignment="1">
      <alignment horizontal="center" vertical="center"/>
    </xf>
    <xf numFmtId="166" fontId="0" fillId="0" borderId="0" xfId="0" applyNumberFormat="1" applyFont="1" applyFill="1" applyBorder="1" applyAlignment="1">
      <alignment horizontal="center"/>
    </xf>
    <xf numFmtId="166" fontId="0" fillId="0" borderId="0" xfId="0" applyNumberFormat="1" applyFont="1" applyBorder="1" applyAlignment="1">
      <alignment horizontal="center"/>
    </xf>
    <xf numFmtId="166" fontId="0" fillId="0" borderId="7" xfId="0" applyNumberFormat="1" applyBorder="1" applyAlignment="1">
      <alignment horizontal="center"/>
    </xf>
    <xf numFmtId="166" fontId="0" fillId="2" borderId="6" xfId="0" applyNumberFormat="1" applyFont="1" applyFill="1" applyBorder="1" applyAlignment="1">
      <alignment horizontal="center" vertical="center"/>
    </xf>
    <xf numFmtId="166" fontId="0" fillId="2" borderId="0" xfId="0" applyNumberFormat="1" applyFill="1" applyBorder="1" applyAlignment="1">
      <alignment horizontal="center"/>
    </xf>
    <xf numFmtId="166" fontId="0" fillId="2" borderId="0" xfId="0" applyNumberFormat="1" applyFont="1" applyFill="1" applyBorder="1" applyAlignment="1">
      <alignment horizontal="center" vertical="center"/>
    </xf>
    <xf numFmtId="166" fontId="0" fillId="2" borderId="0" xfId="0" applyNumberFormat="1" applyFont="1" applyFill="1" applyBorder="1" applyAlignment="1">
      <alignment horizontal="center"/>
    </xf>
    <xf numFmtId="166" fontId="0" fillId="2" borderId="7" xfId="0" applyNumberFormat="1" applyFill="1" applyBorder="1" applyAlignment="1">
      <alignment horizontal="center"/>
    </xf>
    <xf numFmtId="166" fontId="0" fillId="0" borderId="6" xfId="0" applyNumberFormat="1" applyFill="1" applyBorder="1" applyAlignment="1">
      <alignment horizontal="center" vertical="center"/>
    </xf>
    <xf numFmtId="166" fontId="0" fillId="0" borderId="0" xfId="0" applyNumberFormat="1" applyFill="1" applyBorder="1" applyAlignment="1">
      <alignment horizontal="center"/>
    </xf>
    <xf numFmtId="166" fontId="0" fillId="3" borderId="0" xfId="0" applyNumberFormat="1" applyFill="1" applyBorder="1" applyAlignment="1">
      <alignment horizontal="center"/>
    </xf>
    <xf numFmtId="166" fontId="0" fillId="3" borderId="7" xfId="0" applyNumberFormat="1" applyFill="1" applyBorder="1" applyAlignment="1">
      <alignment horizontal="center"/>
    </xf>
    <xf numFmtId="166" fontId="0" fillId="2" borderId="6" xfId="0" applyNumberFormat="1" applyFill="1" applyBorder="1" applyAlignment="1">
      <alignment horizontal="center" vertical="center"/>
    </xf>
    <xf numFmtId="166" fontId="0" fillId="0" borderId="3" xfId="0" applyNumberFormat="1" applyFill="1" applyBorder="1" applyAlignment="1">
      <alignment horizontal="center" vertical="center"/>
    </xf>
    <xf numFmtId="166" fontId="0" fillId="0" borderId="9" xfId="0" applyNumberFormat="1" applyFill="1" applyBorder="1" applyAlignment="1">
      <alignment horizontal="center"/>
    </xf>
    <xf numFmtId="166" fontId="0" fillId="0" borderId="9" xfId="0" applyNumberFormat="1" applyBorder="1" applyAlignment="1">
      <alignment horizontal="center"/>
    </xf>
    <xf numFmtId="166" fontId="2" fillId="0" borderId="9" xfId="0" applyNumberFormat="1" applyFont="1" applyFill="1" applyBorder="1" applyAlignment="1">
      <alignment horizontal="center"/>
    </xf>
    <xf numFmtId="166" fontId="0" fillId="0" borderId="5" xfId="0" applyNumberFormat="1" applyBorder="1" applyAlignment="1">
      <alignment horizontal="center"/>
    </xf>
    <xf numFmtId="0" fontId="0" fillId="0" borderId="1" xfId="0" applyNumberFormat="1" applyFont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12" xfId="0" applyBorder="1"/>
    <xf numFmtId="0" fontId="0" fillId="0" borderId="2" xfId="0" applyNumberFormat="1" applyBorder="1" applyAlignment="1">
      <alignment vertical="center" wrapText="1"/>
    </xf>
    <xf numFmtId="0" fontId="0" fillId="2" borderId="12" xfId="0" applyFill="1" applyBorder="1"/>
    <xf numFmtId="0" fontId="0" fillId="2" borderId="1" xfId="0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0" fontId="0" fillId="0" borderId="6" xfId="0" applyNumberFormat="1" applyBorder="1" applyAlignment="1">
      <alignment vertical="center" wrapText="1"/>
    </xf>
    <xf numFmtId="164" fontId="0" fillId="0" borderId="0" xfId="0" applyNumberFormat="1" applyBorder="1" applyAlignment="1">
      <alignment horizontal="center"/>
    </xf>
    <xf numFmtId="165" fontId="0" fillId="0" borderId="10" xfId="0" applyNumberFormat="1" applyFill="1" applyBorder="1"/>
    <xf numFmtId="164" fontId="0" fillId="0" borderId="12" xfId="0" applyNumberFormat="1" applyBorder="1"/>
    <xf numFmtId="0" fontId="0" fillId="0" borderId="10" xfId="0" applyBorder="1" applyAlignment="1">
      <alignment horizontal="center"/>
    </xf>
    <xf numFmtId="2" fontId="0" fillId="0" borderId="10" xfId="0" applyNumberFormat="1" applyBorder="1" applyAlignment="1">
      <alignment horizontal="center"/>
    </xf>
    <xf numFmtId="0" fontId="0" fillId="2" borderId="10" xfId="0" applyFill="1" applyBorder="1" applyAlignment="1">
      <alignment horizontal="center"/>
    </xf>
    <xf numFmtId="2" fontId="0" fillId="2" borderId="10" xfId="0" applyNumberFormat="1" applyFill="1" applyBorder="1" applyAlignment="1">
      <alignment horizontal="center"/>
    </xf>
    <xf numFmtId="0" fontId="0" fillId="0" borderId="3" xfId="0" applyNumberFormat="1" applyBorder="1" applyAlignment="1">
      <alignment vertical="center" wrapText="1"/>
    </xf>
    <xf numFmtId="164" fontId="0" fillId="0" borderId="3" xfId="0" applyNumberForma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5" fontId="0" fillId="0" borderId="11" xfId="0" applyNumberFormat="1" applyFill="1" applyBorder="1"/>
    <xf numFmtId="0" fontId="0" fillId="0" borderId="11" xfId="0" applyBorder="1" applyAlignment="1">
      <alignment horizontal="center"/>
    </xf>
    <xf numFmtId="2" fontId="0" fillId="0" borderId="11" xfId="0" applyNumberFormat="1" applyBorder="1" applyAlignment="1">
      <alignment horizontal="center"/>
    </xf>
    <xf numFmtId="0" fontId="0" fillId="4" borderId="0" xfId="0" applyFill="1"/>
    <xf numFmtId="0" fontId="0" fillId="5" borderId="0" xfId="0" applyFill="1"/>
    <xf numFmtId="12" fontId="0" fillId="0" borderId="6" xfId="0" applyNumberFormat="1" applyBorder="1" applyAlignment="1">
      <alignment horizontal="center"/>
    </xf>
    <xf numFmtId="0" fontId="0" fillId="2" borderId="1" xfId="0" applyFill="1" applyBorder="1"/>
    <xf numFmtId="12" fontId="0" fillId="2" borderId="2" xfId="0" applyNumberFormat="1" applyFill="1" applyBorder="1" applyAlignment="1">
      <alignment horizontal="center"/>
    </xf>
    <xf numFmtId="0" fontId="0" fillId="2" borderId="10" xfId="0" applyFill="1" applyBorder="1"/>
    <xf numFmtId="12" fontId="0" fillId="2" borderId="6" xfId="0" applyNumberFormat="1" applyFill="1" applyBorder="1" applyAlignment="1">
      <alignment horizontal="center"/>
    </xf>
    <xf numFmtId="0" fontId="0" fillId="2" borderId="11" xfId="0" applyFill="1" applyBorder="1"/>
    <xf numFmtId="12" fontId="0" fillId="2" borderId="3" xfId="0" applyNumberFormat="1" applyFill="1" applyBorder="1" applyAlignment="1">
      <alignment horizontal="center"/>
    </xf>
    <xf numFmtId="12" fontId="0" fillId="2" borderId="5" xfId="0" applyNumberFormat="1" applyFill="1" applyBorder="1" applyAlignment="1">
      <alignment horizontal="center"/>
    </xf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5" borderId="1" xfId="0" applyFill="1" applyBorder="1"/>
    <xf numFmtId="0" fontId="0" fillId="4" borderId="10" xfId="0" applyFill="1" applyBorder="1"/>
    <xf numFmtId="0" fontId="0" fillId="6" borderId="10" xfId="0" applyFill="1" applyBorder="1"/>
    <xf numFmtId="0" fontId="0" fillId="7" borderId="10" xfId="0" applyFill="1" applyBorder="1"/>
    <xf numFmtId="0" fontId="0" fillId="8" borderId="11" xfId="0" applyFill="1" applyBorder="1"/>
    <xf numFmtId="12" fontId="0" fillId="0" borderId="0" xfId="0" applyNumberFormat="1" applyFill="1" applyBorder="1" applyAlignment="1">
      <alignment horizontal="center"/>
    </xf>
    <xf numFmtId="0" fontId="0" fillId="0" borderId="0" xfId="0" applyFont="1"/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/>
    <xf numFmtId="0" fontId="0" fillId="0" borderId="13" xfId="0" applyFont="1" applyBorder="1" applyAlignment="1">
      <alignment horizontal="center" vertical="center"/>
    </xf>
  </cellXfs>
  <cellStyles count="1">
    <cellStyle name="Normal" xfId="0" builtinId="0"/>
  </cellStyles>
  <dxfs count="36">
    <dxf>
      <numFmt numFmtId="167" formatCode="\ "/>
    </dxf>
    <dxf>
      <numFmt numFmtId="167" formatCode="\ "/>
    </dxf>
    <dxf>
      <numFmt numFmtId="167" formatCode="\ "/>
    </dxf>
    <dxf>
      <numFmt numFmtId="167" formatCode="\ "/>
    </dxf>
    <dxf>
      <numFmt numFmtId="167" formatCode="\ "/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numFmt numFmtId="167" formatCode="\ "/>
    </dxf>
    <dxf>
      <numFmt numFmtId="167" formatCode="\ "/>
    </dxf>
    <dxf>
      <numFmt numFmtId="167" formatCode="\ "/>
    </dxf>
    <dxf>
      <numFmt numFmtId="167" formatCode="\ "/>
    </dxf>
    <dxf>
      <numFmt numFmtId="167" formatCode="\ "/>
    </dxf>
    <dxf>
      <numFmt numFmtId="167" formatCode="\ "/>
    </dxf>
    <dxf>
      <numFmt numFmtId="167" formatCode="\ "/>
    </dxf>
    <dxf>
      <numFmt numFmtId="167" formatCode="\ "/>
    </dxf>
    <dxf>
      <numFmt numFmtId="167" formatCode="\ "/>
    </dxf>
    <dxf>
      <numFmt numFmtId="167" formatCode="\ "/>
    </dxf>
    <dxf>
      <numFmt numFmtId="167" formatCode="\ "/>
    </dxf>
    <dxf>
      <numFmt numFmtId="167" formatCode="\ "/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numFmt numFmtId="167" formatCode="\ "/>
    </dxf>
    <dxf>
      <numFmt numFmtId="167" formatCode="\ "/>
    </dxf>
    <dxf>
      <numFmt numFmtId="167" formatCode="\ "/>
    </dxf>
    <dxf>
      <numFmt numFmtId="167" formatCode="\ "/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5"/>
  <sheetViews>
    <sheetView tabSelected="1" topLeftCell="A34" workbookViewId="0">
      <selection activeCell="M52" sqref="M52"/>
    </sheetView>
  </sheetViews>
  <sheetFormatPr defaultRowHeight="15"/>
  <cols>
    <col min="1" max="1" width="14.7109375" customWidth="1"/>
    <col min="2" max="2" width="10.42578125" customWidth="1"/>
    <col min="3" max="3" width="8.42578125" customWidth="1"/>
    <col min="4" max="4" width="9.7109375" customWidth="1"/>
    <col min="5" max="5" width="9.28515625" customWidth="1"/>
    <col min="6" max="6" width="8.42578125" customWidth="1"/>
    <col min="7" max="7" width="10.140625" bestFit="1" customWidth="1"/>
    <col min="11" max="11" width="11.42578125" customWidth="1"/>
    <col min="15" max="15" width="11.5703125" customWidth="1"/>
    <col min="17" max="17" width="14.7109375" customWidth="1"/>
    <col min="23" max="23" width="10.5703125" bestFit="1" customWidth="1"/>
  </cols>
  <sheetData>
    <row r="1" spans="1:26">
      <c r="A1" s="197" t="s">
        <v>52</v>
      </c>
      <c r="B1" s="197"/>
      <c r="C1" s="197"/>
      <c r="D1" s="197"/>
      <c r="E1" s="197"/>
      <c r="F1" s="197"/>
      <c r="G1" s="197"/>
      <c r="H1" s="197"/>
      <c r="I1" s="197"/>
    </row>
    <row r="2" spans="1:26">
      <c r="B2" s="193" t="s">
        <v>76</v>
      </c>
      <c r="C2" s="194"/>
      <c r="D2" s="194"/>
      <c r="E2" s="194"/>
      <c r="F2" s="194"/>
      <c r="G2" s="194"/>
      <c r="H2" s="194"/>
      <c r="I2" s="195"/>
      <c r="K2" s="69" t="s">
        <v>77</v>
      </c>
      <c r="L2" s="69"/>
      <c r="O2" s="69" t="s">
        <v>29</v>
      </c>
      <c r="P2" s="69"/>
      <c r="Q2" s="69"/>
      <c r="U2" s="69" t="s">
        <v>78</v>
      </c>
      <c r="V2" s="69"/>
    </row>
    <row r="3" spans="1:26" ht="15.75" customHeight="1">
      <c r="A3" s="1" t="s">
        <v>0</v>
      </c>
      <c r="B3" s="96" t="str">
        <f>U3</f>
        <v>NVI</v>
      </c>
      <c r="C3" s="97" t="str">
        <f>U4</f>
        <v>FP</v>
      </c>
      <c r="D3" s="98" t="str">
        <f>U5</f>
        <v>TP</v>
      </c>
      <c r="E3" s="99" t="str">
        <f>U6</f>
        <v>FN</v>
      </c>
      <c r="F3" s="100" t="str">
        <f>U7</f>
        <v>SD</v>
      </c>
      <c r="G3" s="101" t="str">
        <f>U8</f>
        <v>ACU</v>
      </c>
      <c r="H3" s="102"/>
      <c r="I3" s="99"/>
      <c r="K3" t="s">
        <v>8</v>
      </c>
      <c r="O3" s="174" t="s">
        <v>65</v>
      </c>
      <c r="P3" t="s">
        <v>66</v>
      </c>
      <c r="U3" s="6" t="s">
        <v>1</v>
      </c>
      <c r="V3" s="5" t="s">
        <v>39</v>
      </c>
      <c r="W3" s="5"/>
      <c r="X3" s="5"/>
      <c r="Y3" s="5"/>
    </row>
    <row r="4" spans="1:26">
      <c r="A4" s="29" t="s">
        <v>48</v>
      </c>
      <c r="B4" s="126">
        <v>148</v>
      </c>
      <c r="C4" s="127">
        <v>4</v>
      </c>
      <c r="D4" s="128">
        <v>4</v>
      </c>
      <c r="E4" s="127">
        <v>144</v>
      </c>
      <c r="F4" s="128">
        <v>0.11749999999999999</v>
      </c>
      <c r="G4" s="128">
        <v>0.874</v>
      </c>
      <c r="H4" s="127"/>
      <c r="I4" s="129"/>
      <c r="K4" t="s">
        <v>9</v>
      </c>
      <c r="O4" s="173" t="s">
        <v>67</v>
      </c>
      <c r="P4" t="s">
        <v>68</v>
      </c>
      <c r="U4" t="s">
        <v>40</v>
      </c>
      <c r="V4" s="5" t="s">
        <v>41</v>
      </c>
      <c r="W4" s="5"/>
      <c r="X4" s="5"/>
      <c r="Y4" s="5"/>
    </row>
    <row r="5" spans="1:26">
      <c r="A5" s="30" t="s">
        <v>38</v>
      </c>
      <c r="B5" s="130">
        <v>235</v>
      </c>
      <c r="C5" s="131">
        <v>1</v>
      </c>
      <c r="D5" s="132">
        <v>1</v>
      </c>
      <c r="E5" s="131">
        <v>234</v>
      </c>
      <c r="F5" s="133">
        <v>2.24E-2</v>
      </c>
      <c r="G5" s="134">
        <v>0.98599999999999999</v>
      </c>
      <c r="H5" s="131"/>
      <c r="I5" s="135"/>
      <c r="K5" t="s">
        <v>10</v>
      </c>
      <c r="O5" s="183" t="s">
        <v>69</v>
      </c>
      <c r="P5" t="s">
        <v>70</v>
      </c>
      <c r="U5" t="s">
        <v>42</v>
      </c>
      <c r="V5" s="5" t="s">
        <v>43</v>
      </c>
      <c r="X5" s="5"/>
      <c r="Y5" s="5"/>
    </row>
    <row r="6" spans="1:26">
      <c r="A6" s="9" t="s">
        <v>49</v>
      </c>
      <c r="B6" s="136">
        <v>236</v>
      </c>
      <c r="C6" s="137">
        <v>4</v>
      </c>
      <c r="D6" s="138">
        <v>4</v>
      </c>
      <c r="E6" s="137">
        <v>232</v>
      </c>
      <c r="F6" s="139">
        <v>7.0499999999999993E-2</v>
      </c>
      <c r="G6" s="139">
        <v>0.95799999999999996</v>
      </c>
      <c r="H6" s="137"/>
      <c r="I6" s="140"/>
      <c r="K6" t="s">
        <v>11</v>
      </c>
      <c r="O6" s="184" t="s">
        <v>71</v>
      </c>
      <c r="P6" t="s">
        <v>72</v>
      </c>
      <c r="U6" t="s">
        <v>44</v>
      </c>
      <c r="V6" s="5" t="s">
        <v>45</v>
      </c>
      <c r="W6" s="5"/>
      <c r="X6" s="5"/>
      <c r="Y6" s="5"/>
    </row>
    <row r="7" spans="1:26">
      <c r="A7" s="31"/>
      <c r="B7" s="141"/>
      <c r="C7" s="131"/>
      <c r="D7" s="142"/>
      <c r="E7" s="131"/>
      <c r="F7" s="133"/>
      <c r="G7" s="133"/>
      <c r="H7" s="143"/>
      <c r="I7" s="144"/>
      <c r="K7" t="s">
        <v>12</v>
      </c>
      <c r="O7" s="185" t="s">
        <v>73</v>
      </c>
      <c r="P7" t="s">
        <v>74</v>
      </c>
      <c r="U7" t="s">
        <v>46</v>
      </c>
      <c r="V7" s="5" t="s">
        <v>47</v>
      </c>
      <c r="W7" s="5"/>
      <c r="Y7" s="5"/>
    </row>
    <row r="8" spans="1:26">
      <c r="A8" s="32"/>
      <c r="B8" s="145"/>
      <c r="C8" s="137"/>
      <c r="D8" s="137"/>
      <c r="E8" s="137"/>
      <c r="F8" s="139"/>
      <c r="G8" s="139"/>
      <c r="H8" s="137"/>
      <c r="I8" s="140"/>
      <c r="K8" t="s">
        <v>13</v>
      </c>
      <c r="U8" t="s">
        <v>50</v>
      </c>
      <c r="V8" s="5" t="s">
        <v>51</v>
      </c>
      <c r="W8" s="5"/>
      <c r="X8" s="5"/>
      <c r="Y8" s="5"/>
    </row>
    <row r="9" spans="1:26" ht="15.75">
      <c r="A9" s="33"/>
      <c r="B9" s="146"/>
      <c r="C9" s="147"/>
      <c r="D9" s="148"/>
      <c r="E9" s="149"/>
      <c r="F9" s="149"/>
      <c r="G9" s="147"/>
      <c r="H9" s="148"/>
      <c r="I9" s="150"/>
      <c r="X9" s="6"/>
      <c r="Y9" s="6"/>
    </row>
    <row r="11" spans="1:26">
      <c r="A11" s="70" t="s">
        <v>2</v>
      </c>
      <c r="B11" s="7"/>
      <c r="C11" s="7"/>
      <c r="D11" s="7"/>
      <c r="E11" s="7"/>
      <c r="F11" s="7"/>
      <c r="G11" s="7"/>
      <c r="H11" s="7"/>
      <c r="K11" s="69" t="s">
        <v>3</v>
      </c>
    </row>
    <row r="12" spans="1:26">
      <c r="B12" s="2" t="s">
        <v>5</v>
      </c>
      <c r="C12" s="2" t="s">
        <v>6</v>
      </c>
      <c r="D12" s="2" t="s">
        <v>21</v>
      </c>
      <c r="E12" s="2" t="s">
        <v>22</v>
      </c>
      <c r="F12" s="2" t="s">
        <v>23</v>
      </c>
      <c r="G12" s="2" t="s">
        <v>24</v>
      </c>
      <c r="H12" s="2" t="s">
        <v>26</v>
      </c>
      <c r="I12" s="2" t="s">
        <v>27</v>
      </c>
      <c r="K12" t="s">
        <v>4</v>
      </c>
      <c r="O12" t="s">
        <v>7</v>
      </c>
      <c r="Y12" t="s">
        <v>19</v>
      </c>
    </row>
    <row r="13" spans="1:26">
      <c r="B13" s="75" t="str">
        <f t="shared" ref="B13:I13" si="0">B3</f>
        <v>NVI</v>
      </c>
      <c r="C13" s="76" t="str">
        <f t="shared" si="0"/>
        <v>FP</v>
      </c>
      <c r="D13" s="77" t="str">
        <f t="shared" si="0"/>
        <v>TP</v>
      </c>
      <c r="E13" s="77" t="str">
        <f t="shared" si="0"/>
        <v>FN</v>
      </c>
      <c r="F13" s="77" t="str">
        <f t="shared" si="0"/>
        <v>SD</v>
      </c>
      <c r="G13" s="77" t="str">
        <f t="shared" si="0"/>
        <v>ACU</v>
      </c>
      <c r="H13" s="77">
        <f t="shared" si="0"/>
        <v>0</v>
      </c>
      <c r="I13" s="77">
        <f t="shared" si="0"/>
        <v>0</v>
      </c>
      <c r="P13" s="85" t="str">
        <f>B3</f>
        <v>NVI</v>
      </c>
      <c r="Q13" s="85" t="str">
        <f t="shared" ref="Q13" si="1">C3</f>
        <v>FP</v>
      </c>
      <c r="R13" s="85" t="str">
        <f t="shared" ref="R13:W13" si="2">D3</f>
        <v>TP</v>
      </c>
      <c r="S13" s="85" t="str">
        <f t="shared" si="2"/>
        <v>FN</v>
      </c>
      <c r="T13" s="85" t="str">
        <f t="shared" si="2"/>
        <v>SD</v>
      </c>
      <c r="U13" s="85" t="str">
        <f t="shared" si="2"/>
        <v>ACU</v>
      </c>
      <c r="V13" s="85">
        <f t="shared" si="2"/>
        <v>0</v>
      </c>
      <c r="W13" s="85">
        <f t="shared" si="2"/>
        <v>0</v>
      </c>
    </row>
    <row r="14" spans="1:26">
      <c r="A14" s="54" t="str">
        <f>B3</f>
        <v>NVI</v>
      </c>
      <c r="B14" s="36">
        <v>1</v>
      </c>
      <c r="C14" s="36">
        <v>3</v>
      </c>
      <c r="D14" s="36">
        <v>0.25</v>
      </c>
      <c r="E14" s="36">
        <v>2</v>
      </c>
      <c r="F14" s="36">
        <v>4</v>
      </c>
      <c r="G14" s="36">
        <v>0.33333333333333331</v>
      </c>
      <c r="H14" s="36"/>
      <c r="I14" s="89"/>
      <c r="K14" s="10" t="s">
        <v>30</v>
      </c>
      <c r="L14" s="47">
        <f>SUM(B14:B21)</f>
        <v>9.0833333333333321</v>
      </c>
      <c r="O14" s="80" t="str">
        <f>B3</f>
        <v>NVI</v>
      </c>
      <c r="P14" s="59">
        <f>IFERROR(B14/L14, " ")</f>
        <v>0.11009174311926608</v>
      </c>
      <c r="Q14" s="11">
        <f>IFERROR(C14/L15, " ")</f>
        <v>0.14634146341463414</v>
      </c>
      <c r="R14" s="11">
        <f>IFERROR(D14/L16, " ")</f>
        <v>0.11612903225806452</v>
      </c>
      <c r="S14" s="11">
        <f>IFERROR(E14/L17," ")</f>
        <v>0.1348314606741573</v>
      </c>
      <c r="T14" s="11">
        <f>IFERROR(F14/L18," ")</f>
        <v>0.16</v>
      </c>
      <c r="U14" s="11">
        <f>IFERROR(G14/L19, " ")</f>
        <v>8.620689655172413E-2</v>
      </c>
      <c r="V14" s="11" t="str">
        <f>IFERROR(H14/L20, " ")</f>
        <v xml:space="preserve"> </v>
      </c>
      <c r="W14" s="13" t="str">
        <f>IFERROR(I14/L21," ")</f>
        <v xml:space="preserve"> </v>
      </c>
      <c r="Y14" s="50" t="str">
        <f>B3</f>
        <v>NVI</v>
      </c>
      <c r="Z14" s="60">
        <f t="shared" ref="Z14:Z20" si="3">IFERROR(AVERAGE(P14:V14),"")</f>
        <v>0.1256000993363077</v>
      </c>
    </row>
    <row r="15" spans="1:26">
      <c r="A15" s="55" t="str">
        <f>C3</f>
        <v>FP</v>
      </c>
      <c r="B15" s="34">
        <v>0.33333333333333331</v>
      </c>
      <c r="C15" s="34">
        <v>1</v>
      </c>
      <c r="D15" s="34">
        <v>0.125</v>
      </c>
      <c r="E15" s="34">
        <v>0.5</v>
      </c>
      <c r="F15" s="34">
        <v>2</v>
      </c>
      <c r="G15" s="34">
        <v>0.16666666666666666</v>
      </c>
      <c r="H15" s="34"/>
      <c r="I15" s="90"/>
      <c r="K15" s="43" t="s">
        <v>31</v>
      </c>
      <c r="L15" s="45">
        <f>SUM(C14:C21)</f>
        <v>20.5</v>
      </c>
      <c r="O15" s="81" t="str">
        <f>C3</f>
        <v>FP</v>
      </c>
      <c r="P15" s="94">
        <f>IFERROR(B15/L14, " ")</f>
        <v>3.669724770642202E-2</v>
      </c>
      <c r="Q15" s="16">
        <f>IFERROR(C15/L15, " ")</f>
        <v>4.878048780487805E-2</v>
      </c>
      <c r="R15" s="16">
        <f>IFERROR(D15/L16, " ")</f>
        <v>5.8064516129032261E-2</v>
      </c>
      <c r="S15" s="16">
        <f>IFERROR(E15/L17," ")</f>
        <v>3.3707865168539325E-2</v>
      </c>
      <c r="T15" s="16">
        <f>IFERROR(F15/L18," ")</f>
        <v>0.08</v>
      </c>
      <c r="U15" s="16">
        <f>IFERROR(G15/L19, " ")</f>
        <v>4.3103448275862065E-2</v>
      </c>
      <c r="V15" s="16" t="str">
        <f>IFERROR(H15/L20, " ")</f>
        <v xml:space="preserve"> </v>
      </c>
      <c r="W15" s="14" t="str">
        <f>IFERROR(I15/L21," ")</f>
        <v xml:space="preserve"> </v>
      </c>
      <c r="Y15" s="51" t="str">
        <f>C3</f>
        <v>FP</v>
      </c>
      <c r="Z15" s="46">
        <f t="shared" si="3"/>
        <v>5.0058927514122283E-2</v>
      </c>
    </row>
    <row r="16" spans="1:26">
      <c r="A16" s="55" t="str">
        <f>D3</f>
        <v>TP</v>
      </c>
      <c r="B16" s="93">
        <v>4</v>
      </c>
      <c r="C16" s="93">
        <v>8</v>
      </c>
      <c r="D16" s="93">
        <v>1</v>
      </c>
      <c r="E16" s="93">
        <v>6</v>
      </c>
      <c r="F16" s="93">
        <v>9</v>
      </c>
      <c r="G16" s="93">
        <v>2</v>
      </c>
      <c r="H16" s="93"/>
      <c r="I16" s="91"/>
      <c r="J16" s="3"/>
      <c r="K16" s="43" t="s">
        <v>32</v>
      </c>
      <c r="L16" s="48">
        <f>SUM(D14:D21)</f>
        <v>2.1527777777777777</v>
      </c>
      <c r="O16" s="72" t="str">
        <f>D3</f>
        <v>TP</v>
      </c>
      <c r="P16" s="95">
        <f>IFERROR(B16/L14, " ")</f>
        <v>0.4403669724770643</v>
      </c>
      <c r="Q16" s="12">
        <f>IFERROR(C16/L15, " ")</f>
        <v>0.3902439024390244</v>
      </c>
      <c r="R16" s="12">
        <f>IFERROR(D16/L16, " ")</f>
        <v>0.46451612903225808</v>
      </c>
      <c r="S16" s="12">
        <f>IFERROR(E20/L17," ")</f>
        <v>0</v>
      </c>
      <c r="T16" s="12">
        <f>IFERROR(F20/L18," ")</f>
        <v>0</v>
      </c>
      <c r="U16" s="12">
        <f>IFERROR(G20/L19, " ")</f>
        <v>0</v>
      </c>
      <c r="V16" s="12" t="str">
        <f>IFERROR(H20/L20, " ")</f>
        <v xml:space="preserve"> </v>
      </c>
      <c r="W16" s="15" t="str">
        <f>IFERROR(I16/L21," ")</f>
        <v xml:space="preserve"> </v>
      </c>
      <c r="Y16" s="43" t="str">
        <f>D3</f>
        <v>TP</v>
      </c>
      <c r="Z16" s="49">
        <f t="shared" si="3"/>
        <v>0.21585450065805781</v>
      </c>
    </row>
    <row r="17" spans="1:26">
      <c r="A17" s="55" t="str">
        <f>E3</f>
        <v>FN</v>
      </c>
      <c r="B17" s="34">
        <v>0.5</v>
      </c>
      <c r="C17" s="34">
        <v>2</v>
      </c>
      <c r="D17" s="34">
        <v>0.16666666666666666</v>
      </c>
      <c r="E17" s="34">
        <v>1</v>
      </c>
      <c r="F17" s="34">
        <v>3</v>
      </c>
      <c r="G17" s="34">
        <v>0.2</v>
      </c>
      <c r="H17" s="34"/>
      <c r="I17" s="90"/>
      <c r="J17" s="4"/>
      <c r="K17" s="43" t="s">
        <v>33</v>
      </c>
      <c r="L17" s="45">
        <f>SUM(E14:E21)</f>
        <v>14.833333333333334</v>
      </c>
      <c r="O17" s="82" t="str">
        <f>E3</f>
        <v>FN</v>
      </c>
      <c r="P17" s="86">
        <f>IFERROR(B17/L14, " ")</f>
        <v>5.5045871559633038E-2</v>
      </c>
      <c r="Q17" s="16">
        <f>IFERROR(C17/L15, " ")</f>
        <v>9.7560975609756101E-2</v>
      </c>
      <c r="R17" s="16">
        <f>IFERROR(D17/L16, " ")</f>
        <v>7.7419354838709681E-2</v>
      </c>
      <c r="S17" s="16">
        <f>IFERROR(E17/L17," ")</f>
        <v>6.741573033707865E-2</v>
      </c>
      <c r="T17" s="16">
        <f>IFERROR(F17/L18," ")</f>
        <v>0.12</v>
      </c>
      <c r="U17" s="16">
        <f>IFERROR(G17/L19, " ")</f>
        <v>5.1724137931034482E-2</v>
      </c>
      <c r="V17" s="16" t="str">
        <f>IFERROR(H17/L20, " ")</f>
        <v xml:space="preserve"> </v>
      </c>
      <c r="W17" s="58" t="str">
        <f>IFERROR(I17/L21," ")</f>
        <v xml:space="preserve"> </v>
      </c>
      <c r="Y17" s="52" t="str">
        <f>E3</f>
        <v>FN</v>
      </c>
      <c r="Z17" s="46">
        <f t="shared" si="3"/>
        <v>7.8194345046035327E-2</v>
      </c>
    </row>
    <row r="18" spans="1:26">
      <c r="A18" s="55" t="str">
        <f>F3</f>
        <v>SD</v>
      </c>
      <c r="B18" s="37">
        <v>0.25</v>
      </c>
      <c r="C18" s="37">
        <v>0.5</v>
      </c>
      <c r="D18" s="37">
        <v>0.1111111111111111</v>
      </c>
      <c r="E18" s="37">
        <v>0.33333333333333331</v>
      </c>
      <c r="F18" s="37">
        <v>1</v>
      </c>
      <c r="G18" s="37">
        <v>0.16666666666666666</v>
      </c>
      <c r="H18" s="37"/>
      <c r="I18" s="91"/>
      <c r="J18" s="4"/>
      <c r="K18" s="43" t="s">
        <v>34</v>
      </c>
      <c r="L18" s="48">
        <f>SUM(F14:F21)</f>
        <v>25</v>
      </c>
      <c r="O18" s="83" t="str">
        <f>F3</f>
        <v>SD</v>
      </c>
      <c r="P18" s="88">
        <f>IFERROR(B18/L14, " ")</f>
        <v>2.7522935779816519E-2</v>
      </c>
      <c r="Q18" s="12">
        <f>IFERROR(C18/L15, " ")</f>
        <v>2.4390243902439025E-2</v>
      </c>
      <c r="R18" s="12">
        <f>IFERROR(D18/L16, " ")</f>
        <v>5.1612903225806452E-2</v>
      </c>
      <c r="S18" s="12">
        <f>IFERROR(E18/L17," ")</f>
        <v>2.247191011235955E-2</v>
      </c>
      <c r="T18" s="12">
        <f>IFERROR(F18/L18," ")</f>
        <v>0.04</v>
      </c>
      <c r="U18" s="12">
        <f>IFERROR(G18/L19, " ")</f>
        <v>4.3103448275862065E-2</v>
      </c>
      <c r="V18" s="12" t="str">
        <f>IFERROR(H18/L20, " ")</f>
        <v xml:space="preserve"> </v>
      </c>
      <c r="W18" s="15" t="str">
        <f>IFERROR(I18/L21," ")</f>
        <v xml:space="preserve"> </v>
      </c>
      <c r="Y18" s="79" t="str">
        <f>F3</f>
        <v>SD</v>
      </c>
      <c r="Z18" s="49">
        <f t="shared" si="3"/>
        <v>3.4850240216047275E-2</v>
      </c>
    </row>
    <row r="19" spans="1:26">
      <c r="A19" s="56" t="str">
        <f>G3</f>
        <v>ACU</v>
      </c>
      <c r="B19" s="34">
        <v>3</v>
      </c>
      <c r="C19" s="34">
        <v>6</v>
      </c>
      <c r="D19" s="34">
        <v>0.5</v>
      </c>
      <c r="E19" s="34">
        <v>5</v>
      </c>
      <c r="F19" s="34">
        <v>6</v>
      </c>
      <c r="G19" s="34">
        <v>1</v>
      </c>
      <c r="H19" s="34"/>
      <c r="I19" s="90"/>
      <c r="K19" s="43" t="s">
        <v>35</v>
      </c>
      <c r="L19" s="45">
        <f>SUM(G14:G21)</f>
        <v>3.8666666666666667</v>
      </c>
      <c r="O19" s="84" t="str">
        <f>G3</f>
        <v>ACU</v>
      </c>
      <c r="P19" s="86">
        <f>IFERROR(B19/L14, " ")</f>
        <v>0.33027522935779818</v>
      </c>
      <c r="Q19" s="16">
        <f>IFERROR(C19/L15, " ")</f>
        <v>0.29268292682926828</v>
      </c>
      <c r="R19" s="16">
        <f>IFERROR(D19/L16, " ")</f>
        <v>0.23225806451612904</v>
      </c>
      <c r="S19" s="16">
        <f>IFERROR(E19/L17," ")</f>
        <v>0.33707865168539325</v>
      </c>
      <c r="T19" s="16">
        <f>IFERROR(F19/L18," ")</f>
        <v>0.24</v>
      </c>
      <c r="U19" s="16">
        <f>IFERROR(G19/L19, " ")</f>
        <v>0.25862068965517243</v>
      </c>
      <c r="V19" s="16" t="str">
        <f>IFERROR(H19/L20, " ")</f>
        <v xml:space="preserve"> </v>
      </c>
      <c r="W19" s="14" t="str">
        <f>IFERROR(I19/L21," ")</f>
        <v xml:space="preserve"> </v>
      </c>
      <c r="Y19" s="53" t="str">
        <f>G3</f>
        <v>ACU</v>
      </c>
      <c r="Z19" s="46">
        <f t="shared" si="3"/>
        <v>0.28181926034062688</v>
      </c>
    </row>
    <row r="20" spans="1:26">
      <c r="A20" s="55">
        <f>H3</f>
        <v>0</v>
      </c>
      <c r="B20" s="37"/>
      <c r="C20" s="37"/>
      <c r="D20" s="37"/>
      <c r="E20" s="37"/>
      <c r="F20" s="37"/>
      <c r="G20" s="37"/>
      <c r="H20" s="37"/>
      <c r="I20" s="91"/>
      <c r="K20" s="43" t="s">
        <v>36</v>
      </c>
      <c r="L20" s="49">
        <f>SUM(H14:H21)</f>
        <v>0</v>
      </c>
      <c r="O20" s="72">
        <f>H3</f>
        <v>0</v>
      </c>
      <c r="P20" s="88">
        <f>IFERROR(B20/L14, " ")</f>
        <v>0</v>
      </c>
      <c r="Q20" s="12">
        <f>IFERROR(C20/L15, " ")</f>
        <v>0</v>
      </c>
      <c r="R20" s="12">
        <f>IFERROR(D20/L16, " ")</f>
        <v>0</v>
      </c>
      <c r="S20" s="12">
        <f>IFERROR(E20/L17," ")</f>
        <v>0</v>
      </c>
      <c r="T20" s="12">
        <f>IFERROR(F20/L18," ")</f>
        <v>0</v>
      </c>
      <c r="U20" s="12">
        <f>IFERROR(G20/L19, " ")</f>
        <v>0</v>
      </c>
      <c r="V20" s="12" t="str">
        <f>IFERROR(H20/L20, " ")</f>
        <v xml:space="preserve"> </v>
      </c>
      <c r="W20" s="15" t="str">
        <f>IFERROR(I20/L21," ")</f>
        <v xml:space="preserve"> </v>
      </c>
      <c r="Y20" s="43">
        <f>H3</f>
        <v>0</v>
      </c>
      <c r="Z20" s="49">
        <f t="shared" si="3"/>
        <v>0</v>
      </c>
    </row>
    <row r="21" spans="1:26">
      <c r="A21" s="57">
        <f>I3</f>
        <v>0</v>
      </c>
      <c r="B21" s="35"/>
      <c r="C21" s="35"/>
      <c r="D21" s="35"/>
      <c r="E21" s="35"/>
      <c r="F21" s="35"/>
      <c r="G21" s="35"/>
      <c r="H21" s="35"/>
      <c r="I21" s="92"/>
      <c r="K21" s="44" t="s">
        <v>37</v>
      </c>
      <c r="L21" s="40">
        <f>SUM(I14:I21)</f>
        <v>0</v>
      </c>
      <c r="O21" s="73">
        <f>I3</f>
        <v>0</v>
      </c>
      <c r="P21" s="87">
        <f>IFERROR(B21/L14, " ")</f>
        <v>0</v>
      </c>
      <c r="Q21" s="22">
        <f>IFERROR(C21/L15, " ")</f>
        <v>0</v>
      </c>
      <c r="R21" s="22">
        <f>IFERROR(D21/L16, " ")</f>
        <v>0</v>
      </c>
      <c r="S21" s="22">
        <f>IFERROR(E21/L17," ")</f>
        <v>0</v>
      </c>
      <c r="T21" s="22">
        <f>IFERROR(F21/L18," ")</f>
        <v>0</v>
      </c>
      <c r="U21" s="22">
        <f>IFERROR(G21/L19, " ")</f>
        <v>0</v>
      </c>
      <c r="V21" s="22" t="str">
        <f>IFERROR(H21/L20," ")</f>
        <v xml:space="preserve"> </v>
      </c>
      <c r="W21" s="23" t="str">
        <f>IFERROR(I21/L21," ")</f>
        <v xml:space="preserve"> </v>
      </c>
      <c r="Y21" s="44">
        <f>I3</f>
        <v>0</v>
      </c>
      <c r="Z21" s="40">
        <f>IFERROR(AVERAGE(P21:W21),"")</f>
        <v>0</v>
      </c>
    </row>
    <row r="23" spans="1:26">
      <c r="A23" s="69" t="s">
        <v>79</v>
      </c>
      <c r="Q23" s="69" t="s">
        <v>28</v>
      </c>
    </row>
    <row r="25" spans="1:26">
      <c r="A25" s="1" t="s">
        <v>0</v>
      </c>
      <c r="B25" s="24" t="str">
        <f>B3</f>
        <v>NVI</v>
      </c>
      <c r="C25" s="26" t="str">
        <f t="shared" ref="C25" si="4">C3</f>
        <v>FP</v>
      </c>
      <c r="D25" s="25" t="str">
        <f t="shared" ref="D25:I25" si="5">D3</f>
        <v>TP</v>
      </c>
      <c r="E25" s="26" t="str">
        <f t="shared" si="5"/>
        <v>FN</v>
      </c>
      <c r="F25" s="27" t="str">
        <f t="shared" si="5"/>
        <v>SD</v>
      </c>
      <c r="G25" s="8" t="str">
        <f t="shared" si="5"/>
        <v>ACU</v>
      </c>
      <c r="H25" s="28">
        <f t="shared" si="5"/>
        <v>0</v>
      </c>
      <c r="I25" s="26">
        <f t="shared" si="5"/>
        <v>0</v>
      </c>
      <c r="K25" s="38" t="s">
        <v>20</v>
      </c>
      <c r="M25" s="198" t="s">
        <v>29</v>
      </c>
      <c r="N25" s="194"/>
      <c r="O25" s="195"/>
      <c r="Q25" s="193" t="s">
        <v>75</v>
      </c>
      <c r="R25" s="194"/>
      <c r="S25" s="195"/>
      <c r="U25" s="5"/>
      <c r="V25" s="191"/>
      <c r="W25" s="191"/>
      <c r="X25" s="5"/>
    </row>
    <row r="26" spans="1:26">
      <c r="A26" s="17" t="str">
        <f t="shared" ref="A26:A31" si="6">A4</f>
        <v>Anchore</v>
      </c>
      <c r="B26" s="103">
        <f>IFERROR(B4*Z14," ")</f>
        <v>18.58881470177354</v>
      </c>
      <c r="C26" s="104">
        <f>IFERROR(C4*Z15,"")</f>
        <v>0.20023571005648913</v>
      </c>
      <c r="D26" s="105">
        <f>IFERROR(D4*Z16,"")</f>
        <v>0.86341800263223123</v>
      </c>
      <c r="E26" s="105">
        <f>IFERROR(E4*Z17,"")</f>
        <v>11.259985686629086</v>
      </c>
      <c r="F26" s="106">
        <f>IFERROR(F4*Z18,"")</f>
        <v>4.0949032253855544E-3</v>
      </c>
      <c r="G26" s="105">
        <f>IFERROR(G4*Z19,"")</f>
        <v>0.24631003353770789</v>
      </c>
      <c r="H26" s="105">
        <f xml:space="preserve"> IFERROR(H4*Z20,"")</f>
        <v>0</v>
      </c>
      <c r="I26" s="107">
        <f>IFERROR(I4*Z21,"")</f>
        <v>0</v>
      </c>
      <c r="K26" s="41">
        <f t="shared" ref="K26:K31" si="7">SUM(B26:I26)</f>
        <v>31.162859037854439</v>
      </c>
      <c r="M26" s="186" t="s">
        <v>14</v>
      </c>
      <c r="N26" s="63">
        <f>IF(MAX(K26:K31)=0,"",1+(4*MAX(K26:K31)/5))</f>
        <v>40.295044000063264</v>
      </c>
      <c r="O26" s="64">
        <f>IF(MAX(K26:K31)=0,"",MAX(K26:K31))</f>
        <v>49.118805000079078</v>
      </c>
      <c r="Q26" s="71" t="str">
        <f t="shared" ref="Q26:Q31" si="8">A4</f>
        <v>Anchore</v>
      </c>
      <c r="R26" s="78">
        <f>IF(AND(K26&gt;=N26,K26&lt;=O26),5,IF(AND(K26&gt;=N27,K26&lt;=O27),4,IF(AND(K26&gt;=N28,K26&lt;=O28),3,IF(AND(K26&gt;=N29,K26&lt;=O29),2,IF(AND(K26&gt;=N30,K26&lt;=O30),1,"")))))</f>
        <v>4</v>
      </c>
      <c r="S26" s="10" t="s">
        <v>25</v>
      </c>
      <c r="U26" s="5"/>
      <c r="V26" s="191"/>
      <c r="W26" s="191"/>
      <c r="X26" s="5"/>
    </row>
    <row r="27" spans="1:26">
      <c r="A27" s="18" t="str">
        <f t="shared" si="6"/>
        <v>Clair</v>
      </c>
      <c r="B27" s="108">
        <f>IFERROR(B5*Z14," ")</f>
        <v>29.516023344032309</v>
      </c>
      <c r="C27" s="109">
        <f>IFERROR(C5*Z15,"")</f>
        <v>5.0058927514122283E-2</v>
      </c>
      <c r="D27" s="110">
        <f>IFERROR(D5*Z16,"")</f>
        <v>0.21585450065805781</v>
      </c>
      <c r="E27" s="110">
        <f>IFERROR(E5*Z17,"")</f>
        <v>18.297476740772268</v>
      </c>
      <c r="F27" s="111">
        <f>IFERROR(F5*Z18,"")</f>
        <v>7.8064538083945899E-4</v>
      </c>
      <c r="G27" s="110">
        <f>IFERROR(G5*Z19,"")</f>
        <v>0.2778737906958581</v>
      </c>
      <c r="H27" s="110">
        <f xml:space="preserve"> IFERROR(H5*Z20,"")</f>
        <v>0</v>
      </c>
      <c r="I27" s="112">
        <f>IFERROR(I5*Z21,"")</f>
        <v>0</v>
      </c>
      <c r="K27" s="39">
        <f t="shared" si="7"/>
        <v>48.358067949053456</v>
      </c>
      <c r="M27" s="187" t="s">
        <v>15</v>
      </c>
      <c r="N27" s="61">
        <f>IF(MAX(K26:K31)=0,"",1+(3*MAX(K26:K29)/5))</f>
        <v>30.471283000047446</v>
      </c>
      <c r="O27" s="62">
        <f>IF(MAX(K26:K31)=0,"",4*MAX(K26:K31)/5)</f>
        <v>39.295044000063264</v>
      </c>
      <c r="Q27" s="72" t="str">
        <f t="shared" si="8"/>
        <v>Clair</v>
      </c>
      <c r="R27" s="74">
        <f>IF(AND(K27&gt;=N26,K27&lt;=O26),5,IF(AND(K27&gt;=N27,K27&lt;=O27),4,IF(AND(K27&gt;=N28,K27&lt;=O28),3,IF(AND(K27&gt;=N29,K27&lt;=O29),2,IF(AND(K27&gt;=N30,K27&lt;=O30),1,"")))))</f>
        <v>5</v>
      </c>
      <c r="S27" s="43" t="s">
        <v>25</v>
      </c>
      <c r="U27" s="5"/>
      <c r="V27" s="191"/>
      <c r="W27" s="191"/>
      <c r="X27" s="5"/>
    </row>
    <row r="28" spans="1:26">
      <c r="A28" s="125" t="str">
        <f t="shared" si="6"/>
        <v>Anchore NoDSA</v>
      </c>
      <c r="B28" s="113">
        <f>IFERROR(B6*Z14," ")</f>
        <v>29.641623443368616</v>
      </c>
      <c r="C28" s="114">
        <f>IFERROR(C6*Z15,"")</f>
        <v>0.20023571005648913</v>
      </c>
      <c r="D28" s="115">
        <f>IFERROR(D6*Z16,"")</f>
        <v>0.86341800263223123</v>
      </c>
      <c r="E28" s="115">
        <f>IFERROR(E6*Z17,"")</f>
        <v>18.141088050680196</v>
      </c>
      <c r="F28" s="116">
        <f>IFERROR(F6*Z18,"")</f>
        <v>2.4569419352313327E-3</v>
      </c>
      <c r="G28" s="115">
        <f>IFERROR(G6*Z19,"")</f>
        <v>0.26998285140632056</v>
      </c>
      <c r="H28" s="115">
        <f xml:space="preserve"> IFERROR(H6*Z20,"")</f>
        <v>0</v>
      </c>
      <c r="I28" s="117">
        <f>IFERROR(I6*Z21,"")</f>
        <v>0</v>
      </c>
      <c r="K28" s="42">
        <f t="shared" si="7"/>
        <v>49.118805000079078</v>
      </c>
      <c r="M28" s="188" t="s">
        <v>16</v>
      </c>
      <c r="N28" s="65">
        <f>IF(MAX(K26:K31)=0,"",1+(2*MAX(K26:K29)/5))</f>
        <v>20.647522000031632</v>
      </c>
      <c r="O28" s="66">
        <f>IF(MAX(K26:K31)=0,"",3*MAX(K26:K31)/5)</f>
        <v>29.471283000047446</v>
      </c>
      <c r="Q28" s="72" t="str">
        <f t="shared" si="8"/>
        <v>Anchore NoDSA</v>
      </c>
      <c r="R28" s="74">
        <f>IF(AND(K28&gt;=N26,K28&lt;=O26),5,IF(AND(K28&gt;=N27,K28&lt;=O27),4,IF(AND(K28&gt;=N28,K28&lt;=O28),3,IF(AND(K28&gt;=N29,K28&lt;=O29),2,IF(AND(K28&gt;=N30,K28&lt;=O30),1,"")))))</f>
        <v>5</v>
      </c>
      <c r="S28" s="43" t="s">
        <v>25</v>
      </c>
      <c r="U28" s="5"/>
      <c r="V28" s="191"/>
      <c r="W28" s="191"/>
      <c r="X28" s="5"/>
    </row>
    <row r="29" spans="1:26">
      <c r="A29" s="19">
        <f t="shared" si="6"/>
        <v>0</v>
      </c>
      <c r="B29" s="108">
        <f>IFERROR(B7*Z14," ")</f>
        <v>0</v>
      </c>
      <c r="C29" s="109">
        <f>IFERROR(C7*Z15,"")</f>
        <v>0</v>
      </c>
      <c r="D29" s="110">
        <f>IFERROR(D7*Z16,"")</f>
        <v>0</v>
      </c>
      <c r="E29" s="110">
        <f>IFERROR(E7*Z17,"")</f>
        <v>0</v>
      </c>
      <c r="F29" s="111">
        <f>IFERROR(F7*Z18,"")</f>
        <v>0</v>
      </c>
      <c r="G29" s="110">
        <f>IFERROR(G7*Z19,"")</f>
        <v>0</v>
      </c>
      <c r="H29" s="110">
        <f xml:space="preserve"> IFERROR(H7*Z20,"")</f>
        <v>0</v>
      </c>
      <c r="I29" s="112">
        <f>IFERROR(I7*Z21,"")</f>
        <v>0</v>
      </c>
      <c r="K29" s="39">
        <f t="shared" si="7"/>
        <v>0</v>
      </c>
      <c r="M29" s="189" t="s">
        <v>17</v>
      </c>
      <c r="N29" s="61">
        <f>IF(MAX(K26:K31)=0,"",1+MAX(K26:K31)/5)</f>
        <v>10.823761000015816</v>
      </c>
      <c r="O29" s="62">
        <f>IF(MAX(K26:K31)=0,"",2*MAX(K26:K31)/5)</f>
        <v>19.647522000031632</v>
      </c>
      <c r="Q29" s="72">
        <f t="shared" si="8"/>
        <v>0</v>
      </c>
      <c r="R29" s="74" t="str">
        <f>IF(AND(K29&gt;=N26,K29&lt;=O26),5,IF(AND(K29&gt;=N27,K29&lt;=O27),4,IF(AND(K29&gt;=N28,K29&lt;=O28),3,IF(AND(K29&gt;=N29,K29&lt;=O29),2,IF(AND(K29&gt;=N30,K29&lt;=O30),1,"")))))</f>
        <v/>
      </c>
      <c r="S29" s="43" t="s">
        <v>25</v>
      </c>
      <c r="U29" s="5"/>
      <c r="V29" s="191"/>
      <c r="W29" s="191"/>
      <c r="X29" s="5"/>
    </row>
    <row r="30" spans="1:26">
      <c r="A30" s="20">
        <f t="shared" si="6"/>
        <v>0</v>
      </c>
      <c r="B30" s="113">
        <f>IFERROR(B8*Z14," ")</f>
        <v>0</v>
      </c>
      <c r="C30" s="114">
        <f>IFERROR(C8*Z15,"")</f>
        <v>0</v>
      </c>
      <c r="D30" s="115">
        <f>IFERROR(D8*Z16,"")</f>
        <v>0</v>
      </c>
      <c r="E30" s="115">
        <f>IFERROR(E8*Z17,"")</f>
        <v>0</v>
      </c>
      <c r="F30" s="116">
        <f>IFERROR(F8*Z18,"")</f>
        <v>0</v>
      </c>
      <c r="G30" s="115">
        <f>IFERROR(G8*Z19,"")</f>
        <v>0</v>
      </c>
      <c r="H30" s="115">
        <f xml:space="preserve"> IFERROR(H8*Z20,"")</f>
        <v>0</v>
      </c>
      <c r="I30" s="117">
        <f>IFERROR(I8*Z21,"")</f>
        <v>0</v>
      </c>
      <c r="K30" s="42">
        <f t="shared" si="7"/>
        <v>0</v>
      </c>
      <c r="M30" s="190" t="s">
        <v>18</v>
      </c>
      <c r="N30" s="67">
        <f>IF(MAX(K26:K31)=0,"", 1)</f>
        <v>1</v>
      </c>
      <c r="O30" s="68">
        <f>IF(MAX(K26:K31)=0,"",MAX(K26:K31)/5)</f>
        <v>9.823761000015816</v>
      </c>
      <c r="Q30" s="72">
        <f t="shared" si="8"/>
        <v>0</v>
      </c>
      <c r="R30" s="74" t="str">
        <f>IF(AND(K30&gt;=N26,K30&lt;=O26),5,IF(AND(K30&gt;=N27,K30&lt;=O27),4,IF(AND(K30&gt;=N28,K30&lt;=O28),3,IF(AND(K30&gt;=N29,K30&lt;=O29),2,IF(AND(K30&gt;=N30,K30&lt;=O30),1,"")))))</f>
        <v/>
      </c>
      <c r="S30" s="43" t="s">
        <v>25</v>
      </c>
      <c r="U30" s="5"/>
      <c r="V30" s="191"/>
      <c r="W30" s="191"/>
      <c r="X30" s="5"/>
    </row>
    <row r="31" spans="1:26">
      <c r="A31" s="21">
        <f t="shared" si="6"/>
        <v>0</v>
      </c>
      <c r="B31" s="118">
        <f>IFERROR(B9*Z14," ")</f>
        <v>0</v>
      </c>
      <c r="C31" s="119">
        <f>IFERROR(C9*Z15,"")</f>
        <v>0</v>
      </c>
      <c r="D31" s="120">
        <f>IFERROR(D9*Z16,"")</f>
        <v>0</v>
      </c>
      <c r="E31" s="120">
        <f>IFERROR(E9*Z17,"")</f>
        <v>0</v>
      </c>
      <c r="F31" s="121">
        <f>IFERROR(F9*Z18,"")</f>
        <v>0</v>
      </c>
      <c r="G31" s="120">
        <f>IFERROR(G9*Z19,"")</f>
        <v>0</v>
      </c>
      <c r="H31" s="120">
        <f xml:space="preserve"> IFERROR(H9*Z20,"")</f>
        <v>0</v>
      </c>
      <c r="I31" s="122">
        <f>IFERROR(I9*Z21,"")</f>
        <v>0</v>
      </c>
      <c r="K31" s="124">
        <f t="shared" si="7"/>
        <v>0</v>
      </c>
      <c r="Q31" s="73">
        <f t="shared" si="8"/>
        <v>0</v>
      </c>
      <c r="R31" s="123" t="str">
        <f>IF(AND(K31&gt;=N26,K31&lt;=O26),5,IF(AND(K31&gt;=N27,K31&lt;=O27),4,IF(AND(K31&gt;=N28,K31&lt;=O28),3,IF(AND(K31&gt;=N29,K31&lt;=O29),2,IF(AND(K31&gt;=N30,K31&lt;=O30),1,"")))))</f>
        <v/>
      </c>
      <c r="S31" s="44" t="s">
        <v>25</v>
      </c>
      <c r="U31" s="5"/>
      <c r="V31" s="191"/>
      <c r="W31" s="191"/>
      <c r="X31" s="5"/>
    </row>
    <row r="32" spans="1:26">
      <c r="U32" s="5"/>
      <c r="V32" s="191"/>
      <c r="W32" s="191"/>
      <c r="X32" s="5"/>
    </row>
    <row r="33" spans="1:24">
      <c r="A33" s="69" t="s">
        <v>80</v>
      </c>
      <c r="U33" s="5"/>
      <c r="V33" s="191"/>
      <c r="W33" s="191"/>
      <c r="X33" s="5"/>
    </row>
    <row r="34" spans="1:24">
      <c r="B34" s="99" t="str">
        <f>U3</f>
        <v>NVI</v>
      </c>
      <c r="C34" s="151" t="str">
        <f>U4</f>
        <v>FP</v>
      </c>
      <c r="D34" s="99" t="str">
        <f>U5</f>
        <v>TP</v>
      </c>
      <c r="E34" s="99" t="str">
        <f>U6</f>
        <v>FN</v>
      </c>
      <c r="F34" s="99" t="str">
        <f>U7</f>
        <v>SD</v>
      </c>
      <c r="G34" s="99" t="str">
        <f>U8</f>
        <v>ACU</v>
      </c>
      <c r="H34" s="99">
        <f t="shared" ref="H34:I34" si="9">H24</f>
        <v>0</v>
      </c>
      <c r="I34" s="99">
        <f t="shared" si="9"/>
        <v>0</v>
      </c>
      <c r="K34" s="152" t="s">
        <v>53</v>
      </c>
      <c r="M34" s="153" t="s">
        <v>54</v>
      </c>
      <c r="Q34" s="77" t="s">
        <v>55</v>
      </c>
      <c r="R34" s="77" t="s">
        <v>56</v>
      </c>
      <c r="T34" s="69" t="s">
        <v>57</v>
      </c>
      <c r="U34" t="s">
        <v>81</v>
      </c>
      <c r="X34" s="5"/>
    </row>
    <row r="35" spans="1:24">
      <c r="A35" s="154" t="str">
        <f t="shared" ref="A35:A40" si="10">U3</f>
        <v>NVI</v>
      </c>
      <c r="B35" s="59">
        <f>IFERROR(B14*Z14, "")</f>
        <v>0.1256000993363077</v>
      </c>
      <c r="C35" s="11">
        <f>IFERROR(C14*Z15,"")</f>
        <v>0.15017678254236685</v>
      </c>
      <c r="D35" s="11">
        <f>IFERROR(D14*Z16,"")</f>
        <v>5.3963625164514452E-2</v>
      </c>
      <c r="E35" s="11">
        <f>IFERROR(E14*Z17,"")</f>
        <v>0.15638869009207065</v>
      </c>
      <c r="F35" s="11">
        <f>IFERROR(F14*Z18,"")</f>
        <v>0.1394009608641891</v>
      </c>
      <c r="G35" s="11">
        <f>IFERROR(G14*Z19,"")</f>
        <v>9.3939753446875621E-2</v>
      </c>
      <c r="H35" s="11"/>
      <c r="I35" s="13"/>
      <c r="K35" s="47">
        <f>SUM(B35:I35)</f>
        <v>0.71946991144632444</v>
      </c>
      <c r="M35" s="60">
        <f>IFERROR(K35/Z14,"")</f>
        <v>5.7282590957182826</v>
      </c>
      <c r="O35" s="155" t="s">
        <v>57</v>
      </c>
      <c r="Q35" s="156">
        <v>2</v>
      </c>
      <c r="R35" s="157">
        <v>0</v>
      </c>
      <c r="T35" s="69" t="s">
        <v>56</v>
      </c>
      <c r="U35" s="192" t="s">
        <v>82</v>
      </c>
      <c r="V35" s="192"/>
      <c r="X35" s="5"/>
    </row>
    <row r="36" spans="1:24">
      <c r="A36" s="158" t="str">
        <f t="shared" si="10"/>
        <v>FP</v>
      </c>
      <c r="B36" s="94">
        <f>IFERROR(B15*Z14,"")</f>
        <v>4.186669977876923E-2</v>
      </c>
      <c r="C36" s="16">
        <f>IFERROR(C15*Z15,"")</f>
        <v>5.0058927514122283E-2</v>
      </c>
      <c r="D36" s="16">
        <f>IFERROR(D15*Z16,"")</f>
        <v>2.6981812582257226E-2</v>
      </c>
      <c r="E36" s="16">
        <f>E15*Z17</f>
        <v>3.9097172523017663E-2</v>
      </c>
      <c r="F36" s="16">
        <f>F15*Z18</f>
        <v>6.970048043209455E-2</v>
      </c>
      <c r="G36" s="16">
        <f>G15*Z19</f>
        <v>4.696987672343781E-2</v>
      </c>
      <c r="H36" s="159"/>
      <c r="I36" s="58"/>
      <c r="K36" s="160">
        <f t="shared" ref="K36:K42" si="11">SUM(B36:I36)</f>
        <v>0.2746749695536988</v>
      </c>
      <c r="M36" s="46">
        <f t="shared" ref="M36:M41" si="12">IFERROR(K36/Z15,"")</f>
        <v>5.4870326471978323</v>
      </c>
      <c r="O36" s="161">
        <f>SUM(IF(ISERR(M35:M42),0,IF(M35:M42&lt;&gt;0,M35:M42))) / (COUNTIF(M35:M42,"&lt;&gt;0") - COUNTIF(M35:M42,""))</f>
        <v>6.5436714320032836</v>
      </c>
      <c r="Q36" s="162">
        <v>3</v>
      </c>
      <c r="R36" s="163">
        <v>0.57999999999999996</v>
      </c>
      <c r="T36" s="69" t="s">
        <v>58</v>
      </c>
      <c r="U36" s="192" t="s">
        <v>83</v>
      </c>
      <c r="V36" s="192"/>
      <c r="X36" s="5"/>
    </row>
    <row r="37" spans="1:24">
      <c r="A37" s="158" t="str">
        <f t="shared" si="10"/>
        <v>TP</v>
      </c>
      <c r="B37" s="95">
        <f>IFERROR(B16*Z14,"")</f>
        <v>0.50240039734523079</v>
      </c>
      <c r="C37" s="12">
        <f>IFERROR(C16*Z15,"")</f>
        <v>0.40047142011297826</v>
      </c>
      <c r="D37" s="12">
        <f>IFERROR(D16*Z16,"")</f>
        <v>0.21585450065805781</v>
      </c>
      <c r="E37" s="12">
        <f>E16*Z17</f>
        <v>0.46916607027621193</v>
      </c>
      <c r="F37" s="12">
        <f>F16*Z18</f>
        <v>0.31365216194442547</v>
      </c>
      <c r="G37" s="12">
        <f>G16*Z19</f>
        <v>0.56363852068125375</v>
      </c>
      <c r="H37" s="12"/>
      <c r="I37" s="15"/>
      <c r="K37" s="48">
        <f t="shared" si="11"/>
        <v>2.4651830710181581</v>
      </c>
      <c r="M37" s="49">
        <f t="shared" si="12"/>
        <v>11.420577581207517</v>
      </c>
      <c r="Q37" s="164">
        <v>4</v>
      </c>
      <c r="R37" s="165">
        <v>0.9</v>
      </c>
      <c r="T37" s="69" t="s">
        <v>59</v>
      </c>
      <c r="U37" s="192" t="s">
        <v>84</v>
      </c>
      <c r="V37" s="192"/>
      <c r="X37" s="5"/>
    </row>
    <row r="38" spans="1:24">
      <c r="A38" s="158" t="str">
        <f t="shared" si="10"/>
        <v>FN</v>
      </c>
      <c r="B38" s="94">
        <f>IFERROR(B17*Z14,"")</f>
        <v>6.2800049668153848E-2</v>
      </c>
      <c r="C38" s="16">
        <f>IFERROR(C17*Z15,"")</f>
        <v>0.10011785502824457</v>
      </c>
      <c r="D38" s="16">
        <f>D17*Z17</f>
        <v>1.3032390841005888E-2</v>
      </c>
      <c r="E38" s="16">
        <f>E17*Z17</f>
        <v>7.8194345046035327E-2</v>
      </c>
      <c r="F38" s="16">
        <f>F17*Z18</f>
        <v>0.10455072064814183</v>
      </c>
      <c r="G38" s="16">
        <f>G17*Z19</f>
        <v>5.6363852068125379E-2</v>
      </c>
      <c r="H38" s="159"/>
      <c r="I38" s="58"/>
      <c r="K38" s="160">
        <f>SUM(B38:I38)</f>
        <v>0.4150592132997068</v>
      </c>
      <c r="M38" s="46">
        <f t="shared" si="12"/>
        <v>5.3080464201771766</v>
      </c>
      <c r="O38" s="155" t="s">
        <v>58</v>
      </c>
      <c r="Q38" s="162">
        <v>5</v>
      </c>
      <c r="R38" s="163">
        <v>1.1200000000000001</v>
      </c>
      <c r="U38" s="5"/>
      <c r="V38" s="191"/>
      <c r="W38" s="191"/>
      <c r="X38" s="5"/>
    </row>
    <row r="39" spans="1:24">
      <c r="A39" s="158" t="str">
        <f t="shared" si="10"/>
        <v>SD</v>
      </c>
      <c r="B39" s="95">
        <f>IFERROR(B18*Z14,"")</f>
        <v>3.1400024834076924E-2</v>
      </c>
      <c r="C39" s="12">
        <f>IFERROR(C18*Z15,"")</f>
        <v>2.5029463757061141E-2</v>
      </c>
      <c r="D39" s="12">
        <f>D18*Z16</f>
        <v>2.3983833406450866E-2</v>
      </c>
      <c r="E39" s="12">
        <f>E18*Z17</f>
        <v>2.6064781682011776E-2</v>
      </c>
      <c r="F39" s="12">
        <f>F18*Z18</f>
        <v>3.4850240216047275E-2</v>
      </c>
      <c r="G39" s="12">
        <f>G18*Z19</f>
        <v>4.696987672343781E-2</v>
      </c>
      <c r="H39" s="12"/>
      <c r="I39" s="15"/>
      <c r="K39" s="48">
        <f>SUM(B39:I39)</f>
        <v>0.1882982206190858</v>
      </c>
      <c r="M39" s="49">
        <f t="shared" si="12"/>
        <v>5.4030680836564589</v>
      </c>
      <c r="O39" s="161">
        <f>(O36-(COUNTIF(M35:M42,"&lt;&gt;0")-COUNTIF(M35:M42,"")))/((COUNTIF(M35:M42,"&lt;&gt;0")-COUNTIF(M35:M42,""))-1)</f>
        <v>0.10873428640065672</v>
      </c>
      <c r="Q39" s="164">
        <v>6</v>
      </c>
      <c r="R39" s="165">
        <v>1.24</v>
      </c>
      <c r="U39" s="5"/>
      <c r="V39" s="191"/>
      <c r="W39" s="191"/>
      <c r="X39" s="5"/>
    </row>
    <row r="40" spans="1:24">
      <c r="A40" s="158" t="str">
        <f t="shared" si="10"/>
        <v>ACU</v>
      </c>
      <c r="B40" s="94">
        <f>IFERROR(B19*Z14,"")</f>
        <v>0.37680029800892312</v>
      </c>
      <c r="C40" s="16">
        <f>IFERROR(C19*Z15,"")</f>
        <v>0.30035356508473371</v>
      </c>
      <c r="D40" s="16">
        <f>D19*Z16</f>
        <v>0.1079272503290289</v>
      </c>
      <c r="E40" s="16">
        <f>E19*Z17</f>
        <v>0.39097172523017665</v>
      </c>
      <c r="F40" s="16">
        <f>F19*Z18</f>
        <v>0.20910144129628366</v>
      </c>
      <c r="G40" s="16">
        <f>G19*Z19</f>
        <v>0.28181926034062688</v>
      </c>
      <c r="H40" s="16"/>
      <c r="I40" s="14"/>
      <c r="K40" s="160">
        <f>SUM(B40:I40)</f>
        <v>1.6669735402897732</v>
      </c>
      <c r="M40" s="46">
        <f t="shared" si="12"/>
        <v>5.9150447640624346</v>
      </c>
      <c r="Q40" s="162">
        <v>7</v>
      </c>
      <c r="R40" s="163">
        <v>1.32</v>
      </c>
    </row>
    <row r="41" spans="1:24">
      <c r="A41" s="158">
        <f>H24</f>
        <v>0</v>
      </c>
      <c r="B41" s="95"/>
      <c r="C41" s="12"/>
      <c r="D41" s="12"/>
      <c r="E41" s="12"/>
      <c r="F41" s="12"/>
      <c r="G41" s="12"/>
      <c r="H41" s="12"/>
      <c r="I41" s="15"/>
      <c r="K41" s="48">
        <f t="shared" si="11"/>
        <v>0</v>
      </c>
      <c r="M41" s="49" t="str">
        <f t="shared" si="12"/>
        <v/>
      </c>
      <c r="O41" s="155" t="s">
        <v>59</v>
      </c>
      <c r="Q41" s="164">
        <v>8</v>
      </c>
      <c r="R41" s="165">
        <v>1.41</v>
      </c>
    </row>
    <row r="42" spans="1:24">
      <c r="A42" s="166">
        <f>I24</f>
        <v>0</v>
      </c>
      <c r="B42" s="167"/>
      <c r="C42" s="168"/>
      <c r="D42" s="168"/>
      <c r="E42" s="168"/>
      <c r="F42" s="168"/>
      <c r="G42" s="168"/>
      <c r="H42" s="168"/>
      <c r="I42" s="169"/>
      <c r="K42" s="170">
        <f t="shared" si="11"/>
        <v>0</v>
      </c>
      <c r="M42" s="40" t="str">
        <f>IFERROR(K42/Z21,"")</f>
        <v/>
      </c>
      <c r="O42" s="161">
        <f>IF(ISERR(VLOOKUP(COUNTIF(M35:M42,"&lt;&gt;0")-COUNTIF(M35:M42,""),$Q$35:$R$42,2,FALSE)),"",O39/VLOOKUP(COUNTIF(M35:M42,"&lt;&gt;0")-COUNTIF(M35:M42,""),$Q$35:$R$42,2,FALSE))</f>
        <v>8.7688940645690897E-2</v>
      </c>
      <c r="Q42" s="171">
        <v>9</v>
      </c>
      <c r="R42" s="172">
        <v>1.45</v>
      </c>
    </row>
    <row r="44" spans="1:24">
      <c r="A44" s="69" t="s">
        <v>85</v>
      </c>
    </row>
    <row r="45" spans="1:24" ht="30" customHeight="1">
      <c r="A45" s="196" t="s">
        <v>60</v>
      </c>
      <c r="B45" s="196"/>
      <c r="C45" s="196"/>
      <c r="D45" s="196"/>
      <c r="E45" s="196"/>
      <c r="F45" s="196"/>
      <c r="G45" s="196"/>
      <c r="H45" s="196"/>
      <c r="I45" s="196"/>
      <c r="J45" s="196"/>
      <c r="K45" s="196"/>
      <c r="L45" s="196"/>
      <c r="M45" s="196"/>
      <c r="N45" s="196"/>
      <c r="O45" s="196"/>
    </row>
    <row r="46" spans="1:24" ht="30" customHeight="1">
      <c r="A46" s="196" t="s">
        <v>61</v>
      </c>
      <c r="B46" s="196"/>
      <c r="C46" s="196"/>
      <c r="D46" s="196"/>
      <c r="E46" s="196"/>
      <c r="F46" s="196"/>
      <c r="G46" s="196"/>
      <c r="H46" s="196"/>
      <c r="I46" s="196"/>
      <c r="J46" s="196"/>
      <c r="K46" s="196"/>
      <c r="L46" s="196"/>
      <c r="M46" s="196"/>
      <c r="N46" s="196"/>
      <c r="O46" s="196"/>
    </row>
    <row r="47" spans="1:24" ht="30" customHeight="1">
      <c r="A47" s="196" t="s">
        <v>62</v>
      </c>
      <c r="B47" s="196"/>
      <c r="C47" s="196"/>
      <c r="D47" s="196"/>
      <c r="E47" s="196"/>
      <c r="F47" s="196"/>
      <c r="G47" s="196"/>
      <c r="H47" s="196"/>
      <c r="I47" s="196"/>
      <c r="J47" s="196"/>
      <c r="K47" s="196"/>
      <c r="L47" s="196"/>
      <c r="M47" s="196"/>
      <c r="N47" s="196"/>
      <c r="O47" s="196"/>
    </row>
    <row r="48" spans="1:24" ht="30" customHeight="1">
      <c r="A48" s="196" t="s">
        <v>63</v>
      </c>
      <c r="B48" s="196"/>
      <c r="C48" s="196"/>
      <c r="D48" s="196"/>
      <c r="E48" s="196"/>
      <c r="F48" s="196"/>
      <c r="G48" s="196"/>
      <c r="H48" s="196"/>
      <c r="I48" s="196"/>
      <c r="J48" s="196"/>
      <c r="K48" s="196"/>
      <c r="L48" s="196"/>
      <c r="M48" s="196"/>
      <c r="N48" s="196"/>
      <c r="O48" s="196"/>
    </row>
    <row r="49" spans="1:15" ht="27.75" customHeight="1">
      <c r="A49" s="196" t="s">
        <v>64</v>
      </c>
      <c r="B49" s="196"/>
      <c r="C49" s="196"/>
      <c r="D49" s="196"/>
      <c r="E49" s="196"/>
      <c r="F49" s="196"/>
      <c r="G49" s="196"/>
      <c r="H49" s="196"/>
      <c r="I49" s="196"/>
      <c r="J49" s="196"/>
      <c r="K49" s="196"/>
      <c r="L49" s="196"/>
      <c r="M49" s="196"/>
      <c r="N49" s="196"/>
      <c r="O49" s="196"/>
    </row>
    <row r="50" spans="1:15">
      <c r="H50" s="69" t="s">
        <v>77</v>
      </c>
    </row>
    <row r="51" spans="1:15">
      <c r="C51" s="176" t="s">
        <v>42</v>
      </c>
      <c r="D51" s="177">
        <v>2</v>
      </c>
      <c r="E51" s="89">
        <v>0.5</v>
      </c>
      <c r="F51" s="176" t="s">
        <v>50</v>
      </c>
      <c r="H51" t="s">
        <v>8</v>
      </c>
    </row>
    <row r="52" spans="1:15">
      <c r="C52" s="43" t="s">
        <v>42</v>
      </c>
      <c r="D52" s="175">
        <v>4</v>
      </c>
      <c r="E52" s="90">
        <v>0.25</v>
      </c>
      <c r="F52" s="43" t="s">
        <v>1</v>
      </c>
      <c r="H52" t="s">
        <v>9</v>
      </c>
    </row>
    <row r="53" spans="1:15">
      <c r="C53" s="178" t="s">
        <v>42</v>
      </c>
      <c r="D53" s="179">
        <v>6</v>
      </c>
      <c r="E53" s="91">
        <v>0.16666666666666666</v>
      </c>
      <c r="F53" s="178" t="s">
        <v>44</v>
      </c>
      <c r="H53" t="s">
        <v>10</v>
      </c>
    </row>
    <row r="54" spans="1:15">
      <c r="C54" s="43" t="s">
        <v>42</v>
      </c>
      <c r="D54" s="175">
        <v>8</v>
      </c>
      <c r="E54" s="90">
        <v>0.125</v>
      </c>
      <c r="F54" s="43" t="s">
        <v>40</v>
      </c>
      <c r="H54" t="s">
        <v>11</v>
      </c>
    </row>
    <row r="55" spans="1:15">
      <c r="C55" s="178" t="s">
        <v>42</v>
      </c>
      <c r="D55" s="179">
        <v>9</v>
      </c>
      <c r="E55" s="91">
        <v>0.1111111111111111</v>
      </c>
      <c r="F55" s="178" t="s">
        <v>46</v>
      </c>
      <c r="H55" t="s">
        <v>12</v>
      </c>
    </row>
    <row r="56" spans="1:15">
      <c r="C56" s="43" t="s">
        <v>50</v>
      </c>
      <c r="D56" s="175">
        <v>3</v>
      </c>
      <c r="E56" s="90">
        <v>0.33333333333333331</v>
      </c>
      <c r="F56" s="43" t="s">
        <v>1</v>
      </c>
      <c r="H56" t="s">
        <v>13</v>
      </c>
    </row>
    <row r="57" spans="1:15">
      <c r="C57" s="178" t="s">
        <v>50</v>
      </c>
      <c r="D57" s="179">
        <v>5</v>
      </c>
      <c r="E57" s="91">
        <v>0.2</v>
      </c>
      <c r="F57" s="178" t="s">
        <v>44</v>
      </c>
    </row>
    <row r="58" spans="1:15">
      <c r="C58" s="43" t="s">
        <v>50</v>
      </c>
      <c r="D58" s="175">
        <v>6</v>
      </c>
      <c r="E58" s="90">
        <v>0.16666666666666666</v>
      </c>
      <c r="F58" s="43" t="s">
        <v>40</v>
      </c>
    </row>
    <row r="59" spans="1:15">
      <c r="C59" s="178" t="s">
        <v>50</v>
      </c>
      <c r="D59" s="179">
        <v>8</v>
      </c>
      <c r="E59" s="91">
        <v>0.125</v>
      </c>
      <c r="F59" s="178" t="s">
        <v>46</v>
      </c>
    </row>
    <row r="60" spans="1:15">
      <c r="C60" s="43" t="s">
        <v>1</v>
      </c>
      <c r="D60" s="175">
        <v>2</v>
      </c>
      <c r="E60" s="90">
        <v>0.5</v>
      </c>
      <c r="F60" s="43" t="s">
        <v>44</v>
      </c>
    </row>
    <row r="61" spans="1:15">
      <c r="C61" s="178" t="s">
        <v>1</v>
      </c>
      <c r="D61" s="179">
        <v>3</v>
      </c>
      <c r="E61" s="91">
        <v>0.33333333333333331</v>
      </c>
      <c r="F61" s="178" t="s">
        <v>40</v>
      </c>
    </row>
    <row r="62" spans="1:15">
      <c r="C62" s="43" t="s">
        <v>1</v>
      </c>
      <c r="D62" s="175">
        <v>4</v>
      </c>
      <c r="E62" s="90">
        <v>0.25</v>
      </c>
      <c r="F62" s="43" t="s">
        <v>46</v>
      </c>
    </row>
    <row r="63" spans="1:15">
      <c r="C63" s="178" t="s">
        <v>44</v>
      </c>
      <c r="D63" s="179">
        <v>2</v>
      </c>
      <c r="E63" s="91">
        <v>0.5</v>
      </c>
      <c r="F63" s="178" t="s">
        <v>40</v>
      </c>
    </row>
    <row r="64" spans="1:15">
      <c r="C64" s="43" t="s">
        <v>44</v>
      </c>
      <c r="D64" s="175">
        <v>3</v>
      </c>
      <c r="E64" s="90">
        <v>0.33333333333333331</v>
      </c>
      <c r="F64" s="43" t="s">
        <v>46</v>
      </c>
    </row>
    <row r="65" spans="3:6">
      <c r="C65" s="180" t="s">
        <v>40</v>
      </c>
      <c r="D65" s="181">
        <v>2</v>
      </c>
      <c r="E65" s="182">
        <v>0.5</v>
      </c>
      <c r="F65" s="180" t="s">
        <v>46</v>
      </c>
    </row>
  </sheetData>
  <mergeCells count="9">
    <mergeCell ref="Q25:S25"/>
    <mergeCell ref="B2:I2"/>
    <mergeCell ref="A49:O49"/>
    <mergeCell ref="A1:I1"/>
    <mergeCell ref="A45:O45"/>
    <mergeCell ref="A46:O46"/>
    <mergeCell ref="A47:O47"/>
    <mergeCell ref="A48:O48"/>
    <mergeCell ref="M25:O25"/>
  </mergeCells>
  <conditionalFormatting sqref="R26:R29">
    <cfRule type="cellIs" dxfId="35" priority="34" operator="equal">
      <formula>1</formula>
    </cfRule>
    <cfRule type="cellIs" dxfId="34" priority="35" operator="equal">
      <formula>2</formula>
    </cfRule>
    <cfRule type="cellIs" dxfId="33" priority="36" operator="equal">
      <formula>3</formula>
    </cfRule>
    <cfRule type="cellIs" dxfId="32" priority="37" operator="equal">
      <formula>4</formula>
    </cfRule>
    <cfRule type="cellIs" dxfId="31" priority="38" operator="equal">
      <formula>5</formula>
    </cfRule>
  </conditionalFormatting>
  <conditionalFormatting sqref="Q26:Q31 K26:K30">
    <cfRule type="cellIs" dxfId="30" priority="33" operator="equal">
      <formula>0</formula>
    </cfRule>
  </conditionalFormatting>
  <conditionalFormatting sqref="A26:A31">
    <cfRule type="cellIs" dxfId="29" priority="32" operator="equal">
      <formula>0</formula>
    </cfRule>
  </conditionalFormatting>
  <conditionalFormatting sqref="B31:I31">
    <cfRule type="cellIs" dxfId="28" priority="30" operator="equal">
      <formula>0</formula>
    </cfRule>
  </conditionalFormatting>
  <conditionalFormatting sqref="K26:K31">
    <cfRule type="cellIs" dxfId="27" priority="29" operator="equal">
      <formula>0</formula>
    </cfRule>
  </conditionalFormatting>
  <conditionalFormatting sqref="R30">
    <cfRule type="cellIs" dxfId="26" priority="24" operator="equal">
      <formula>1</formula>
    </cfRule>
    <cfRule type="cellIs" dxfId="25" priority="25" operator="equal">
      <formula>2</formula>
    </cfRule>
    <cfRule type="cellIs" dxfId="24" priority="26" operator="equal">
      <formula>3</formula>
    </cfRule>
    <cfRule type="cellIs" dxfId="23" priority="27" operator="equal">
      <formula>4</formula>
    </cfRule>
    <cfRule type="cellIs" dxfId="22" priority="28" operator="equal">
      <formula>5</formula>
    </cfRule>
  </conditionalFormatting>
  <conditionalFormatting sqref="B13:I13">
    <cfRule type="cellIs" dxfId="21" priority="23" operator="equal">
      <formula>0</formula>
    </cfRule>
  </conditionalFormatting>
  <conditionalFormatting sqref="A14:A21">
    <cfRule type="cellIs" dxfId="20" priority="22" operator="equal">
      <formula>0</formula>
    </cfRule>
  </conditionalFormatting>
  <conditionalFormatting sqref="B25:I25">
    <cfRule type="cellIs" dxfId="19" priority="21" operator="equal">
      <formula>0</formula>
    </cfRule>
  </conditionalFormatting>
  <conditionalFormatting sqref="B26:I31">
    <cfRule type="cellIs" dxfId="18" priority="14" operator="equal">
      <formula>0</formula>
    </cfRule>
    <cfRule type="cellIs" dxfId="17" priority="20" operator="equal">
      <formula>#DIV/0!</formula>
    </cfRule>
  </conditionalFormatting>
  <conditionalFormatting sqref="V13:W21">
    <cfRule type="cellIs" dxfId="16" priority="19" operator="equal">
      <formula>0</formula>
    </cfRule>
  </conditionalFormatting>
  <conditionalFormatting sqref="O20:O21">
    <cfRule type="cellIs" dxfId="15" priority="17" operator="equal">
      <formula>0</formula>
    </cfRule>
    <cfRule type="cellIs" priority="18" operator="equal">
      <formula>0</formula>
    </cfRule>
  </conditionalFormatting>
  <conditionalFormatting sqref="P14:W21">
    <cfRule type="cellIs" dxfId="14" priority="16" operator="equal">
      <formula>0</formula>
    </cfRule>
  </conditionalFormatting>
  <conditionalFormatting sqref="Y14:Z21">
    <cfRule type="cellIs" dxfId="13" priority="15" operator="equal">
      <formula>0</formula>
    </cfRule>
  </conditionalFormatting>
  <conditionalFormatting sqref="L14:L21">
    <cfRule type="cellIs" dxfId="12" priority="13" operator="equal">
      <formula>0</formula>
    </cfRule>
  </conditionalFormatting>
  <conditionalFormatting sqref="P13:W13">
    <cfRule type="cellIs" dxfId="11" priority="12" operator="equal">
      <formula>0</formula>
    </cfRule>
  </conditionalFormatting>
  <conditionalFormatting sqref="O14:O21">
    <cfRule type="cellIs" dxfId="10" priority="11" operator="equal">
      <formula>0</formula>
    </cfRule>
  </conditionalFormatting>
  <conditionalFormatting sqref="R31">
    <cfRule type="cellIs" dxfId="9" priority="6" operator="equal">
      <formula>1</formula>
    </cfRule>
    <cfRule type="cellIs" dxfId="8" priority="7" operator="equal">
      <formula>2</formula>
    </cfRule>
    <cfRule type="cellIs" dxfId="7" priority="8" operator="equal">
      <formula>3</formula>
    </cfRule>
    <cfRule type="cellIs" dxfId="6" priority="9" operator="equal">
      <formula>4</formula>
    </cfRule>
    <cfRule type="cellIs" dxfId="5" priority="10" operator="equal">
      <formula>5</formula>
    </cfRule>
  </conditionalFormatting>
  <conditionalFormatting sqref="K35:K42">
    <cfRule type="cellIs" dxfId="4" priority="2" operator="equal">
      <formula>0</formula>
    </cfRule>
  </conditionalFormatting>
  <conditionalFormatting sqref="B34:I34">
    <cfRule type="cellIs" dxfId="3" priority="5" operator="equal">
      <formula>0</formula>
    </cfRule>
  </conditionalFormatting>
  <conditionalFormatting sqref="A35:A42">
    <cfRule type="cellIs" dxfId="2" priority="4" operator="equal">
      <formula>0</formula>
    </cfRule>
  </conditionalFormatting>
  <conditionalFormatting sqref="K35:K42">
    <cfRule type="cellIs" dxfId="1" priority="3" operator="equal">
      <formula>0</formula>
    </cfRule>
  </conditionalFormatting>
  <conditionalFormatting sqref="B35:G40">
    <cfRule type="cellIs" dxfId="0" priority="1" operator="equal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Aromey</dc:creator>
  <cp:lastModifiedBy>Aromey</cp:lastModifiedBy>
  <dcterms:created xsi:type="dcterms:W3CDTF">2024-03-15T19:40:24Z</dcterms:created>
  <dcterms:modified xsi:type="dcterms:W3CDTF">2024-05-19T18:59:21Z</dcterms:modified>
</cp:coreProperties>
</file>