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des\10 Semestre\03- TCC\AHP\Eficacia\"/>
    </mc:Choice>
  </mc:AlternateContent>
  <bookViews>
    <workbookView xWindow="0" yWindow="0" windowWidth="15360" windowHeight="76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K33" i="1"/>
  <c r="K34" i="1"/>
  <c r="K35" i="1"/>
  <c r="O57" i="1" l="1"/>
  <c r="M51" i="1"/>
  <c r="M52" i="1"/>
  <c r="M53" i="1"/>
  <c r="M54" i="1"/>
  <c r="M55" i="1"/>
  <c r="M56" i="1"/>
  <c r="M57" i="1"/>
  <c r="M50" i="1"/>
  <c r="F57" i="1"/>
  <c r="F56" i="1"/>
  <c r="F55" i="1"/>
  <c r="F54" i="1"/>
  <c r="F53" i="1"/>
  <c r="F52" i="1"/>
  <c r="F51" i="1"/>
  <c r="F50" i="1"/>
  <c r="E57" i="1"/>
  <c r="E56" i="1"/>
  <c r="E55" i="1"/>
  <c r="K55" i="1" s="1"/>
  <c r="E54" i="1"/>
  <c r="E53" i="1"/>
  <c r="E52" i="1"/>
  <c r="E51" i="1"/>
  <c r="E50" i="1"/>
  <c r="K54" i="1"/>
  <c r="D57" i="1"/>
  <c r="D56" i="1"/>
  <c r="D55" i="1"/>
  <c r="D54" i="1"/>
  <c r="D53" i="1"/>
  <c r="D52" i="1"/>
  <c r="D51" i="1"/>
  <c r="D50" i="1"/>
  <c r="C57" i="1"/>
  <c r="C56" i="1"/>
  <c r="C55" i="1"/>
  <c r="C54" i="1"/>
  <c r="C53" i="1"/>
  <c r="C52" i="1"/>
  <c r="C51" i="1"/>
  <c r="C50" i="1"/>
  <c r="B57" i="1"/>
  <c r="K57" i="1" s="1"/>
  <c r="B56" i="1"/>
  <c r="B55" i="1"/>
  <c r="B54" i="1"/>
  <c r="B53" i="1"/>
  <c r="B52" i="1"/>
  <c r="B51" i="1"/>
  <c r="B50" i="1"/>
  <c r="A51" i="1"/>
  <c r="A52" i="1"/>
  <c r="A53" i="1"/>
  <c r="A54" i="1"/>
  <c r="A55" i="1"/>
  <c r="A56" i="1"/>
  <c r="A57" i="1"/>
  <c r="A50" i="1"/>
  <c r="F49" i="1"/>
  <c r="E49" i="1"/>
  <c r="D49" i="1"/>
  <c r="C49" i="1"/>
  <c r="B49" i="1"/>
  <c r="K50" i="1"/>
  <c r="I49" i="1"/>
  <c r="H49" i="1"/>
  <c r="G49" i="1"/>
  <c r="K51" i="1" l="1"/>
  <c r="K53" i="1"/>
  <c r="K52" i="1"/>
  <c r="K56" i="1"/>
  <c r="O51" i="1" l="1"/>
  <c r="O54" i="1" s="1"/>
  <c r="N38" i="1" l="1"/>
  <c r="N39" i="1"/>
  <c r="N40" i="1"/>
  <c r="N41" i="1"/>
  <c r="N42" i="1"/>
  <c r="N43" i="1"/>
  <c r="N44" i="1"/>
  <c r="N45" i="1"/>
  <c r="N46" i="1"/>
  <c r="B34" i="1" l="1"/>
  <c r="B39" i="1"/>
  <c r="I27" i="1"/>
  <c r="I26" i="1"/>
  <c r="I25" i="1"/>
  <c r="I24" i="1"/>
  <c r="I23" i="1"/>
  <c r="A38" i="1"/>
  <c r="A39" i="1"/>
  <c r="A40" i="1"/>
  <c r="A41" i="1"/>
  <c r="A42" i="1"/>
  <c r="A43" i="1"/>
  <c r="A44" i="1"/>
  <c r="A45" i="1"/>
  <c r="A46" i="1"/>
  <c r="F3" i="1" l="1"/>
  <c r="E3" i="1"/>
  <c r="D3" i="1" l="1"/>
  <c r="C3" i="1"/>
  <c r="B3" i="1"/>
  <c r="B31" i="1" s="1"/>
  <c r="M22" i="1" l="1"/>
  <c r="G31" i="1"/>
  <c r="F31" i="1"/>
  <c r="E31" i="1"/>
  <c r="D31" i="1"/>
  <c r="C31" i="1"/>
  <c r="L27" i="1"/>
  <c r="L26" i="1"/>
  <c r="L25" i="1"/>
  <c r="L24" i="1"/>
  <c r="L23" i="1"/>
  <c r="Y28" i="1"/>
  <c r="Y30" i="1"/>
  <c r="Y29" i="1"/>
  <c r="S27" i="1"/>
  <c r="S26" i="1"/>
  <c r="S25" i="1"/>
  <c r="S24" i="1"/>
  <c r="S23" i="1"/>
  <c r="N22" i="1"/>
  <c r="O22" i="1"/>
  <c r="P22" i="1"/>
  <c r="Q22" i="1"/>
  <c r="A27" i="1"/>
  <c r="A26" i="1"/>
  <c r="A25" i="1"/>
  <c r="A24" i="1"/>
  <c r="A23" i="1"/>
  <c r="E22" i="1"/>
  <c r="F22" i="1"/>
  <c r="D22" i="1"/>
  <c r="C22" i="1"/>
  <c r="B22" i="1"/>
  <c r="P25" i="1" l="1"/>
  <c r="Q25" i="1"/>
  <c r="M25" i="1"/>
  <c r="O25" i="1"/>
  <c r="N25" i="1"/>
  <c r="T25" i="1" s="1"/>
  <c r="Q27" i="1"/>
  <c r="Q26" i="1"/>
  <c r="Q24" i="1"/>
  <c r="Q23" i="1"/>
  <c r="P26" i="1"/>
  <c r="P24" i="1"/>
  <c r="P23" i="1"/>
  <c r="P27" i="1"/>
  <c r="O26" i="1"/>
  <c r="O24" i="1"/>
  <c r="O23" i="1"/>
  <c r="O27" i="1"/>
  <c r="N26" i="1"/>
  <c r="N24" i="1"/>
  <c r="T24" i="1" s="1"/>
  <c r="N27" i="1"/>
  <c r="N23" i="1"/>
  <c r="T23" i="1" s="1"/>
  <c r="M27" i="1"/>
  <c r="M26" i="1"/>
  <c r="M24" i="1"/>
  <c r="M23" i="1"/>
  <c r="A32" i="1"/>
  <c r="N37" i="1"/>
  <c r="N36" i="1"/>
  <c r="N35" i="1"/>
  <c r="N34" i="1"/>
  <c r="N33" i="1"/>
  <c r="N32" i="1"/>
  <c r="A37" i="1"/>
  <c r="A36" i="1"/>
  <c r="A35" i="1"/>
  <c r="A34" i="1"/>
  <c r="A33" i="1"/>
  <c r="T27" i="1" l="1"/>
  <c r="F38" i="1" s="1"/>
  <c r="T26" i="1"/>
  <c r="F45" i="1"/>
  <c r="F46" i="1"/>
  <c r="F39" i="1"/>
  <c r="F44" i="1"/>
  <c r="F42" i="1"/>
  <c r="F40" i="1"/>
  <c r="F43" i="1"/>
  <c r="F41" i="1"/>
  <c r="E41" i="1"/>
  <c r="E46" i="1"/>
  <c r="E40" i="1"/>
  <c r="E38" i="1"/>
  <c r="E45" i="1"/>
  <c r="E42" i="1"/>
  <c r="E44" i="1"/>
  <c r="E43" i="1"/>
  <c r="E39" i="1"/>
  <c r="B40" i="1"/>
  <c r="H40" i="1" s="1"/>
  <c r="B35" i="1"/>
  <c r="B45" i="1"/>
  <c r="B33" i="1"/>
  <c r="B46" i="1"/>
  <c r="B44" i="1"/>
  <c r="B42" i="1"/>
  <c r="B37" i="1"/>
  <c r="B38" i="1"/>
  <c r="B41" i="1"/>
  <c r="B43" i="1"/>
  <c r="B36" i="1"/>
  <c r="C41" i="1"/>
  <c r="C34" i="1"/>
  <c r="C40" i="1"/>
  <c r="C36" i="1"/>
  <c r="C46" i="1"/>
  <c r="C39" i="1"/>
  <c r="C44" i="1"/>
  <c r="C38" i="1"/>
  <c r="C35" i="1"/>
  <c r="C37" i="1"/>
  <c r="C42" i="1"/>
  <c r="C33" i="1"/>
  <c r="C32" i="1"/>
  <c r="C45" i="1"/>
  <c r="C43" i="1"/>
  <c r="D45" i="1"/>
  <c r="D43" i="1"/>
  <c r="D41" i="1"/>
  <c r="D46" i="1"/>
  <c r="D44" i="1"/>
  <c r="D42" i="1"/>
  <c r="D39" i="1"/>
  <c r="D40" i="1"/>
  <c r="D38" i="1"/>
  <c r="Z29" i="1"/>
  <c r="Z30" i="1"/>
  <c r="I37" i="1" s="1"/>
  <c r="H46" i="1" l="1"/>
  <c r="H39" i="1"/>
  <c r="H43" i="1"/>
  <c r="H38" i="1"/>
  <c r="H45" i="1"/>
  <c r="H41" i="1"/>
  <c r="H42" i="1"/>
  <c r="H44" i="1"/>
  <c r="I34" i="1"/>
  <c r="I32" i="1"/>
  <c r="I35" i="1"/>
  <c r="I33" i="1"/>
  <c r="I36" i="1"/>
  <c r="Z28" i="1" l="1"/>
  <c r="G33" i="1" l="1"/>
  <c r="G37" i="1"/>
  <c r="G34" i="1"/>
  <c r="G36" i="1"/>
  <c r="G32" i="1"/>
  <c r="G35" i="1"/>
  <c r="B32" i="1" l="1"/>
  <c r="D32" i="1"/>
  <c r="D34" i="1"/>
  <c r="D35" i="1"/>
  <c r="D33" i="1"/>
  <c r="D36" i="1"/>
  <c r="D37" i="1"/>
  <c r="E34" i="1"/>
  <c r="E37" i="1"/>
  <c r="E32" i="1"/>
  <c r="E33" i="1"/>
  <c r="E36" i="1"/>
  <c r="E35" i="1"/>
  <c r="F33" i="1"/>
  <c r="F32" i="1"/>
  <c r="F35" i="1"/>
  <c r="F36" i="1"/>
  <c r="F37" i="1"/>
  <c r="F34" i="1"/>
  <c r="H33" i="1" l="1"/>
  <c r="H37" i="1"/>
  <c r="H35" i="1"/>
  <c r="H36" i="1"/>
  <c r="H34" i="1"/>
  <c r="H32" i="1"/>
  <c r="K36" i="1" l="1"/>
  <c r="L33" i="1"/>
  <c r="L32" i="1"/>
  <c r="L34" i="1"/>
  <c r="L35" i="1"/>
  <c r="L36" i="1"/>
  <c r="O32" i="1" l="1"/>
  <c r="O37" i="1"/>
  <c r="O35" i="1"/>
  <c r="O36" i="1"/>
  <c r="O46" i="1"/>
  <c r="O44" i="1"/>
  <c r="O43" i="1"/>
  <c r="O42" i="1"/>
  <c r="O45" i="1"/>
  <c r="O38" i="1"/>
  <c r="O34" i="1"/>
  <c r="O39" i="1"/>
  <c r="O40" i="1"/>
  <c r="O41" i="1"/>
  <c r="O33" i="1"/>
</calcChain>
</file>

<file path=xl/sharedStrings.xml><?xml version="1.0" encoding="utf-8"?>
<sst xmlns="http://schemas.openxmlformats.org/spreadsheetml/2006/main" count="97" uniqueCount="77">
  <si>
    <t>Ferramenta</t>
  </si>
  <si>
    <t>Colona 1</t>
  </si>
  <si>
    <t>Colona 2</t>
  </si>
  <si>
    <t>b) Normalização da matriz:</t>
  </si>
  <si>
    <t>1 = Igualmente importante</t>
  </si>
  <si>
    <t>3 = Moderadamente mais importante</t>
  </si>
  <si>
    <t>5 = Fortemente mais importante</t>
  </si>
  <si>
    <t>7 = Muito fortemente mais importante</t>
  </si>
  <si>
    <t>9 = Extremamente mais importante</t>
  </si>
  <si>
    <t>2, 4, 6, 8 são valores intermediários</t>
  </si>
  <si>
    <t>5 Estrelas</t>
  </si>
  <si>
    <t>4 Estrelas</t>
  </si>
  <si>
    <t>3 Estrelas</t>
  </si>
  <si>
    <t>2 Estrelas</t>
  </si>
  <si>
    <t>1 Estrela</t>
  </si>
  <si>
    <t>Colona 3</t>
  </si>
  <si>
    <t>Colona 4</t>
  </si>
  <si>
    <t>Colona 5</t>
  </si>
  <si>
    <t>Estrela(S)</t>
  </si>
  <si>
    <t>4) Classificação de ferramentas em estrelas de 1 a 5</t>
  </si>
  <si>
    <t>Intervalos de classificação</t>
  </si>
  <si>
    <t>Soma Col. 1:</t>
  </si>
  <si>
    <t>Soma Col. 2:</t>
  </si>
  <si>
    <t>Soma Col. 3:</t>
  </si>
  <si>
    <t>Soma Col. 4:</t>
  </si>
  <si>
    <t>Soma Col. 5:</t>
  </si>
  <si>
    <t>Grype</t>
  </si>
  <si>
    <t>Dagda</t>
  </si>
  <si>
    <t>Pontuação</t>
  </si>
  <si>
    <t>Anchore</t>
  </si>
  <si>
    <t>Docker Scan</t>
  </si>
  <si>
    <t>Trivy</t>
  </si>
  <si>
    <t>5 estrelas</t>
  </si>
  <si>
    <t>2 Est.</t>
  </si>
  <si>
    <t>3 Est.</t>
  </si>
  <si>
    <t>4 Est.</t>
  </si>
  <si>
    <t>5 Est.</t>
  </si>
  <si>
    <t>Clair</t>
  </si>
  <si>
    <t xml:space="preserve">Vuls </t>
  </si>
  <si>
    <t>Microscanner</t>
  </si>
  <si>
    <t>Snyk</t>
  </si>
  <si>
    <t>jFrog Xray</t>
  </si>
  <si>
    <t>k-NN</t>
  </si>
  <si>
    <t>PCA+KNN</t>
  </si>
  <si>
    <t>k-means</t>
  </si>
  <si>
    <t>SOM time</t>
  </si>
  <si>
    <t>SOM freq</t>
  </si>
  <si>
    <t xml:space="preserve"> pontuação no intervalo superior</t>
  </si>
  <si>
    <t>pontuação no segundo intervalo mais alto</t>
  </si>
  <si>
    <t xml:space="preserve">4 estrelas </t>
  </si>
  <si>
    <t>3 estrelas</t>
  </si>
  <si>
    <t>pontuação no intervalo médio</t>
  </si>
  <si>
    <t>2 estrelas</t>
  </si>
  <si>
    <t>pontuação no segundo intervalo mais baixo</t>
  </si>
  <si>
    <t>pontuação no intervalo inferior</t>
  </si>
  <si>
    <t xml:space="preserve">1 estrela </t>
  </si>
  <si>
    <t>1Est.</t>
  </si>
  <si>
    <t>Vetor Peso</t>
  </si>
  <si>
    <t>VP/Peso</t>
  </si>
  <si>
    <t>N. Métricas</t>
  </si>
  <si>
    <t>IR</t>
  </si>
  <si>
    <t>λmax</t>
  </si>
  <si>
    <t>IC</t>
  </si>
  <si>
    <t>RC</t>
  </si>
  <si>
    <t>Classificação</t>
  </si>
  <si>
    <t xml:space="preserve">Pontuaçã final de cada ferramenta </t>
  </si>
  <si>
    <t>Escala de prioridades (Saaty)</t>
  </si>
  <si>
    <t>1) Montar matriz de julgamentos.</t>
  </si>
  <si>
    <t>2) Calculo dos pesos.</t>
  </si>
  <si>
    <t>a) Soma de cada coluna</t>
  </si>
  <si>
    <t>c) Cálculo de pesos (média linha)</t>
  </si>
  <si>
    <t>3) Calculo da pontuação de cada ferramenta.</t>
  </si>
  <si>
    <t>Verificar a consistência.</t>
  </si>
  <si>
    <t>Desvio máximo da matriz</t>
  </si>
  <si>
    <t>Indice Randômico</t>
  </si>
  <si>
    <t>Indice de Consistência</t>
  </si>
  <si>
    <t>Razão de Consistência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</si>
</sst>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#,##0.0000"/>
    <numFmt numFmtId="166" formatCode="0.000"/>
  </numFmts>
  <fonts count="5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rgb="FF000000"/>
      <name val="NimbusRomNo9L-Regu"/>
    </font>
    <font>
      <b/>
      <sz val="11"/>
      <color theme="1"/>
      <name val="Calibri"/>
      <family val="2"/>
      <scheme val="minor"/>
    </font>
    <font>
      <sz val="11"/>
      <color rgb="FF3E3F4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Alignment="1"/>
    <xf numFmtId="0" fontId="0" fillId="0" borderId="1" xfId="0" applyBorder="1"/>
    <xf numFmtId="164" fontId="0" fillId="2" borderId="8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left" vertical="top" wrapText="1"/>
    </xf>
    <xf numFmtId="0" fontId="0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Font="1" applyFill="1" applyBorder="1" applyAlignment="1">
      <alignment horizontal="left" vertical="top" wrapText="1"/>
    </xf>
    <xf numFmtId="12" fontId="0" fillId="0" borderId="0" xfId="0" applyNumberFormat="1" applyBorder="1" applyAlignment="1">
      <alignment horizontal="center"/>
    </xf>
    <xf numFmtId="12" fontId="0" fillId="2" borderId="8" xfId="0" applyNumberFormat="1" applyFill="1" applyBorder="1" applyAlignment="1">
      <alignment horizontal="center"/>
    </xf>
    <xf numFmtId="12" fontId="0" fillId="2" borderId="0" xfId="0" applyNumberForma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165" fontId="0" fillId="2" borderId="1" xfId="0" applyNumberFormat="1" applyFill="1" applyBorder="1"/>
    <xf numFmtId="165" fontId="0" fillId="2" borderId="10" xfId="0" applyNumberFormat="1" applyFill="1" applyBorder="1"/>
    <xf numFmtId="164" fontId="0" fillId="2" borderId="10" xfId="0" applyNumberFormat="1" applyFill="1" applyBorder="1"/>
    <xf numFmtId="0" fontId="0" fillId="0" borderId="10" xfId="0" applyFont="1" applyFill="1" applyBorder="1" applyAlignment="1">
      <alignment horizontal="left" vertical="top" wrapText="1"/>
    </xf>
    <xf numFmtId="0" fontId="0" fillId="0" borderId="10" xfId="0" applyNumberFormat="1" applyBorder="1" applyAlignment="1">
      <alignment vertical="center" wrapText="1"/>
    </xf>
    <xf numFmtId="0" fontId="0" fillId="0" borderId="11" xfId="0" applyNumberFormat="1" applyBorder="1" applyAlignment="1">
      <alignment vertical="center" wrapText="1"/>
    </xf>
    <xf numFmtId="164" fontId="0" fillId="2" borderId="2" xfId="0" applyNumberFormat="1" applyFill="1" applyBorder="1" applyAlignment="1">
      <alignment horizontal="center"/>
    </xf>
    <xf numFmtId="164" fontId="0" fillId="2" borderId="1" xfId="0" applyNumberFormat="1" applyFill="1" applyBorder="1"/>
    <xf numFmtId="0" fontId="3" fillId="0" borderId="0" xfId="0" applyFont="1"/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49" fontId="0" fillId="0" borderId="12" xfId="0" applyNumberForma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12" fontId="0" fillId="2" borderId="4" xfId="0" applyNumberFormat="1" applyFill="1" applyBorder="1" applyAlignment="1">
      <alignment horizontal="center"/>
    </xf>
    <xf numFmtId="12" fontId="0" fillId="0" borderId="7" xfId="0" applyNumberFormat="1" applyBorder="1" applyAlignment="1">
      <alignment horizontal="center"/>
    </xf>
    <xf numFmtId="12" fontId="0" fillId="2" borderId="7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 vertical="top" wrapText="1"/>
    </xf>
    <xf numFmtId="0" fontId="0" fillId="0" borderId="8" xfId="0" applyNumberForma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Alignment="1"/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 vertical="top" wrapText="1"/>
    </xf>
    <xf numFmtId="0" fontId="0" fillId="2" borderId="1" xfId="0" applyFill="1" applyBorder="1"/>
    <xf numFmtId="0" fontId="0" fillId="3" borderId="10" xfId="0" applyFill="1" applyBorder="1"/>
    <xf numFmtId="0" fontId="0" fillId="2" borderId="10" xfId="0" applyFill="1" applyBorder="1"/>
    <xf numFmtId="0" fontId="2" fillId="0" borderId="10" xfId="0" applyFont="1" applyBorder="1" applyAlignment="1">
      <alignment vertical="center" wrapText="1"/>
    </xf>
    <xf numFmtId="0" fontId="0" fillId="2" borderId="10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2" borderId="11" xfId="0" applyFont="1" applyFill="1" applyBorder="1" applyAlignment="1"/>
    <xf numFmtId="1" fontId="0" fillId="2" borderId="2" xfId="0" applyNumberFormat="1" applyFon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/>
    </xf>
    <xf numFmtId="1" fontId="0" fillId="2" borderId="4" xfId="0" applyNumberFormat="1" applyFont="1" applyFill="1" applyBorder="1" applyAlignment="1">
      <alignment horizontal="center"/>
    </xf>
    <xf numFmtId="1" fontId="0" fillId="3" borderId="6" xfId="0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3" borderId="0" xfId="0" applyNumberFormat="1" applyFont="1" applyFill="1" applyBorder="1" applyAlignment="1">
      <alignment horizontal="center" vertical="center"/>
    </xf>
    <xf numFmtId="1" fontId="0" fillId="0" borderId="7" xfId="0" applyNumberFormat="1" applyFont="1" applyFill="1" applyBorder="1" applyAlignment="1">
      <alignment horizontal="center"/>
    </xf>
    <xf numFmtId="1" fontId="0" fillId="2" borderId="6" xfId="0" applyNumberFormat="1" applyFont="1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 vertical="center"/>
    </xf>
    <xf numFmtId="1" fontId="0" fillId="2" borderId="7" xfId="0" applyNumberFormat="1" applyFont="1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1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2" fontId="0" fillId="2" borderId="2" xfId="0" applyNumberFormat="1" applyFill="1" applyBorder="1" applyAlignment="1">
      <alignment horizontal="center"/>
    </xf>
    <xf numFmtId="12" fontId="0" fillId="0" borderId="6" xfId="0" applyNumberFormat="1" applyBorder="1" applyAlignment="1">
      <alignment horizontal="center"/>
    </xf>
    <xf numFmtId="12" fontId="0" fillId="2" borderId="6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left" vertical="center" wrapText="1"/>
    </xf>
    <xf numFmtId="0" fontId="0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NumberFormat="1" applyFont="1" applyFill="1" applyBorder="1" applyAlignment="1">
      <alignment horizontal="left" vertical="top" wrapText="1"/>
    </xf>
    <xf numFmtId="0" fontId="0" fillId="2" borderId="3" xfId="0" applyNumberFormat="1" applyFill="1" applyBorder="1" applyAlignment="1">
      <alignment horizontal="center"/>
    </xf>
    <xf numFmtId="164" fontId="0" fillId="0" borderId="10" xfId="0" applyNumberFormat="1" applyFill="1" applyBorder="1"/>
    <xf numFmtId="164" fontId="0" fillId="0" borderId="0" xfId="0" applyNumberFormat="1" applyFill="1" applyBorder="1"/>
    <xf numFmtId="165" fontId="0" fillId="2" borderId="11" xfId="0" applyNumberFormat="1" applyFill="1" applyBorder="1"/>
    <xf numFmtId="49" fontId="0" fillId="0" borderId="0" xfId="0" applyNumberFormat="1" applyFill="1" applyBorder="1"/>
    <xf numFmtId="164" fontId="0" fillId="2" borderId="11" xfId="0" applyNumberFormat="1" applyFill="1" applyBorder="1"/>
    <xf numFmtId="49" fontId="0" fillId="0" borderId="0" xfId="0" applyNumberFormat="1" applyFont="1" applyFill="1" applyBorder="1" applyAlignment="1">
      <alignment horizontal="left" vertical="top" wrapText="1"/>
    </xf>
    <xf numFmtId="49" fontId="0" fillId="2" borderId="1" xfId="0" applyNumberFormat="1" applyFill="1" applyBorder="1" applyAlignment="1">
      <alignment horizontal="left"/>
    </xf>
    <xf numFmtId="49" fontId="0" fillId="0" borderId="10" xfId="0" applyNumberFormat="1" applyBorder="1" applyAlignment="1">
      <alignment horizontal="left" vertical="center"/>
    </xf>
    <xf numFmtId="49" fontId="4" fillId="2" borderId="10" xfId="0" applyNumberFormat="1" applyFont="1" applyFill="1" applyBorder="1" applyAlignment="1">
      <alignment horizontal="left" vertical="center"/>
    </xf>
    <xf numFmtId="49" fontId="0" fillId="0" borderId="10" xfId="0" applyNumberFormat="1" applyFill="1" applyBorder="1" applyAlignment="1">
      <alignment horizontal="left" vertical="center"/>
    </xf>
    <xf numFmtId="49" fontId="0" fillId="2" borderId="10" xfId="0" applyNumberFormat="1" applyFill="1" applyBorder="1" applyAlignment="1">
      <alignment horizontal="left" vertical="center"/>
    </xf>
    <xf numFmtId="49" fontId="0" fillId="0" borderId="10" xfId="0" applyNumberFormat="1" applyBorder="1" applyAlignment="1">
      <alignment horizontal="left"/>
    </xf>
    <xf numFmtId="49" fontId="0" fillId="2" borderId="10" xfId="0" applyNumberFormat="1" applyFill="1" applyBorder="1" applyAlignment="1">
      <alignment horizontal="left"/>
    </xf>
    <xf numFmtId="49" fontId="4" fillId="2" borderId="11" xfId="0" applyNumberFormat="1" applyFont="1" applyFill="1" applyBorder="1" applyAlignment="1">
      <alignment horizontal="left" vertical="center"/>
    </xf>
    <xf numFmtId="49" fontId="0" fillId="0" borderId="0" xfId="0" applyNumberFormat="1" applyFill="1" applyBorder="1" applyAlignment="1">
      <alignment vertical="center" wrapText="1"/>
    </xf>
    <xf numFmtId="12" fontId="0" fillId="2" borderId="3" xfId="0" applyNumberFormat="1" applyFill="1" applyBorder="1" applyAlignment="1">
      <alignment horizontal="center"/>
    </xf>
    <xf numFmtId="12" fontId="0" fillId="2" borderId="9" xfId="0" applyNumberFormat="1" applyFill="1" applyBorder="1" applyAlignment="1">
      <alignment horizontal="center"/>
    </xf>
    <xf numFmtId="12" fontId="0" fillId="2" borderId="5" xfId="0" applyNumberForma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8" xfId="0" applyNumberFormat="1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0" xfId="0" applyNumberFormat="1" applyFill="1" applyBorder="1"/>
    <xf numFmtId="164" fontId="0" fillId="2" borderId="7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9" xfId="0" applyNumberFormat="1" applyFill="1" applyBorder="1"/>
    <xf numFmtId="164" fontId="0" fillId="2" borderId="5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2" borderId="12" xfId="0" applyFill="1" applyBorder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0" fillId="0" borderId="10" xfId="0" applyNumberFormat="1" applyFill="1" applyBorder="1"/>
    <xf numFmtId="164" fontId="0" fillId="0" borderId="12" xfId="0" applyNumberFormat="1" applyBorder="1"/>
    <xf numFmtId="2" fontId="0" fillId="0" borderId="10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5" fontId="0" fillId="0" borderId="11" xfId="0" applyNumberFormat="1" applyFill="1" applyBorder="1"/>
    <xf numFmtId="2" fontId="0" fillId="0" borderId="11" xfId="0" applyNumberFormat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11" xfId="0" applyNumberFormat="1" applyFill="1" applyBorder="1"/>
    <xf numFmtId="0" fontId="0" fillId="5" borderId="1" xfId="0" applyFill="1" applyBorder="1"/>
    <xf numFmtId="0" fontId="0" fillId="7" borderId="10" xfId="0" applyFill="1" applyBorder="1"/>
    <xf numFmtId="0" fontId="0" fillId="8" borderId="10" xfId="0" applyFill="1" applyBorder="1"/>
    <xf numFmtId="0" fontId="0" fillId="6" borderId="10" xfId="0" applyFill="1" applyBorder="1"/>
    <xf numFmtId="0" fontId="0" fillId="4" borderId="11" xfId="0" applyFill="1" applyBorder="1"/>
    <xf numFmtId="0" fontId="0" fillId="8" borderId="0" xfId="0" applyFill="1" applyBorder="1"/>
    <xf numFmtId="0" fontId="0" fillId="5" borderId="0" xfId="0" applyFill="1" applyBorder="1"/>
    <xf numFmtId="0" fontId="0" fillId="7" borderId="0" xfId="0" applyFill="1" applyBorder="1"/>
    <xf numFmtId="0" fontId="0" fillId="6" borderId="0" xfId="0" applyFill="1" applyBorder="1"/>
    <xf numFmtId="0" fontId="0" fillId="4" borderId="0" xfId="0" applyFill="1" applyBorder="1"/>
    <xf numFmtId="4" fontId="0" fillId="2" borderId="2" xfId="0" applyNumberFormat="1" applyFill="1" applyBorder="1"/>
    <xf numFmtId="4" fontId="0" fillId="2" borderId="4" xfId="0" applyNumberFormat="1" applyFill="1" applyBorder="1"/>
    <xf numFmtId="4" fontId="0" fillId="0" borderId="6" xfId="0" applyNumberFormat="1" applyBorder="1"/>
    <xf numFmtId="4" fontId="0" fillId="0" borderId="7" xfId="0" applyNumberFormat="1" applyBorder="1"/>
    <xf numFmtId="4" fontId="0" fillId="2" borderId="6" xfId="0" applyNumberFormat="1" applyFill="1" applyBorder="1"/>
    <xf numFmtId="4" fontId="0" fillId="2" borderId="7" xfId="0" applyNumberFormat="1" applyFill="1" applyBorder="1"/>
    <xf numFmtId="4" fontId="0" fillId="2" borderId="3" xfId="0" applyNumberFormat="1" applyFill="1" applyBorder="1"/>
    <xf numFmtId="4" fontId="0" fillId="2" borderId="5" xfId="0" applyNumberFormat="1" applyFill="1" applyBorder="1"/>
    <xf numFmtId="1" fontId="0" fillId="0" borderId="0" xfId="0" applyNumberFormat="1" applyFont="1" applyFill="1" applyBorder="1" applyAlignment="1">
      <alignment horizontal="center"/>
    </xf>
    <xf numFmtId="0" fontId="3" fillId="0" borderId="0" xfId="0" applyFont="1" applyAlignment="1"/>
    <xf numFmtId="0" fontId="0" fillId="0" borderId="12" xfId="0" applyFont="1" applyFill="1" applyBorder="1" applyAlignment="1">
      <alignment horizontal="center"/>
    </xf>
    <xf numFmtId="0" fontId="0" fillId="0" borderId="0" xfId="0" applyFont="1"/>
    <xf numFmtId="0" fontId="0" fillId="2" borderId="1" xfId="0" applyNumberFormat="1" applyFill="1" applyBorder="1" applyAlignment="1">
      <alignment vertical="center" wrapText="1"/>
    </xf>
    <xf numFmtId="0" fontId="0" fillId="2" borderId="10" xfId="0" applyNumberFormat="1" applyFill="1" applyBorder="1" applyAlignment="1">
      <alignment vertical="center" wrapText="1"/>
    </xf>
    <xf numFmtId="0" fontId="0" fillId="2" borderId="11" xfId="0" applyNumberFormat="1" applyFill="1" applyBorder="1" applyAlignment="1">
      <alignment vertical="center" wrapText="1"/>
    </xf>
    <xf numFmtId="0" fontId="0" fillId="2" borderId="11" xfId="0" applyFill="1" applyBorder="1"/>
    <xf numFmtId="0" fontId="0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2" borderId="2" xfId="0" applyNumberFormat="1" applyFill="1" applyBorder="1" applyAlignment="1">
      <alignment vertical="center" wrapText="1"/>
    </xf>
    <xf numFmtId="0" fontId="0" fillId="0" borderId="6" xfId="0" applyFont="1" applyBorder="1"/>
    <xf numFmtId="0" fontId="0" fillId="2" borderId="6" xfId="0" applyFill="1" applyBorder="1"/>
    <xf numFmtId="0" fontId="0" fillId="0" borderId="6" xfId="0" applyFont="1" applyFill="1" applyBorder="1" applyAlignment="1">
      <alignment horizontal="left" vertical="top" wrapText="1"/>
    </xf>
    <xf numFmtId="0" fontId="0" fillId="2" borderId="3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11"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numFmt numFmtId="167" formatCode="\ "/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abSelected="1" topLeftCell="A16" workbookViewId="0">
      <selection activeCell="Z30" sqref="Z30"/>
    </sheetView>
  </sheetViews>
  <sheetFormatPr defaultRowHeight="15"/>
  <cols>
    <col min="1" max="1" width="12.42578125" customWidth="1"/>
    <col min="2" max="2" width="10.42578125" customWidth="1"/>
    <col min="3" max="3" width="8.42578125" customWidth="1"/>
    <col min="4" max="4" width="9.7109375" customWidth="1"/>
    <col min="5" max="5" width="9.28515625" customWidth="1"/>
    <col min="6" max="6" width="8.42578125" customWidth="1"/>
    <col min="7" max="7" width="10.140625" bestFit="1" customWidth="1"/>
    <col min="8" max="8" width="11" customWidth="1"/>
    <col min="11" max="11" width="11.42578125" customWidth="1"/>
    <col min="14" max="14" width="12" customWidth="1"/>
    <col min="15" max="15" width="11.5703125" customWidth="1"/>
    <col min="17" max="17" width="11.7109375" customWidth="1"/>
    <col min="23" max="23" width="10.5703125" bestFit="1" customWidth="1"/>
  </cols>
  <sheetData>
    <row r="1" spans="1:17">
      <c r="A1" s="50"/>
      <c r="B1" s="50"/>
      <c r="C1" s="50"/>
      <c r="D1" s="50"/>
      <c r="E1" s="50"/>
      <c r="F1" s="50"/>
      <c r="G1" s="50"/>
      <c r="H1" s="50"/>
      <c r="I1" s="50"/>
    </row>
    <row r="2" spans="1:17">
      <c r="B2" s="176" t="s">
        <v>65</v>
      </c>
      <c r="C2" s="174"/>
      <c r="D2" s="174"/>
      <c r="E2" s="174"/>
      <c r="F2" s="175"/>
      <c r="J2" s="31" t="s">
        <v>66</v>
      </c>
      <c r="K2" s="31"/>
      <c r="O2" s="31" t="s">
        <v>20</v>
      </c>
      <c r="P2" s="31"/>
    </row>
    <row r="3" spans="1:17" ht="15.75" customHeight="1">
      <c r="A3" s="1" t="s">
        <v>0</v>
      </c>
      <c r="B3" s="45" t="str">
        <f>O3</f>
        <v>5 Est.</v>
      </c>
      <c r="C3" s="46" t="str">
        <f>O4</f>
        <v>4 Est.</v>
      </c>
      <c r="D3" s="47" t="str">
        <f>O5</f>
        <v>3 Est.</v>
      </c>
      <c r="E3" s="48" t="str">
        <f>O6</f>
        <v>2 Est.</v>
      </c>
      <c r="F3" s="56" t="str">
        <f>O7</f>
        <v>1Est.</v>
      </c>
      <c r="G3" s="53"/>
      <c r="H3" s="54"/>
      <c r="I3" s="54"/>
      <c r="J3" t="s">
        <v>4</v>
      </c>
      <c r="O3" s="153" t="s">
        <v>36</v>
      </c>
      <c r="P3" t="s">
        <v>32</v>
      </c>
      <c r="Q3" t="s">
        <v>47</v>
      </c>
    </row>
    <row r="4" spans="1:17">
      <c r="A4" s="57" t="s">
        <v>29</v>
      </c>
      <c r="B4" s="64">
        <v>40</v>
      </c>
      <c r="C4" s="65">
        <v>20</v>
      </c>
      <c r="D4" s="66">
        <v>10</v>
      </c>
      <c r="E4" s="65">
        <v>0</v>
      </c>
      <c r="F4" s="67">
        <v>0</v>
      </c>
      <c r="G4" s="51"/>
      <c r="H4" s="52"/>
      <c r="I4" s="52"/>
      <c r="J4" t="s">
        <v>5</v>
      </c>
      <c r="O4" s="154" t="s">
        <v>35</v>
      </c>
      <c r="P4" t="s">
        <v>49</v>
      </c>
      <c r="Q4" t="s">
        <v>48</v>
      </c>
    </row>
    <row r="5" spans="1:17">
      <c r="A5" s="58" t="s">
        <v>27</v>
      </c>
      <c r="B5" s="68">
        <v>0</v>
      </c>
      <c r="C5" s="69">
        <v>0</v>
      </c>
      <c r="D5" s="70">
        <v>0</v>
      </c>
      <c r="E5" s="69">
        <v>0</v>
      </c>
      <c r="F5" s="71">
        <v>30</v>
      </c>
      <c r="G5" s="51"/>
      <c r="H5" s="52"/>
      <c r="I5" s="52"/>
      <c r="J5" t="s">
        <v>6</v>
      </c>
      <c r="O5" s="152" t="s">
        <v>34</v>
      </c>
      <c r="P5" t="s">
        <v>50</v>
      </c>
      <c r="Q5" t="s">
        <v>51</v>
      </c>
    </row>
    <row r="6" spans="1:17">
      <c r="A6" s="59" t="s">
        <v>30</v>
      </c>
      <c r="B6" s="72">
        <v>0</v>
      </c>
      <c r="C6" s="73">
        <v>10</v>
      </c>
      <c r="D6" s="74">
        <v>10</v>
      </c>
      <c r="E6" s="73">
        <v>0</v>
      </c>
      <c r="F6" s="75">
        <v>0</v>
      </c>
      <c r="G6" s="51"/>
      <c r="H6" s="52"/>
      <c r="I6" s="52"/>
      <c r="J6" t="s">
        <v>7</v>
      </c>
      <c r="O6" s="155" t="s">
        <v>33</v>
      </c>
      <c r="P6" t="s">
        <v>52</v>
      </c>
      <c r="Q6" t="s">
        <v>53</v>
      </c>
    </row>
    <row r="7" spans="1:17">
      <c r="A7" s="60" t="s">
        <v>26</v>
      </c>
      <c r="B7" s="76">
        <v>20</v>
      </c>
      <c r="C7" s="69">
        <v>0</v>
      </c>
      <c r="D7" s="77">
        <v>0</v>
      </c>
      <c r="E7" s="69">
        <v>0</v>
      </c>
      <c r="F7" s="71">
        <v>0</v>
      </c>
      <c r="G7" s="51"/>
      <c r="H7" s="52"/>
      <c r="I7" s="52"/>
      <c r="J7" t="s">
        <v>8</v>
      </c>
      <c r="O7" s="156" t="s">
        <v>56</v>
      </c>
      <c r="P7" t="s">
        <v>55</v>
      </c>
      <c r="Q7" t="s">
        <v>54</v>
      </c>
    </row>
    <row r="8" spans="1:17">
      <c r="A8" s="61" t="s">
        <v>31</v>
      </c>
      <c r="B8" s="78">
        <v>40</v>
      </c>
      <c r="C8" s="73">
        <v>0</v>
      </c>
      <c r="D8" s="73">
        <v>0</v>
      </c>
      <c r="E8" s="73">
        <v>0</v>
      </c>
      <c r="F8" s="75">
        <v>0</v>
      </c>
      <c r="G8" s="51"/>
      <c r="H8" s="52"/>
      <c r="I8" s="52"/>
      <c r="J8" t="s">
        <v>9</v>
      </c>
    </row>
    <row r="9" spans="1:17">
      <c r="A9" s="62" t="s">
        <v>37</v>
      </c>
      <c r="B9" s="76">
        <v>10</v>
      </c>
      <c r="C9" s="77">
        <v>10</v>
      </c>
      <c r="D9" s="69">
        <v>20</v>
      </c>
      <c r="E9" s="165">
        <v>10</v>
      </c>
      <c r="F9" s="71">
        <v>30</v>
      </c>
      <c r="G9" s="55"/>
      <c r="H9" s="55"/>
      <c r="I9" s="55"/>
    </row>
    <row r="10" spans="1:17">
      <c r="A10" s="59" t="s">
        <v>38</v>
      </c>
      <c r="B10" s="79">
        <v>0</v>
      </c>
      <c r="C10" s="73">
        <v>0</v>
      </c>
      <c r="D10" s="73">
        <v>10</v>
      </c>
      <c r="E10" s="73">
        <v>0</v>
      </c>
      <c r="F10" s="80">
        <v>0</v>
      </c>
    </row>
    <row r="11" spans="1:17">
      <c r="A11" s="19" t="s">
        <v>39</v>
      </c>
      <c r="B11" s="81">
        <v>0</v>
      </c>
      <c r="C11" s="69">
        <v>0</v>
      </c>
      <c r="D11" s="69">
        <v>0</v>
      </c>
      <c r="E11" s="69">
        <v>0</v>
      </c>
      <c r="F11" s="82">
        <v>10</v>
      </c>
    </row>
    <row r="12" spans="1:17">
      <c r="A12" s="59" t="s">
        <v>40</v>
      </c>
      <c r="B12" s="79">
        <v>0</v>
      </c>
      <c r="C12" s="73">
        <v>0</v>
      </c>
      <c r="D12" s="73">
        <v>30</v>
      </c>
      <c r="E12" s="73">
        <v>0</v>
      </c>
      <c r="F12" s="80">
        <v>0</v>
      </c>
    </row>
    <row r="13" spans="1:17">
      <c r="A13" s="19" t="s">
        <v>41</v>
      </c>
      <c r="B13" s="81">
        <v>0</v>
      </c>
      <c r="C13" s="69">
        <v>10</v>
      </c>
      <c r="D13" s="69">
        <v>0</v>
      </c>
      <c r="E13" s="69">
        <v>0</v>
      </c>
      <c r="F13" s="82">
        <v>0</v>
      </c>
    </row>
    <row r="14" spans="1:17">
      <c r="A14" s="59" t="s">
        <v>42</v>
      </c>
      <c r="B14" s="79">
        <v>0</v>
      </c>
      <c r="C14" s="73">
        <v>0</v>
      </c>
      <c r="D14" s="73">
        <v>10</v>
      </c>
      <c r="E14" s="73">
        <v>0</v>
      </c>
      <c r="F14" s="80">
        <v>0</v>
      </c>
    </row>
    <row r="15" spans="1:17">
      <c r="A15" s="19" t="s">
        <v>43</v>
      </c>
      <c r="B15" s="81">
        <v>0</v>
      </c>
      <c r="C15" s="69">
        <v>0</v>
      </c>
      <c r="D15" s="69">
        <v>10</v>
      </c>
      <c r="E15" s="69">
        <v>0</v>
      </c>
      <c r="F15" s="82">
        <v>0</v>
      </c>
    </row>
    <row r="16" spans="1:17">
      <c r="A16" s="59" t="s">
        <v>44</v>
      </c>
      <c r="B16" s="79">
        <v>10</v>
      </c>
      <c r="C16" s="73">
        <v>0</v>
      </c>
      <c r="D16" s="73">
        <v>0</v>
      </c>
      <c r="E16" s="73">
        <v>0</v>
      </c>
      <c r="F16" s="80">
        <v>0</v>
      </c>
    </row>
    <row r="17" spans="1:26">
      <c r="A17" s="19" t="s">
        <v>45</v>
      </c>
      <c r="B17" s="81">
        <v>10</v>
      </c>
      <c r="C17" s="69">
        <v>0</v>
      </c>
      <c r="D17" s="69">
        <v>0</v>
      </c>
      <c r="E17" s="69">
        <v>0</v>
      </c>
      <c r="F17" s="82">
        <v>0</v>
      </c>
    </row>
    <row r="18" spans="1:26">
      <c r="A18" s="63" t="s">
        <v>46</v>
      </c>
      <c r="B18" s="83">
        <v>10</v>
      </c>
      <c r="C18" s="84">
        <v>0</v>
      </c>
      <c r="D18" s="84">
        <v>0</v>
      </c>
      <c r="E18" s="84">
        <v>0</v>
      </c>
      <c r="F18" s="85">
        <v>0</v>
      </c>
      <c r="G18" s="4"/>
      <c r="H18" s="4"/>
    </row>
    <row r="19" spans="1:26">
      <c r="H19" s="31"/>
    </row>
    <row r="20" spans="1:26">
      <c r="A20" s="166" t="s">
        <v>67</v>
      </c>
      <c r="H20" s="31" t="s">
        <v>68</v>
      </c>
    </row>
    <row r="21" spans="1:26">
      <c r="B21" s="2" t="s">
        <v>1</v>
      </c>
      <c r="C21" s="2" t="s">
        <v>2</v>
      </c>
      <c r="D21" s="2" t="s">
        <v>15</v>
      </c>
      <c r="E21" s="2" t="s">
        <v>16</v>
      </c>
      <c r="F21" s="2" t="s">
        <v>17</v>
      </c>
      <c r="G21" s="90"/>
      <c r="H21" t="s">
        <v>69</v>
      </c>
      <c r="L21" t="s">
        <v>3</v>
      </c>
      <c r="S21" t="s">
        <v>70</v>
      </c>
    </row>
    <row r="22" spans="1:26">
      <c r="B22" s="35" t="str">
        <f>B3</f>
        <v>5 Est.</v>
      </c>
      <c r="C22" s="36" t="str">
        <f>C3</f>
        <v>4 Est.</v>
      </c>
      <c r="D22" s="37" t="str">
        <f>D3</f>
        <v>3 Est.</v>
      </c>
      <c r="E22" s="37" t="str">
        <f>E3</f>
        <v>2 Est.</v>
      </c>
      <c r="F22" s="37" t="str">
        <f>F3</f>
        <v>1Est.</v>
      </c>
      <c r="G22" s="90"/>
      <c r="M22" s="38" t="str">
        <f>B3</f>
        <v>5 Est.</v>
      </c>
      <c r="N22" s="38" t="str">
        <f>C3</f>
        <v>4 Est.</v>
      </c>
      <c r="O22" s="38" t="str">
        <f>D3</f>
        <v>3 Est.</v>
      </c>
      <c r="P22" s="38" t="str">
        <f>E3</f>
        <v>2 Est.</v>
      </c>
      <c r="Q22" s="35" t="str">
        <f>F3</f>
        <v>1Est.</v>
      </c>
      <c r="U22" s="88"/>
      <c r="V22" s="88"/>
      <c r="W22" s="88"/>
    </row>
    <row r="23" spans="1:26">
      <c r="A23" s="169" t="str">
        <f>B3</f>
        <v>5 Est.</v>
      </c>
      <c r="B23" s="91">
        <v>1</v>
      </c>
      <c r="C23" s="17">
        <v>2</v>
      </c>
      <c r="D23" s="17">
        <v>3</v>
      </c>
      <c r="E23" s="17">
        <v>4</v>
      </c>
      <c r="F23" s="40">
        <v>5</v>
      </c>
      <c r="G23" s="89"/>
      <c r="H23" s="57" t="s">
        <v>21</v>
      </c>
      <c r="I23" s="23">
        <f>SUM(B23:B27)</f>
        <v>2.2833333333333332</v>
      </c>
      <c r="L23" s="94" t="str">
        <f>B3</f>
        <v>5 Est.</v>
      </c>
      <c r="M23" s="29">
        <f>IFERROR(B23/I23, " ")</f>
        <v>0.43795620437956206</v>
      </c>
      <c r="N23" s="6">
        <f>IFERROR(C23/I24, " ")</f>
        <v>0.48979591836734687</v>
      </c>
      <c r="O23" s="6">
        <f>IFERROR(D23/I25, " ")</f>
        <v>0.43902439024390244</v>
      </c>
      <c r="P23" s="6">
        <f>IFERROR(E23/I26," ")</f>
        <v>0.38095238095238093</v>
      </c>
      <c r="Q23" s="8">
        <f>IFERROR(F23/I27," ")</f>
        <v>0.33333333333333331</v>
      </c>
      <c r="S23" s="177" t="str">
        <f>B3</f>
        <v>5 Est.</v>
      </c>
      <c r="T23" s="30">
        <f>IFERROR(AVERAGE(M23:Q23),"")</f>
        <v>0.41621244545530517</v>
      </c>
      <c r="U23" s="11"/>
      <c r="V23" s="11"/>
      <c r="W23" s="11"/>
    </row>
    <row r="24" spans="1:26">
      <c r="A24" s="27" t="str">
        <f>C3</f>
        <v>4 Est.</v>
      </c>
      <c r="B24" s="92">
        <v>0.5</v>
      </c>
      <c r="C24" s="16">
        <v>1</v>
      </c>
      <c r="D24" s="16">
        <v>2</v>
      </c>
      <c r="E24" s="16">
        <v>3</v>
      </c>
      <c r="F24" s="41">
        <v>4</v>
      </c>
      <c r="G24" s="89"/>
      <c r="H24" s="19" t="s">
        <v>22</v>
      </c>
      <c r="I24" s="21">
        <f>SUM(C23:C27)</f>
        <v>4.0833333333333339</v>
      </c>
      <c r="L24" s="95" t="str">
        <f>C3</f>
        <v>4 Est.</v>
      </c>
      <c r="M24" s="43">
        <f>IFERROR(B24/I23, " ")</f>
        <v>0.21897810218978103</v>
      </c>
      <c r="N24" s="11">
        <f>IFERROR(C24/I24, " ")</f>
        <v>0.24489795918367344</v>
      </c>
      <c r="O24" s="11">
        <f>IFERROR(D24/I25, " ")</f>
        <v>0.29268292682926833</v>
      </c>
      <c r="P24" s="11">
        <f>IFERROR(E24/I26," ")</f>
        <v>0.2857142857142857</v>
      </c>
      <c r="Q24" s="9">
        <f>IFERROR(F24/I27," ")</f>
        <v>0.26666666666666666</v>
      </c>
      <c r="S24" s="178" t="str">
        <f>C3</f>
        <v>4 Est.</v>
      </c>
      <c r="T24" s="99">
        <f t="shared" ref="T24:T27" si="0">IFERROR(AVERAGE(M24:Q24),"")</f>
        <v>0.26178798811673498</v>
      </c>
      <c r="U24" s="11"/>
      <c r="V24" s="11"/>
      <c r="W24" s="11"/>
    </row>
    <row r="25" spans="1:26">
      <c r="A25" s="170" t="str">
        <f>D3</f>
        <v>3 Est.</v>
      </c>
      <c r="B25" s="93">
        <v>0.33333333333333331</v>
      </c>
      <c r="C25" s="18">
        <v>0.5</v>
      </c>
      <c r="D25" s="18">
        <v>1</v>
      </c>
      <c r="E25" s="18">
        <v>2</v>
      </c>
      <c r="F25" s="42">
        <v>3</v>
      </c>
      <c r="G25" s="89"/>
      <c r="H25" s="59" t="s">
        <v>23</v>
      </c>
      <c r="I25" s="24">
        <f>SUM(D23:D27)</f>
        <v>6.833333333333333</v>
      </c>
      <c r="L25" s="96" t="str">
        <f>D3</f>
        <v>3 Est.</v>
      </c>
      <c r="M25" s="44">
        <f>IFERROR(B25/I23, " ")</f>
        <v>0.145985401459854</v>
      </c>
      <c r="N25" s="7">
        <f>IFERROR(C25/I24, " ")</f>
        <v>0.12244897959183672</v>
      </c>
      <c r="O25" s="7">
        <f>IFERROR(D25/I25, " ")</f>
        <v>0.14634146341463417</v>
      </c>
      <c r="P25" s="7">
        <f>IFERROR(E25/I26," ")</f>
        <v>0.19047619047619047</v>
      </c>
      <c r="Q25" s="10">
        <f>IFERROR(F25/I27," ")</f>
        <v>0.2</v>
      </c>
      <c r="S25" s="179" t="str">
        <f>D3</f>
        <v>3 Est.</v>
      </c>
      <c r="T25" s="25">
        <f t="shared" si="0"/>
        <v>0.16105040698850309</v>
      </c>
      <c r="U25" s="11"/>
      <c r="V25" s="11"/>
      <c r="W25" s="11"/>
    </row>
    <row r="26" spans="1:26">
      <c r="A26" s="27" t="str">
        <f>E3</f>
        <v>2 Est.</v>
      </c>
      <c r="B26" s="92">
        <v>0.25</v>
      </c>
      <c r="C26" s="16">
        <v>0.33333333333333331</v>
      </c>
      <c r="D26" s="16">
        <v>0.5</v>
      </c>
      <c r="E26" s="16">
        <v>1</v>
      </c>
      <c r="F26" s="41">
        <v>2</v>
      </c>
      <c r="G26" s="89"/>
      <c r="H26" s="19" t="s">
        <v>24</v>
      </c>
      <c r="I26" s="21">
        <f>SUM(E23:E27)</f>
        <v>10.5</v>
      </c>
      <c r="L26" s="26" t="str">
        <f>E3</f>
        <v>2 Est.</v>
      </c>
      <c r="M26" s="39">
        <f>IFERROR(B26/I23, " ")</f>
        <v>0.10948905109489052</v>
      </c>
      <c r="N26" s="11">
        <f>IFERROR(C26/I24, " ")</f>
        <v>8.1632653061224469E-2</v>
      </c>
      <c r="O26" s="11">
        <f>IFERROR(D26/I25, " ")</f>
        <v>7.3170731707317083E-2</v>
      </c>
      <c r="P26" s="11">
        <f>IFERROR(E26/I26," ")</f>
        <v>9.5238095238095233E-2</v>
      </c>
      <c r="Q26" s="9">
        <f>IFERROR(F26/I27," ")</f>
        <v>0.13333333333333333</v>
      </c>
      <c r="S26" s="180" t="str">
        <f>E3</f>
        <v>2 Est.</v>
      </c>
      <c r="T26" s="99">
        <f t="shared" si="0"/>
        <v>9.8572772886972124E-2</v>
      </c>
      <c r="U26" s="11"/>
      <c r="V26" s="11"/>
      <c r="W26" s="11"/>
    </row>
    <row r="27" spans="1:26">
      <c r="A27" s="171" t="str">
        <f>F3</f>
        <v>1Est.</v>
      </c>
      <c r="B27" s="114">
        <v>0.2</v>
      </c>
      <c r="C27" s="115">
        <v>0.25</v>
      </c>
      <c r="D27" s="115">
        <v>0.33333333333333331</v>
      </c>
      <c r="E27" s="115">
        <v>0.5</v>
      </c>
      <c r="F27" s="116">
        <v>1</v>
      </c>
      <c r="G27" s="89"/>
      <c r="H27" s="172" t="s">
        <v>25</v>
      </c>
      <c r="I27" s="101">
        <f>SUM(F23:F27)</f>
        <v>15</v>
      </c>
      <c r="L27" s="97" t="str">
        <f>F3</f>
        <v>1Est.</v>
      </c>
      <c r="M27" s="98">
        <f>IFERROR(B27/I23, " ")</f>
        <v>8.7591240875912413E-2</v>
      </c>
      <c r="N27" s="86">
        <f>IFERROR(C27/I24, " ")</f>
        <v>6.1224489795918359E-2</v>
      </c>
      <c r="O27" s="86">
        <f>IFERROR(D27/I25, " ")</f>
        <v>4.878048780487805E-2</v>
      </c>
      <c r="P27" s="86">
        <f>IFERROR(E27/I26," ")</f>
        <v>4.7619047619047616E-2</v>
      </c>
      <c r="Q27" s="87">
        <f>IFERROR(F27/I27," ")</f>
        <v>6.6666666666666666E-2</v>
      </c>
      <c r="S27" s="181" t="str">
        <f>F3</f>
        <v>1Est.</v>
      </c>
      <c r="T27" s="103">
        <f t="shared" si="0"/>
        <v>6.2376386552484619E-2</v>
      </c>
      <c r="U27" s="11"/>
      <c r="V27" s="11"/>
      <c r="W27" s="11"/>
    </row>
    <row r="28" spans="1:26">
      <c r="A28" s="113"/>
      <c r="B28" s="89"/>
      <c r="C28" s="89"/>
      <c r="D28" s="89"/>
      <c r="E28" s="89"/>
      <c r="F28" s="89"/>
      <c r="G28" s="89"/>
      <c r="U28" s="11"/>
      <c r="V28" s="11"/>
      <c r="W28" s="11"/>
      <c r="Y28" s="102">
        <f>G3</f>
        <v>0</v>
      </c>
      <c r="Z28" s="100" t="str">
        <f>IFERROR(AVERAGE(R28:W28),"")</f>
        <v/>
      </c>
    </row>
    <row r="29" spans="1:26">
      <c r="A29" s="31" t="s">
        <v>71</v>
      </c>
      <c r="N29" s="31" t="s">
        <v>19</v>
      </c>
      <c r="U29" s="11"/>
      <c r="V29" s="11"/>
      <c r="W29" s="11"/>
      <c r="Y29" s="3">
        <f>H3</f>
        <v>0</v>
      </c>
      <c r="Z29" s="100" t="str">
        <f>IFERROR(AVERAGE(S29:W29),"")</f>
        <v/>
      </c>
    </row>
    <row r="30" spans="1:26">
      <c r="U30" s="11"/>
      <c r="V30" s="11"/>
      <c r="W30" s="11"/>
      <c r="Y30" s="3">
        <f>I3</f>
        <v>0</v>
      </c>
      <c r="Z30" s="100" t="str">
        <f>IFERROR(AVERAGE(S30:W30),"")</f>
        <v/>
      </c>
    </row>
    <row r="31" spans="1:26">
      <c r="A31" s="1" t="s">
        <v>0</v>
      </c>
      <c r="B31" s="12" t="str">
        <f t="shared" ref="B31:G31" si="1">B3</f>
        <v>5 Est.</v>
      </c>
      <c r="C31" s="14" t="str">
        <f t="shared" si="1"/>
        <v>4 Est.</v>
      </c>
      <c r="D31" s="13" t="str">
        <f t="shared" si="1"/>
        <v>3 Est.</v>
      </c>
      <c r="E31" s="14" t="str">
        <f t="shared" si="1"/>
        <v>2 Est.</v>
      </c>
      <c r="F31" s="15" t="str">
        <f t="shared" si="1"/>
        <v>1Est.</v>
      </c>
      <c r="G31" s="104">
        <f t="shared" si="1"/>
        <v>0</v>
      </c>
      <c r="H31" s="167" t="s">
        <v>28</v>
      </c>
      <c r="J31" s="173" t="s">
        <v>20</v>
      </c>
      <c r="K31" s="174"/>
      <c r="L31" s="175"/>
      <c r="N31" s="176" t="s">
        <v>64</v>
      </c>
      <c r="O31" s="174"/>
      <c r="P31" s="175"/>
    </row>
    <row r="32" spans="1:26">
      <c r="A32" s="105" t="str">
        <f t="shared" ref="A32:A46" si="2">A4</f>
        <v>Anchore</v>
      </c>
      <c r="B32" s="118">
        <f>IFERROR(B4*T23," ")</f>
        <v>16.648497818212206</v>
      </c>
      <c r="C32" s="119">
        <f>IFERROR(C4*T24,"")</f>
        <v>5.2357597623347001</v>
      </c>
      <c r="D32" s="6">
        <f>IFERROR(D4*T25,"")</f>
        <v>1.6105040698850308</v>
      </c>
      <c r="E32" s="6">
        <f>IFERROR(E4*T26,"")</f>
        <v>0</v>
      </c>
      <c r="F32" s="120">
        <f>IFERROR(F4*T27,"")</f>
        <v>0</v>
      </c>
      <c r="G32" s="49" t="str">
        <f>IFERROR(G4*Z28,"")</f>
        <v/>
      </c>
      <c r="H32" s="30">
        <f t="shared" ref="H32:H46" si="3">SUM(B32:F32)</f>
        <v>23.49476165043194</v>
      </c>
      <c r="I32" s="49" t="str">
        <f>IFERROR(I4*Z30,"")</f>
        <v/>
      </c>
      <c r="J32" s="147" t="s">
        <v>10</v>
      </c>
      <c r="K32" s="157">
        <f>IF(MAX(H32:H46)=0,"",0.01+(4*MAX(H32:H46)/5))</f>
        <v>18.805809320345553</v>
      </c>
      <c r="L32" s="158">
        <f>IF(MAX(H32:H46)=0,"",MAX(H32:H46))</f>
        <v>23.49476165043194</v>
      </c>
      <c r="N32" s="32" t="str">
        <f t="shared" ref="N32:N46" si="4">A4</f>
        <v>Anchore</v>
      </c>
      <c r="O32" s="129">
        <f>IF(AND(H32&gt;=K32,H32&lt;=L32),5,IF(AND(H32&gt;=K33,H32&lt;=L33),4,IF(AND(H32&gt;=K34,H32&lt;=L34),3,IF(AND(H32&gt;=K35,H32&lt;=L35),2,IF(AND(H32&gt;=K36,H32&lt;=L36),1,"")))))</f>
        <v>5</v>
      </c>
      <c r="P32" s="5" t="s">
        <v>18</v>
      </c>
    </row>
    <row r="33" spans="1:16">
      <c r="A33" s="106" t="str">
        <f t="shared" si="2"/>
        <v>Dagda</v>
      </c>
      <c r="B33" s="121">
        <f>IFERROR(B5*T23," ")</f>
        <v>0</v>
      </c>
      <c r="C33" s="100">
        <f>IFERROR(C5*T24,"")</f>
        <v>0</v>
      </c>
      <c r="D33" s="11">
        <f>IFERROR(D5*T25,"")</f>
        <v>0</v>
      </c>
      <c r="E33" s="11">
        <f>IFERROR(E5*T26,"")</f>
        <v>0</v>
      </c>
      <c r="F33" s="122">
        <f>IFERROR(F5*T27,"")</f>
        <v>1.8712915965745385</v>
      </c>
      <c r="G33" s="49" t="str">
        <f>IFERROR(G5*Z28,"")</f>
        <v/>
      </c>
      <c r="H33" s="99">
        <f t="shared" si="3"/>
        <v>1.8712915965745385</v>
      </c>
      <c r="I33" s="49" t="str">
        <f>IFERROR(I5*Z30,"")</f>
        <v/>
      </c>
      <c r="J33" s="148" t="s">
        <v>11</v>
      </c>
      <c r="K33" s="159">
        <f>IF(MAX(H32:H46)=0,"",0.01+(3*MAX(H32:H46)/5))</f>
        <v>14.106856990259164</v>
      </c>
      <c r="L33" s="160">
        <f>IF(MAX(H32:H46)=0,"",4*MAX(H32:H46)/5)</f>
        <v>18.795809320345551</v>
      </c>
      <c r="N33" s="33" t="str">
        <f t="shared" si="4"/>
        <v>Dagda</v>
      </c>
      <c r="O33" s="130">
        <f>IF(AND(H33&gt;=K32,H33&lt;=L32),5,IF(AND(H33&gt;=K33,H33&lt;=L33),4,IF(AND(H33&gt;=K34,H33&lt;=L34),3,IF(AND(H33&gt;=K35,H33&lt;=L35),2,IF(AND(H33&gt;=K36,H33&lt;=L36),1,"")))))</f>
        <v>1</v>
      </c>
      <c r="P33" s="19" t="s">
        <v>18</v>
      </c>
    </row>
    <row r="34" spans="1:16">
      <c r="A34" s="107" t="str">
        <f t="shared" si="2"/>
        <v>Docker Scan</v>
      </c>
      <c r="B34" s="123">
        <f>IFERROR(B6*T23," ")</f>
        <v>0</v>
      </c>
      <c r="C34" s="124">
        <f>IFERROR(C6*T24,"")</f>
        <v>2.61787988116735</v>
      </c>
      <c r="D34" s="7">
        <f>IFERROR(D6*T25,"")</f>
        <v>1.6105040698850308</v>
      </c>
      <c r="E34" s="7">
        <f>IFERROR(E6*T26,"")</f>
        <v>0</v>
      </c>
      <c r="F34" s="125">
        <f>IFERROR(F6*T27,"")</f>
        <v>0</v>
      </c>
      <c r="G34" s="49" t="str">
        <f>IFERROR(G6*Z28,"")</f>
        <v/>
      </c>
      <c r="H34" s="25">
        <f t="shared" si="3"/>
        <v>4.2283839510523809</v>
      </c>
      <c r="I34" s="49" t="str">
        <f>IFERROR(I6*Z30,"")</f>
        <v/>
      </c>
      <c r="J34" s="149" t="s">
        <v>12</v>
      </c>
      <c r="K34" s="161">
        <f>IF(MAX(H32:H46)=0,"",0.01+(2*MAX(H32:H46)/5))</f>
        <v>9.4079046601727754</v>
      </c>
      <c r="L34" s="162">
        <f>IF(MAX(H32:H46)=0,"",3*MAX(H32:H46)/5)</f>
        <v>14.096856990259164</v>
      </c>
      <c r="N34" s="33" t="str">
        <f t="shared" si="4"/>
        <v>Docker Scan</v>
      </c>
      <c r="O34" s="130">
        <f>IF(AND(H34&gt;=K32,H34&lt;=L32),5,IF(AND(H34&gt;=K33,H34&lt;=L33),4,IF(AND(H34&gt;=K34,H34&lt;=L34),3,IF(AND(H34&gt;=K35,H34&lt;=L35),2,IF(AND(H34&gt;=K36,H34&lt;=L36),1,"")))))</f>
        <v>1</v>
      </c>
      <c r="P34" s="19" t="s">
        <v>18</v>
      </c>
    </row>
    <row r="35" spans="1:16">
      <c r="A35" s="108" t="str">
        <f t="shared" si="2"/>
        <v>Grype</v>
      </c>
      <c r="B35" s="121">
        <f>IFERROR(B7*T23," ")</f>
        <v>8.3242489091061032</v>
      </c>
      <c r="C35" s="100">
        <f>IFERROR(C7*T24,"")</f>
        <v>0</v>
      </c>
      <c r="D35" s="11">
        <f>IFERROR(D7*T25,"")</f>
        <v>0</v>
      </c>
      <c r="E35" s="11">
        <f>IFERROR(E7*T26,"")</f>
        <v>0</v>
      </c>
      <c r="F35" s="122">
        <f>IFERROR(F7*T27,"")</f>
        <v>0</v>
      </c>
      <c r="G35" s="49" t="str">
        <f>IFERROR(G7*Z28,"")</f>
        <v/>
      </c>
      <c r="H35" s="99">
        <f t="shared" si="3"/>
        <v>8.3242489091061032</v>
      </c>
      <c r="I35" s="49" t="str">
        <f>IFERROR(I7*Z30,"")</f>
        <v/>
      </c>
      <c r="J35" s="150" t="s">
        <v>13</v>
      </c>
      <c r="K35" s="159">
        <f>IF(MAX(H32:H46)=0,"",0.01+(MAX(H32:H46)/5))</f>
        <v>4.7089523300863876</v>
      </c>
      <c r="L35" s="160">
        <f>IF(MAX(H32:H46)=0,"",2*MAX(H32:H46)/5)</f>
        <v>9.3979046601727756</v>
      </c>
      <c r="N35" s="33" t="str">
        <f t="shared" si="4"/>
        <v>Grype</v>
      </c>
      <c r="O35" s="130">
        <f>IF(AND(H35&gt;=K32,H35&lt;=L32),5,IF(AND(H35&gt;=K33,H35&lt;=L33),4,IF(AND(H35&gt;=K34,H35&lt;=L34),3,IF(AND(H35&gt;=K35,H35&lt;=L35),2,IF(AND(H35&gt;=K36,H35&lt;=L36),1,"")))))</f>
        <v>2</v>
      </c>
      <c r="P35" s="19" t="s">
        <v>18</v>
      </c>
    </row>
    <row r="36" spans="1:16">
      <c r="A36" s="109" t="str">
        <f t="shared" si="2"/>
        <v>Trivy</v>
      </c>
      <c r="B36" s="123">
        <f>IFERROR(B8*T23," ")</f>
        <v>16.648497818212206</v>
      </c>
      <c r="C36" s="124">
        <f>IFERROR(C8*T24,"")</f>
        <v>0</v>
      </c>
      <c r="D36" s="7">
        <f>IFERROR(D8*T25,"")</f>
        <v>0</v>
      </c>
      <c r="E36" s="7">
        <f>IFERROR(E8*T26,"")</f>
        <v>0</v>
      </c>
      <c r="F36" s="125">
        <f>IFERROR(F8*T27,"")</f>
        <v>0</v>
      </c>
      <c r="G36" s="49" t="str">
        <f>IFERROR(G8*Z28,"")</f>
        <v/>
      </c>
      <c r="H36" s="25">
        <f t="shared" si="3"/>
        <v>16.648497818212206</v>
      </c>
      <c r="I36" s="49" t="str">
        <f>IFERROR(I8*Z30,"")</f>
        <v/>
      </c>
      <c r="J36" s="151" t="s">
        <v>14</v>
      </c>
      <c r="K36" s="163">
        <f>IF(MAX(H32:H37)=0,"", 0.5)</f>
        <v>0.5</v>
      </c>
      <c r="L36" s="164">
        <f>IF(MAX(H32:H46)=0,"",MAX(H32:H46)/5)</f>
        <v>4.6989523300863878</v>
      </c>
      <c r="N36" s="33" t="str">
        <f t="shared" si="4"/>
        <v>Trivy</v>
      </c>
      <c r="O36" s="130">
        <f>IF(AND(H36&gt;=K32,H36&lt;=L32),5,IF(AND(H36&gt;=K33,H36&lt;=L33),4,IF(AND(H36&gt;=K34,H36&lt;=L34),3,IF(AND(H36&gt;=K35,H36&lt;=L35),2,IF(AND(H36&gt;=K36,H36&lt;=L36),1,"")))))</f>
        <v>4</v>
      </c>
      <c r="P36" s="19" t="s">
        <v>18</v>
      </c>
    </row>
    <row r="37" spans="1:16">
      <c r="A37" s="110" t="str">
        <f t="shared" si="2"/>
        <v>Clair</v>
      </c>
      <c r="B37" s="121">
        <f>IFERROR(B9*T23," ")</f>
        <v>4.1621244545530516</v>
      </c>
      <c r="C37" s="100">
        <f>IFERROR(C9*T24,"")</f>
        <v>2.61787988116735</v>
      </c>
      <c r="D37" s="11">
        <f>IFERROR(D9*T25,"")</f>
        <v>3.2210081397700616</v>
      </c>
      <c r="E37" s="11">
        <f>IFERROR(E9*T26,"")</f>
        <v>0.98572772886972126</v>
      </c>
      <c r="F37" s="122">
        <f>IFERROR(F9*T27,"")</f>
        <v>1.8712915965745385</v>
      </c>
      <c r="G37" s="49" t="str">
        <f>IFERROR(G9*Z28,"")</f>
        <v/>
      </c>
      <c r="H37" s="22">
        <f t="shared" si="3"/>
        <v>12.858031800934722</v>
      </c>
      <c r="I37" s="49" t="str">
        <f>IFERROR(I9*Z30,"")</f>
        <v/>
      </c>
      <c r="N37" s="33" t="str">
        <f t="shared" si="4"/>
        <v>Clair</v>
      </c>
      <c r="O37" s="130">
        <f>IF(AND(H37&gt;=K32,H37&lt;=L32),5,IF(AND(H37&gt;=K33,H37&lt;=L33),4,IF(AND(H37&gt;=K34,H37&lt;=L34),3,IF(AND(H37&gt;=K35,H37&lt;=L35),2,IF(AND(H37&gt;=K36,H37&lt;=L36),1,"")))))</f>
        <v>3</v>
      </c>
      <c r="P37" s="19" t="s">
        <v>18</v>
      </c>
    </row>
    <row r="38" spans="1:16">
      <c r="A38" s="111" t="str">
        <f t="shared" si="2"/>
        <v xml:space="preserve">Vuls </v>
      </c>
      <c r="B38" s="123">
        <f>IFERROR(B10*T23," ")</f>
        <v>0</v>
      </c>
      <c r="C38" s="124">
        <f>IFERROR(C10*T24,"")</f>
        <v>0</v>
      </c>
      <c r="D38" s="7">
        <f>IFERROR(D10*T25,"")</f>
        <v>1.6105040698850308</v>
      </c>
      <c r="E38" s="7">
        <f>IFERROR(E10*T26,"")</f>
        <v>0</v>
      </c>
      <c r="F38" s="125">
        <f>IFERROR(F10*T27,"")</f>
        <v>0</v>
      </c>
      <c r="H38" s="25">
        <f t="shared" si="3"/>
        <v>1.6105040698850308</v>
      </c>
      <c r="N38" s="33" t="str">
        <f t="shared" si="4"/>
        <v xml:space="preserve">Vuls </v>
      </c>
      <c r="O38" s="130">
        <f>IF(AND(H38&gt;=K32,H38&lt;=L32),5,IF(AND(H38&gt;=K33,H38&lt;=L33),4,IF(AND(H38&gt;=K34,H38&lt;=L34),3,IF(AND(H38&gt;=K34,H38&lt;=L35),2,IF(AND(H38&gt;=K36,H38&lt;=L36),1,"")))))</f>
        <v>1</v>
      </c>
      <c r="P38" s="19" t="s">
        <v>18</v>
      </c>
    </row>
    <row r="39" spans="1:16">
      <c r="A39" s="106" t="str">
        <f t="shared" si="2"/>
        <v>Microscanner</v>
      </c>
      <c r="B39" s="121">
        <f>IFERROR(B11*T3," H39")</f>
        <v>0</v>
      </c>
      <c r="C39" s="100">
        <f>IFERROR(C11*T24,"")</f>
        <v>0</v>
      </c>
      <c r="D39" s="11">
        <f>IFERROR(D11*T25,"")</f>
        <v>0</v>
      </c>
      <c r="E39" s="11">
        <f>IFERROR(E11*T26,"")</f>
        <v>0</v>
      </c>
      <c r="F39" s="122">
        <f>IFERROR(F11*T27,"")</f>
        <v>0.62376386552484619</v>
      </c>
      <c r="G39" s="3"/>
      <c r="H39" s="99">
        <f t="shared" si="3"/>
        <v>0.62376386552484619</v>
      </c>
      <c r="N39" s="33" t="str">
        <f t="shared" si="4"/>
        <v>Microscanner</v>
      </c>
      <c r="O39" s="130">
        <f>IF(AND(H39&gt;=K32,H39&lt;=L32),5,IF(AND(H39&gt;=K33,H39&lt;=L33),4,IF(AND(H39&gt;=K34,H39&lt;=L34),3,IF(AND(H39&gt;=K35,H39&lt;=L35),2,IF(AND(H39&gt;=K36,H39&lt;=L36),1,"")))))</f>
        <v>1</v>
      </c>
      <c r="P39" s="19" t="s">
        <v>18</v>
      </c>
    </row>
    <row r="40" spans="1:16">
      <c r="A40" s="107" t="str">
        <f t="shared" si="2"/>
        <v>Snyk</v>
      </c>
      <c r="B40" s="123">
        <f>IFERROR(B12*T23," ")</f>
        <v>0</v>
      </c>
      <c r="C40" s="124">
        <f>IFERROR(C12*T24,"")</f>
        <v>0</v>
      </c>
      <c r="D40" s="7">
        <f>IFERROR(D12*T25,"")</f>
        <v>4.8315122096550924</v>
      </c>
      <c r="E40" s="7">
        <f>IFERROR(E12*T26,"")</f>
        <v>0</v>
      </c>
      <c r="F40" s="125">
        <f>IFERROR(F12*T27,"")</f>
        <v>0</v>
      </c>
      <c r="H40" s="25">
        <f t="shared" si="3"/>
        <v>4.8315122096550924</v>
      </c>
      <c r="N40" s="33" t="str">
        <f t="shared" si="4"/>
        <v>Snyk</v>
      </c>
      <c r="O40" s="130">
        <f>IF(AND(H40&gt;=K32,H40&lt;=L32),5,IF(AND(H40&gt;=K333,H40&lt;=L333),4,IF(AND(H40&gt;=K34,H40&lt;=L34),3,IF(AND(H40&gt;=K35,H40&lt;=L35),2,IF(AND(H40&gt;=K36,H40&lt;=L36),1,"")))))</f>
        <v>2</v>
      </c>
      <c r="P40" s="19" t="s">
        <v>18</v>
      </c>
    </row>
    <row r="41" spans="1:16">
      <c r="A41" s="108" t="str">
        <f t="shared" si="2"/>
        <v>jFrog Xray</v>
      </c>
      <c r="B41" s="121">
        <f>IFERROR(B13*T23," ")</f>
        <v>0</v>
      </c>
      <c r="C41" s="100">
        <f>IFERROR(C13*T24,"")</f>
        <v>2.61787988116735</v>
      </c>
      <c r="D41" s="11">
        <f>IFERROR(D13*T25,"")</f>
        <v>0</v>
      </c>
      <c r="E41" s="11">
        <f>IFERROR(E13*T26,"")</f>
        <v>0</v>
      </c>
      <c r="F41" s="122">
        <f>IFERROR(F13*T27,"")</f>
        <v>0</v>
      </c>
      <c r="H41" s="99">
        <f t="shared" si="3"/>
        <v>2.61787988116735</v>
      </c>
      <c r="N41" s="33" t="str">
        <f t="shared" si="4"/>
        <v>jFrog Xray</v>
      </c>
      <c r="O41" s="130">
        <f>IF(AND(H41&gt;=K32,H41&lt;=L32),5,IF(AND(H41&gt;=K33,H41&lt;=L33),4,IF(AND(H41&gt;=K34,H41&lt;=L34),3,IF(AND(H41&gt;=K35,H41&lt;=L35),2,IF(AND(H41&gt;=K36,H41&lt;=L36),1,"")))))</f>
        <v>1</v>
      </c>
      <c r="P41" s="19" t="s">
        <v>18</v>
      </c>
    </row>
    <row r="42" spans="1:16">
      <c r="A42" s="109" t="str">
        <f t="shared" si="2"/>
        <v>k-NN</v>
      </c>
      <c r="B42" s="123">
        <f>IFERROR(B14*T23," ")</f>
        <v>0</v>
      </c>
      <c r="C42" s="124">
        <f>IFERROR(C14*T24,"")</f>
        <v>0</v>
      </c>
      <c r="D42" s="7">
        <f>IFERROR(D14*T25,"")</f>
        <v>1.6105040698850308</v>
      </c>
      <c r="E42" s="7">
        <f>IFERROR(E14*T26,"")</f>
        <v>0</v>
      </c>
      <c r="F42" s="125">
        <f>IFERROR(F14*T27,"")</f>
        <v>0</v>
      </c>
      <c r="H42" s="25">
        <f t="shared" si="3"/>
        <v>1.6105040698850308</v>
      </c>
      <c r="N42" s="33" t="str">
        <f t="shared" si="4"/>
        <v>k-NN</v>
      </c>
      <c r="O42" s="130">
        <f>IF(AND(H42&gt;=K32,H42&lt;=L32),5,IF(AND(H42&gt;=K33,H42&lt;=L33),4,IF(AND(H42&gt;=K34,H42&lt;=L34),3,IF(AND(H42&gt;=K35,H42&lt;=L35),2,IF(AND(H42&gt;=K36,H42&lt;=L36),1,"")))))</f>
        <v>1</v>
      </c>
      <c r="P42" s="19" t="s">
        <v>18</v>
      </c>
    </row>
    <row r="43" spans="1:16">
      <c r="A43" s="110" t="str">
        <f t="shared" si="2"/>
        <v>PCA+KNN</v>
      </c>
      <c r="B43" s="121">
        <f>IFERROR(B15*T23," ")</f>
        <v>0</v>
      </c>
      <c r="C43" s="100">
        <f>IFERROR(C15*T24,"")</f>
        <v>0</v>
      </c>
      <c r="D43" s="11">
        <f>IFERROR(D15*T25,"")</f>
        <v>1.6105040698850308</v>
      </c>
      <c r="E43" s="11">
        <f>IFERROR(E15*T26,"")</f>
        <v>0</v>
      </c>
      <c r="F43" s="122">
        <f>IFERROR(F15*T27,"")</f>
        <v>0</v>
      </c>
      <c r="H43" s="22">
        <f t="shared" si="3"/>
        <v>1.6105040698850308</v>
      </c>
      <c r="N43" s="33" t="str">
        <f t="shared" si="4"/>
        <v>PCA+KNN</v>
      </c>
      <c r="O43" s="130">
        <f>IF(AND(H43&gt;=K32,H43&lt;=L32),5,IF(AND(H43&gt;=K33,H43&lt;=L33),4,IF(AND(H43&gt;=K34,H43&lt;=L34),3,IF(AND(H43&gt;=K35,H43&lt;=L35),2,IF(AND(H43&gt;=K36,H43&lt;=L36),1,"")))))</f>
        <v>1</v>
      </c>
      <c r="P43" s="19" t="s">
        <v>18</v>
      </c>
    </row>
    <row r="44" spans="1:16">
      <c r="A44" s="111" t="str">
        <f t="shared" si="2"/>
        <v>k-means</v>
      </c>
      <c r="B44" s="123">
        <f>IFERROR(B16*T23," ")</f>
        <v>4.1621244545530516</v>
      </c>
      <c r="C44" s="124">
        <f>IFERROR(C16*T24,"")</f>
        <v>0</v>
      </c>
      <c r="D44" s="7">
        <f>IFERROR(D16*T25,"")</f>
        <v>0</v>
      </c>
      <c r="E44" s="7">
        <f>IFERROR(E16*T26,"")</f>
        <v>0</v>
      </c>
      <c r="F44" s="125">
        <f>IFERROR(F16*T27,"")</f>
        <v>0</v>
      </c>
      <c r="H44" s="25">
        <f t="shared" si="3"/>
        <v>4.1621244545530516</v>
      </c>
      <c r="N44" s="33" t="str">
        <f t="shared" si="4"/>
        <v>k-means</v>
      </c>
      <c r="O44" s="130">
        <f>IF(AND(H44&gt;=K32,H44&lt;=L32),5,IF(AND(H44&gt;=K33,H44&lt;=L33),4,IF(AND(H44&gt;=K34,H44&lt;=L34),3,IF(AND(H44&gt;=K35,H44&lt;=L35),2,IF(AND(H44&gt;=K36,H44&lt;=L36),1,"")))))</f>
        <v>1</v>
      </c>
      <c r="P44" s="19" t="s">
        <v>18</v>
      </c>
    </row>
    <row r="45" spans="1:16">
      <c r="A45" s="106" t="str">
        <f t="shared" si="2"/>
        <v>SOM time</v>
      </c>
      <c r="B45" s="121">
        <f>IFERROR(B17*T23," ")</f>
        <v>4.1621244545530516</v>
      </c>
      <c r="C45" s="100">
        <f>IFERROR(C17*T24,"")</f>
        <v>0</v>
      </c>
      <c r="D45" s="11">
        <f>IFERROR(D17*T25,"")</f>
        <v>0</v>
      </c>
      <c r="E45" s="11">
        <f>IFERROR(E17*T26,"")</f>
        <v>0</v>
      </c>
      <c r="F45" s="122">
        <f>IFERROR(F17*T27,"")</f>
        <v>0</v>
      </c>
      <c r="H45" s="99">
        <f t="shared" si="3"/>
        <v>4.1621244545530516</v>
      </c>
      <c r="N45" s="33" t="str">
        <f t="shared" si="4"/>
        <v>SOM time</v>
      </c>
      <c r="O45" s="130">
        <f>IF(AND(H45&gt;=K32,H45&lt;=L32),5,IF(AND(H45&gt;=K33,H45&lt;=L33),4,IF(AND(H45&gt;=K34,H45&lt;=L34),3,IF(AND(H45&gt;=K35,H45&lt;=L35),2,IF(AND(H45&gt;=K36,H45&lt;=L36),1,"")))))</f>
        <v>1</v>
      </c>
      <c r="P45" s="19" t="s">
        <v>18</v>
      </c>
    </row>
    <row r="46" spans="1:16">
      <c r="A46" s="112" t="str">
        <f t="shared" si="2"/>
        <v>SOM freq</v>
      </c>
      <c r="B46" s="126">
        <f>IFERROR(B18*T23," ")</f>
        <v>4.1621244545530516</v>
      </c>
      <c r="C46" s="127">
        <f>IFERROR(C18*T24,"")</f>
        <v>0</v>
      </c>
      <c r="D46" s="86">
        <f>IFERROR(D18*T25,"")</f>
        <v>0</v>
      </c>
      <c r="E46" s="86">
        <f>IFERROR(E18*T26,"")</f>
        <v>0</v>
      </c>
      <c r="F46" s="128">
        <f>IFERROR(F18*T27,"")</f>
        <v>0</v>
      </c>
      <c r="H46" s="103">
        <f t="shared" si="3"/>
        <v>4.1621244545530516</v>
      </c>
      <c r="N46" s="34" t="str">
        <f t="shared" si="4"/>
        <v>SOM freq</v>
      </c>
      <c r="O46" s="131">
        <f>IF(AND(H46&gt;=K32,H46&lt;=L32),5,IF(AND(H46&gt;=K33,H46&lt;=L33),4,IF(AND(H46&gt;=K34,H46&lt;=L34),3,IF(AND(H46&gt;=K35,H46&lt;=L35),2,IF(AND(H46&gt;=K36,H46&lt;=L36),1,"")))))</f>
        <v>1</v>
      </c>
      <c r="P46" s="20" t="s">
        <v>18</v>
      </c>
    </row>
    <row r="48" spans="1:16">
      <c r="A48" s="31" t="s">
        <v>72</v>
      </c>
    </row>
    <row r="49" spans="1:22">
      <c r="B49" s="48" t="str">
        <f>O3</f>
        <v>5 Est.</v>
      </c>
      <c r="C49" s="132" t="str">
        <f>O4</f>
        <v>4 Est.</v>
      </c>
      <c r="D49" s="48" t="str">
        <f>O5</f>
        <v>3 Est.</v>
      </c>
      <c r="E49" s="48" t="str">
        <f>O6</f>
        <v>2 Est.</v>
      </c>
      <c r="F49" s="48" t="str">
        <f>O7</f>
        <v>1Est.</v>
      </c>
      <c r="G49" s="48">
        <f>U23</f>
        <v>0</v>
      </c>
      <c r="H49" s="48">
        <f>U24</f>
        <v>0</v>
      </c>
      <c r="I49" s="48">
        <f>U25</f>
        <v>0</v>
      </c>
      <c r="K49" s="117" t="s">
        <v>57</v>
      </c>
      <c r="M49" s="5" t="s">
        <v>58</v>
      </c>
      <c r="Q49" s="37" t="s">
        <v>59</v>
      </c>
      <c r="R49" s="37" t="s">
        <v>60</v>
      </c>
      <c r="T49" s="31" t="s">
        <v>61</v>
      </c>
      <c r="U49" t="s">
        <v>73</v>
      </c>
    </row>
    <row r="50" spans="1:22">
      <c r="A50" s="169" t="str">
        <f>O3</f>
        <v>5 Est.</v>
      </c>
      <c r="B50" s="29">
        <f>B23*T23</f>
        <v>0.41621244545530517</v>
      </c>
      <c r="C50" s="6">
        <f>C23*T24</f>
        <v>0.52357597623346996</v>
      </c>
      <c r="D50" s="6">
        <f>D23*T25</f>
        <v>0.48315122096550928</v>
      </c>
      <c r="E50" s="6">
        <f>E23*T26</f>
        <v>0.39429109154788849</v>
      </c>
      <c r="F50" s="6">
        <f>F23*T27</f>
        <v>0.3118819327624231</v>
      </c>
      <c r="G50" s="6"/>
      <c r="H50" s="6"/>
      <c r="I50" s="8"/>
      <c r="K50" s="23">
        <f>SUM(B50:I50)</f>
        <v>2.1291126669645961</v>
      </c>
      <c r="M50" s="30">
        <f>IFERROR(K50/T23,"")</f>
        <v>5.1154469074933759</v>
      </c>
      <c r="O50" s="133" t="s">
        <v>61</v>
      </c>
      <c r="Q50" s="134">
        <v>2</v>
      </c>
      <c r="R50" s="135">
        <v>0</v>
      </c>
      <c r="T50" s="31" t="s">
        <v>60</v>
      </c>
      <c r="U50" s="168" t="s">
        <v>74</v>
      </c>
      <c r="V50" s="168"/>
    </row>
    <row r="51" spans="1:22">
      <c r="A51" s="27" t="str">
        <f t="shared" ref="A51:A57" si="5">O4</f>
        <v>4 Est.</v>
      </c>
      <c r="B51" s="43">
        <f>B24*T23</f>
        <v>0.20810622272765258</v>
      </c>
      <c r="C51" s="11">
        <f>C24*T24</f>
        <v>0.26178798811673498</v>
      </c>
      <c r="D51" s="11">
        <f>D24*T25</f>
        <v>0.32210081397700618</v>
      </c>
      <c r="E51" s="11">
        <f>E24*T26</f>
        <v>0.29571831866091636</v>
      </c>
      <c r="F51" s="11">
        <f>F24*T27</f>
        <v>0.24950554620993848</v>
      </c>
      <c r="G51" s="11"/>
      <c r="H51" s="11"/>
      <c r="I51" s="9"/>
      <c r="K51" s="136">
        <f t="shared" ref="K51:K57" si="6">SUM(B51:I51)</f>
        <v>1.3372188896922486</v>
      </c>
      <c r="M51" s="99">
        <f t="shared" ref="M51:M57" si="7">IFERROR(K51/T24,"")</f>
        <v>5.1080223325447758</v>
      </c>
      <c r="O51" s="137">
        <f>SUM(IF(ISERR(M50:M57),0,IF(M50:M57&lt;&gt;0,M50:M57))) / (COUNTIF(M50:M57,"&lt;&gt;0") - COUNTIF(M50:M57,""))</f>
        <v>5.0683232223901475</v>
      </c>
      <c r="Q51" s="130">
        <v>3</v>
      </c>
      <c r="R51" s="138">
        <v>0.57999999999999996</v>
      </c>
      <c r="T51" s="31" t="s">
        <v>62</v>
      </c>
      <c r="U51" s="168" t="s">
        <v>75</v>
      </c>
      <c r="V51" s="168"/>
    </row>
    <row r="52" spans="1:22">
      <c r="A52" s="170" t="str">
        <f t="shared" si="5"/>
        <v>3 Est.</v>
      </c>
      <c r="B52" s="44">
        <f>B25*T23</f>
        <v>0.13873748181843504</v>
      </c>
      <c r="C52" s="7">
        <f>C25*T24</f>
        <v>0.13089399405836749</v>
      </c>
      <c r="D52" s="7">
        <f>D25*T25</f>
        <v>0.16105040698850309</v>
      </c>
      <c r="E52" s="7">
        <f>E25*T26</f>
        <v>0.19714554577394425</v>
      </c>
      <c r="F52" s="7">
        <f>F25*T27</f>
        <v>0.18712915965745386</v>
      </c>
      <c r="G52" s="7"/>
      <c r="H52" s="7"/>
      <c r="I52" s="10"/>
      <c r="K52" s="24">
        <f t="shared" si="6"/>
        <v>0.81495658829670381</v>
      </c>
      <c r="M52" s="25">
        <f t="shared" si="7"/>
        <v>5.0602578629613841</v>
      </c>
      <c r="Q52" s="139">
        <v>4</v>
      </c>
      <c r="R52" s="140">
        <v>0.9</v>
      </c>
      <c r="T52" s="31" t="s">
        <v>63</v>
      </c>
      <c r="U52" s="168" t="s">
        <v>76</v>
      </c>
      <c r="V52" s="168"/>
    </row>
    <row r="53" spans="1:22">
      <c r="A53" s="27" t="str">
        <f t="shared" si="5"/>
        <v>2 Est.</v>
      </c>
      <c r="B53" s="43">
        <f>B26*T23</f>
        <v>0.10405311136382629</v>
      </c>
      <c r="C53" s="11">
        <f>C26*T24</f>
        <v>8.7262662705578323E-2</v>
      </c>
      <c r="D53" s="11">
        <f>D26*T25</f>
        <v>8.0525203494251546E-2</v>
      </c>
      <c r="E53" s="11">
        <f>E26*T26</f>
        <v>9.8572772886972124E-2</v>
      </c>
      <c r="F53" s="11">
        <f>F26*T27</f>
        <v>0.12475277310496924</v>
      </c>
      <c r="G53" s="11"/>
      <c r="H53" s="11"/>
      <c r="I53" s="9"/>
      <c r="K53" s="136">
        <f>SUM(B53:I53)</f>
        <v>0.49516652355559754</v>
      </c>
      <c r="M53" s="99">
        <f t="shared" si="7"/>
        <v>5.0233599913373368</v>
      </c>
      <c r="O53" s="133" t="s">
        <v>62</v>
      </c>
      <c r="Q53" s="130">
        <v>5</v>
      </c>
      <c r="R53" s="138">
        <v>1.1200000000000001</v>
      </c>
    </row>
    <row r="54" spans="1:22">
      <c r="A54" s="170" t="str">
        <f t="shared" si="5"/>
        <v>1Est.</v>
      </c>
      <c r="B54" s="44">
        <f>B27*T23</f>
        <v>8.3242489091061037E-2</v>
      </c>
      <c r="C54" s="7">
        <f>C27*T24</f>
        <v>6.5446997029183746E-2</v>
      </c>
      <c r="D54" s="7">
        <f>D27*T25</f>
        <v>5.3683468996167695E-2</v>
      </c>
      <c r="E54" s="7">
        <f>E27*T26</f>
        <v>4.9286386443486062E-2</v>
      </c>
      <c r="F54" s="7">
        <f>F27*T27</f>
        <v>6.2376386552484619E-2</v>
      </c>
      <c r="G54" s="7"/>
      <c r="H54" s="7"/>
      <c r="I54" s="10"/>
      <c r="K54" s="24">
        <f>SUM(B54:I54)</f>
        <v>0.31403572811238317</v>
      </c>
      <c r="M54" s="25">
        <f t="shared" si="7"/>
        <v>5.034529017613866</v>
      </c>
      <c r="O54" s="137">
        <f>(O51-(COUNTIF(M50:M57,"&lt;&gt;0")-COUNTIF(M50:M57,"")))/((COUNTIF(M50:M57,"&lt;&gt;0")-COUNTIF(M50:M57,""))-1)</f>
        <v>1.7080805597536886E-2</v>
      </c>
      <c r="Q54" s="139">
        <v>6</v>
      </c>
      <c r="R54" s="140">
        <v>1.24</v>
      </c>
    </row>
    <row r="55" spans="1:22">
      <c r="A55" s="27">
        <f t="shared" si="5"/>
        <v>0</v>
      </c>
      <c r="B55" s="43">
        <f>B28*T23</f>
        <v>0</v>
      </c>
      <c r="C55" s="11">
        <f>C28*T24</f>
        <v>0</v>
      </c>
      <c r="D55" s="11">
        <f>D28*T254</f>
        <v>0</v>
      </c>
      <c r="E55" s="11">
        <f>E28*T26</f>
        <v>0</v>
      </c>
      <c r="F55" s="11">
        <f>F28*T27</f>
        <v>0</v>
      </c>
      <c r="G55" s="11"/>
      <c r="H55" s="11"/>
      <c r="I55" s="9"/>
      <c r="K55" s="136">
        <f>SUM(B55:I55)</f>
        <v>0</v>
      </c>
      <c r="M55" s="99" t="str">
        <f t="shared" si="7"/>
        <v/>
      </c>
      <c r="Q55" s="130">
        <v>7</v>
      </c>
      <c r="R55" s="138">
        <v>1.32</v>
      </c>
    </row>
    <row r="56" spans="1:22">
      <c r="A56" s="170">
        <f t="shared" si="5"/>
        <v>0</v>
      </c>
      <c r="B56" s="44">
        <f>B29*T23</f>
        <v>0</v>
      </c>
      <c r="C56" s="7">
        <f>C29*T24</f>
        <v>0</v>
      </c>
      <c r="D56" s="7">
        <f>D29*T25</f>
        <v>0</v>
      </c>
      <c r="E56" s="7">
        <f>E29*T26</f>
        <v>0</v>
      </c>
      <c r="F56" s="7">
        <f>F29*T27</f>
        <v>0</v>
      </c>
      <c r="G56" s="7"/>
      <c r="H56" s="7"/>
      <c r="I56" s="10"/>
      <c r="K56" s="24">
        <f t="shared" si="6"/>
        <v>0</v>
      </c>
      <c r="M56" s="25" t="str">
        <f t="shared" si="7"/>
        <v/>
      </c>
      <c r="O56" s="133" t="s">
        <v>63</v>
      </c>
      <c r="Q56" s="139">
        <v>8</v>
      </c>
      <c r="R56" s="140">
        <v>1.41</v>
      </c>
    </row>
    <row r="57" spans="1:22">
      <c r="A57" s="28">
        <f t="shared" si="5"/>
        <v>0</v>
      </c>
      <c r="B57" s="141">
        <f>B30*T23</f>
        <v>0</v>
      </c>
      <c r="C57" s="142">
        <f>C30*T24</f>
        <v>0</v>
      </c>
      <c r="D57" s="142">
        <f>D30*T25</f>
        <v>0</v>
      </c>
      <c r="E57" s="142">
        <f>E30*T26</f>
        <v>0</v>
      </c>
      <c r="F57" s="142">
        <f>F30*T27</f>
        <v>0</v>
      </c>
      <c r="G57" s="142"/>
      <c r="H57" s="142"/>
      <c r="I57" s="145"/>
      <c r="K57" s="143">
        <f t="shared" si="6"/>
        <v>0</v>
      </c>
      <c r="M57" s="146" t="str">
        <f t="shared" si="7"/>
        <v/>
      </c>
      <c r="O57" s="137">
        <f>IF(ISERR(VLOOKUP(COUNTIF(M50:M57,"&lt;&gt;0")-COUNTIF(M50:M57,""),$Q$50:$R$57,2,FALSE)),"",O54/VLOOKUP(COUNTIF(M50:M57,"&lt;&gt;0")-COUNTIF(M50:M57,""),$Q$50:$R$57,2,FALSE))</f>
        <v>1.5250719283515075E-2</v>
      </c>
      <c r="Q57" s="131">
        <v>9</v>
      </c>
      <c r="R57" s="144">
        <v>1.45</v>
      </c>
    </row>
  </sheetData>
  <mergeCells count="3">
    <mergeCell ref="J31:L31"/>
    <mergeCell ref="N31:P31"/>
    <mergeCell ref="B2:F2"/>
  </mergeCells>
  <conditionalFormatting sqref="O32:O46">
    <cfRule type="cellIs" dxfId="10" priority="7" operator="equal">
      <formula>1</formula>
    </cfRule>
    <cfRule type="cellIs" dxfId="9" priority="8" operator="equal">
      <formula>2</formula>
    </cfRule>
    <cfRule type="cellIs" dxfId="8" priority="9" operator="equal">
      <formula>3</formula>
    </cfRule>
    <cfRule type="cellIs" dxfId="7" priority="10" operator="equal">
      <formula>4</formula>
    </cfRule>
    <cfRule type="cellIs" dxfId="6" priority="11" operator="equal">
      <formula>5</formula>
    </cfRule>
  </conditionalFormatting>
  <conditionalFormatting sqref="K50:K57">
    <cfRule type="cellIs" dxfId="5" priority="3" operator="equal">
      <formula>0</formula>
    </cfRule>
  </conditionalFormatting>
  <conditionalFormatting sqref="B49:I49">
    <cfRule type="cellIs" dxfId="4" priority="6" operator="equal">
      <formula>0</formula>
    </cfRule>
  </conditionalFormatting>
  <conditionalFormatting sqref="A50:A57">
    <cfRule type="cellIs" dxfId="3" priority="5" operator="equal">
      <formula>0</formula>
    </cfRule>
  </conditionalFormatting>
  <conditionalFormatting sqref="K50:K57">
    <cfRule type="cellIs" dxfId="2" priority="4" operator="equal">
      <formula>0</formula>
    </cfRule>
  </conditionalFormatting>
  <conditionalFormatting sqref="B50:I57">
    <cfRule type="cellIs" dxfId="1" priority="2" operator="equal">
      <formula>0</formula>
    </cfRule>
  </conditionalFormatting>
  <conditionalFormatting sqref="B32:F46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Aromey</dc:creator>
  <cp:lastModifiedBy>Aromey</cp:lastModifiedBy>
  <dcterms:created xsi:type="dcterms:W3CDTF">2024-03-15T19:40:24Z</dcterms:created>
  <dcterms:modified xsi:type="dcterms:W3CDTF">2024-05-19T19:28:30Z</dcterms:modified>
</cp:coreProperties>
</file>