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0/"/>
    </mc:Choice>
  </mc:AlternateContent>
  <xr:revisionPtr revIDLastSave="1" documentId="8_{A52A2739-BE71-419E-9B15-50A22DDCBB0A}" xr6:coauthVersionLast="47" xr6:coauthVersionMax="47" xr10:uidLastSave="{07E38803-B24D-BD4F-AEE0-9A526DCBF7B8}"/>
  <bookViews>
    <workbookView xWindow="0" yWindow="0" windowWidth="25600" windowHeight="16000" tabRatio="959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Shipments (Qtr Shareholder Rpt)" sheetId="31" state="hidden" r:id="rId8"/>
    <sheet name="Rail Billings - Nutrien" sheetId="15" r:id="rId9"/>
  </sheets>
  <definedNames>
    <definedName name="___mds_allowwriteback___">""</definedName>
    <definedName name="___mds_asyncwriteback___">FALSE</definedName>
    <definedName name="___mds_caption_style___" localSheetId="7">1</definedName>
    <definedName name="___mds_description___">""</definedName>
    <definedName name="___mds_show_empty_cells_as___" localSheetId="7">TRUE</definedName>
    <definedName name="___mds_show_empty_cells_as_na_value___" localSheetId="7">0</definedName>
    <definedName name="___mds_show_error_cells_as___" localSheetId="7">FALSE</definedName>
    <definedName name="___mds_show_error_cells_as_error_value___" localSheetId="7">"&lt;ERROR&gt;"</definedName>
    <definedName name="___mds_spreading___">FALSE</definedName>
    <definedName name="_xlnm.Print_Area" localSheetId="2">Country!$A$1:$V$12</definedName>
    <definedName name="_xlnm.Print_Area" localSheetId="5">'Country (2 yr)'!$A$1:$U$25</definedName>
    <definedName name="_xlnm.Print_Area" localSheetId="3">Grade!$A$1:$U$24</definedName>
    <definedName name="_xlnm.Print_Area" localSheetId="1">Region!$A$1:$W$37</definedName>
    <definedName name="_xlnm.Print_Area" localSheetId="4">'Region (2 yr)'!$A$1:$U$74</definedName>
    <definedName name="_xlnm.Print_Area" localSheetId="7">'Shipments (Qtr Shareholder Rpt)'!$A$1:$U$63</definedName>
    <definedName name="_xlnm.Print_Area" localSheetId="0">'Var Rpt (Q1)-CHIN'!$A$1:$J$45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5" l="1"/>
  <c r="C6" i="15"/>
  <c r="C13" i="15"/>
  <c r="AH13" i="15" l="1"/>
  <c r="AH6" i="15"/>
  <c r="AJ13" i="15"/>
  <c r="AI13" i="15"/>
  <c r="AG13" i="15"/>
  <c r="AF13" i="15"/>
  <c r="AI6" i="15"/>
  <c r="AJ6" i="15"/>
  <c r="AJ5" i="15" s="1"/>
  <c r="AK6" i="15"/>
  <c r="AK5" i="15" s="1"/>
  <c r="AL6" i="15"/>
  <c r="AM6" i="15"/>
  <c r="AN6" i="15"/>
  <c r="AO6" i="15"/>
  <c r="AG6" i="15"/>
  <c r="AF6" i="15"/>
  <c r="AE6" i="15"/>
  <c r="AD6" i="15"/>
  <c r="R6" i="15"/>
  <c r="Q6" i="15"/>
  <c r="P6" i="15"/>
  <c r="AE13" i="15"/>
  <c r="AD13" i="15"/>
  <c r="AD5" i="15"/>
  <c r="AL5" i="15"/>
  <c r="AK13" i="15"/>
  <c r="AL13" i="15"/>
  <c r="AM13" i="15"/>
  <c r="AM5" i="15" s="1"/>
  <c r="AN13" i="15"/>
  <c r="AN5" i="15"/>
  <c r="AO13" i="15"/>
  <c r="AO5" i="15" s="1"/>
  <c r="E42" i="57"/>
  <c r="F42" i="57" s="1"/>
  <c r="D42" i="57"/>
  <c r="AA13" i="15"/>
  <c r="AB12" i="15"/>
  <c r="AB11" i="15"/>
  <c r="AB10" i="15"/>
  <c r="AB9" i="15"/>
  <c r="AB8" i="15"/>
  <c r="AB7" i="15"/>
  <c r="S6" i="15"/>
  <c r="S5" i="15" s="1"/>
  <c r="T6" i="15"/>
  <c r="U6" i="15"/>
  <c r="V6" i="15"/>
  <c r="W6" i="15"/>
  <c r="X6" i="15"/>
  <c r="Y6" i="15"/>
  <c r="Z6" i="15"/>
  <c r="AA6" i="15"/>
  <c r="B13" i="15"/>
  <c r="D6" i="15"/>
  <c r="E6" i="15"/>
  <c r="F6" i="15"/>
  <c r="G6" i="15"/>
  <c r="H6" i="15"/>
  <c r="I6" i="15"/>
  <c r="J6" i="15"/>
  <c r="K6" i="15"/>
  <c r="L6" i="15"/>
  <c r="M6" i="15"/>
  <c r="B6" i="15"/>
  <c r="N9" i="15"/>
  <c r="N12" i="15"/>
  <c r="N7" i="15"/>
  <c r="N8" i="15"/>
  <c r="N10" i="15"/>
  <c r="J13" i="15"/>
  <c r="B48" i="55"/>
  <c r="D15" i="54"/>
  <c r="D39" i="53"/>
  <c r="R2" i="55"/>
  <c r="P2" i="55"/>
  <c r="N2" i="55"/>
  <c r="L2" i="55"/>
  <c r="J2" i="55"/>
  <c r="H2" i="55"/>
  <c r="F2" i="55"/>
  <c r="D2" i="55"/>
  <c r="B2" i="55"/>
  <c r="T2" i="54"/>
  <c r="R2" i="54"/>
  <c r="P2" i="54"/>
  <c r="N2" i="54"/>
  <c r="L2" i="54"/>
  <c r="J2" i="54"/>
  <c r="H2" i="54"/>
  <c r="F2" i="54"/>
  <c r="D2" i="54"/>
  <c r="T2" i="53"/>
  <c r="R2" i="53"/>
  <c r="P2" i="53"/>
  <c r="N2" i="53"/>
  <c r="L2" i="53"/>
  <c r="J2" i="53"/>
  <c r="H2" i="53"/>
  <c r="F2" i="53"/>
  <c r="D2" i="53"/>
  <c r="O1" i="15"/>
  <c r="AC1" i="15"/>
  <c r="AP21" i="15"/>
  <c r="AP20" i="15"/>
  <c r="AP18" i="15"/>
  <c r="AP17" i="15"/>
  <c r="AP16" i="15"/>
  <c r="AP14" i="15"/>
  <c r="AP19" i="15"/>
  <c r="AP10" i="15"/>
  <c r="AP8" i="15"/>
  <c r="AP7" i="15"/>
  <c r="AP9" i="15"/>
  <c r="AP15" i="15"/>
  <c r="AP11" i="15"/>
  <c r="AP12" i="15"/>
  <c r="Z13" i="15"/>
  <c r="Y13" i="15"/>
  <c r="Y5" i="15" s="1"/>
  <c r="X13" i="15"/>
  <c r="X5" i="15" s="1"/>
  <c r="W13" i="15"/>
  <c r="V13" i="15"/>
  <c r="U13" i="15"/>
  <c r="T13" i="15"/>
  <c r="S13" i="15"/>
  <c r="AB13" i="15" s="1"/>
  <c r="R13" i="15"/>
  <c r="R5" i="15" s="1"/>
  <c r="AB5" i="15" s="1"/>
  <c r="Q13" i="15"/>
  <c r="Q5" i="15"/>
  <c r="P13" i="15"/>
  <c r="M13" i="15"/>
  <c r="L13" i="15"/>
  <c r="L5" i="15" s="1"/>
  <c r="K13" i="15"/>
  <c r="I13" i="15"/>
  <c r="H13" i="15"/>
  <c r="G13" i="15"/>
  <c r="F13" i="15"/>
  <c r="F5" i="15" s="1"/>
  <c r="E13" i="15"/>
  <c r="E5" i="15"/>
  <c r="D13" i="15"/>
  <c r="N21" i="15"/>
  <c r="N20" i="15"/>
  <c r="N18" i="15"/>
  <c r="N17" i="15"/>
  <c r="N16" i="15"/>
  <c r="N15" i="15"/>
  <c r="N14" i="15"/>
  <c r="N19" i="15"/>
  <c r="N11" i="15"/>
  <c r="AF5" i="15"/>
  <c r="G5" i="15"/>
  <c r="I5" i="15"/>
  <c r="D5" i="15"/>
  <c r="M5" i="15"/>
  <c r="W5" i="15"/>
  <c r="AH5" i="15"/>
  <c r="AE5" i="15"/>
  <c r="B5" i="15"/>
  <c r="AI5" i="15"/>
  <c r="Z5" i="15"/>
  <c r="U5" i="15"/>
  <c r="AP6" i="15"/>
  <c r="AA5" i="15"/>
  <c r="AP13" i="15"/>
  <c r="H5" i="15"/>
  <c r="V5" i="15"/>
  <c r="P5" i="15"/>
  <c r="J5" i="15"/>
  <c r="T5" i="15"/>
  <c r="AG5" i="15"/>
  <c r="K5" i="15"/>
  <c r="AB6" i="15"/>
  <c r="N6" i="15"/>
  <c r="N13" i="15"/>
  <c r="D3" i="57"/>
  <c r="G3" i="57"/>
  <c r="B31" i="57"/>
  <c r="B35" i="57"/>
  <c r="B22" i="57"/>
  <c r="B41" i="57"/>
  <c r="B12" i="57"/>
  <c r="B14" i="57"/>
  <c r="B15" i="57"/>
  <c r="B29" i="57"/>
  <c r="B38" i="57"/>
  <c r="B32" i="57"/>
  <c r="B23" i="57"/>
  <c r="B39" i="57"/>
  <c r="B16" i="57"/>
  <c r="B19" i="57"/>
  <c r="B9" i="57"/>
  <c r="B25" i="57"/>
  <c r="B30" i="57"/>
  <c r="B28" i="57"/>
  <c r="H22" i="31"/>
  <c r="N16" i="31"/>
  <c r="D14" i="31"/>
  <c r="H16" i="31"/>
  <c r="C10" i="31"/>
  <c r="N11" i="31"/>
  <c r="R17" i="31"/>
  <c r="L16" i="31"/>
  <c r="I8" i="31"/>
  <c r="N13" i="31"/>
  <c r="P13" i="31"/>
  <c r="R10" i="31"/>
  <c r="D22" i="31"/>
  <c r="M17" i="31"/>
  <c r="H14" i="31"/>
  <c r="B18" i="57"/>
  <c r="B20" i="57"/>
  <c r="B13" i="57"/>
  <c r="B10" i="57"/>
  <c r="E6" i="31"/>
  <c r="G10" i="31"/>
  <c r="M8" i="31"/>
  <c r="M7" i="31"/>
  <c r="M14" i="31"/>
  <c r="L22" i="31"/>
  <c r="R7" i="31"/>
  <c r="C7" i="31"/>
  <c r="G22" i="31"/>
  <c r="P20" i="31"/>
  <c r="H21" i="31"/>
  <c r="E7" i="31"/>
  <c r="G13" i="31"/>
  <c r="H17" i="31"/>
  <c r="L8" i="31"/>
  <c r="B24" i="57"/>
  <c r="B17" i="57"/>
  <c r="B45" i="57"/>
  <c r="B34" i="57"/>
  <c r="B33" i="57"/>
  <c r="B40" i="57"/>
  <c r="H10" i="31"/>
  <c r="E14" i="57"/>
  <c r="D21" i="31"/>
  <c r="L13" i="31"/>
  <c r="E16" i="31"/>
  <c r="E21" i="31"/>
  <c r="C13" i="31"/>
  <c r="G8" i="31"/>
  <c r="L21" i="31"/>
  <c r="P10" i="31"/>
  <c r="Q6" i="31"/>
  <c r="M11" i="31"/>
  <c r="R16" i="31"/>
  <c r="I20" i="31"/>
  <c r="E22" i="31"/>
  <c r="E8" i="31"/>
  <c r="E11" i="31"/>
  <c r="E23" i="57"/>
  <c r="E17" i="57"/>
  <c r="M21" i="31"/>
  <c r="H20" i="31"/>
  <c r="R20" i="31"/>
  <c r="Q21" i="31"/>
  <c r="Q13" i="31"/>
  <c r="P21" i="31"/>
  <c r="E3" i="57"/>
  <c r="D11" i="31"/>
  <c r="N7" i="31"/>
  <c r="I7" i="31"/>
  <c r="P16" i="31"/>
  <c r="C20" i="31"/>
  <c r="E39" i="57"/>
  <c r="E13" i="57"/>
  <c r="L14" i="31"/>
  <c r="I16" i="31"/>
  <c r="N20" i="31"/>
  <c r="D23" i="31"/>
  <c r="M22" i="31"/>
  <c r="E40" i="57"/>
  <c r="I13" i="31"/>
  <c r="N10" i="31"/>
  <c r="L6" i="31"/>
  <c r="E4" i="57"/>
  <c r="G21" i="31"/>
  <c r="M20" i="31"/>
  <c r="N23" i="31"/>
  <c r="E20" i="57"/>
  <c r="Q10" i="31"/>
  <c r="R21" i="31"/>
  <c r="C6" i="31"/>
  <c r="M13" i="31"/>
  <c r="C23" i="31"/>
  <c r="P8" i="31"/>
  <c r="Q7" i="31"/>
  <c r="E28" i="57"/>
  <c r="D13" i="31"/>
  <c r="Q16" i="31"/>
  <c r="I21" i="31"/>
  <c r="E30" i="57"/>
  <c r="Q11" i="31"/>
  <c r="R11" i="31"/>
  <c r="H23" i="31"/>
  <c r="G6" i="31"/>
  <c r="E10" i="31"/>
  <c r="N6" i="31"/>
  <c r="L10" i="31"/>
  <c r="Q14" i="31"/>
  <c r="E13" i="31"/>
  <c r="E23" i="31"/>
  <c r="R22" i="31"/>
  <c r="G16" i="31"/>
  <c r="H6" i="31"/>
  <c r="E33" i="57"/>
  <c r="E24" i="57"/>
  <c r="E29" i="57"/>
  <c r="L11" i="31"/>
  <c r="E17" i="31"/>
  <c r="I22" i="31"/>
  <c r="N21" i="31"/>
  <c r="L20" i="31"/>
  <c r="G11" i="31"/>
  <c r="H8" i="31"/>
  <c r="M10" i="31"/>
  <c r="M16" i="31"/>
  <c r="P22" i="31"/>
  <c r="N14" i="31"/>
  <c r="R6" i="31"/>
  <c r="E20" i="31"/>
  <c r="C16" i="31"/>
  <c r="N17" i="31"/>
  <c r="N8" i="31"/>
  <c r="C14" i="31"/>
  <c r="D16" i="31"/>
  <c r="E14" i="31"/>
  <c r="G7" i="31"/>
  <c r="I10" i="31"/>
  <c r="N22" i="31"/>
  <c r="P23" i="31"/>
  <c r="R23" i="31"/>
  <c r="P6" i="31"/>
  <c r="I11" i="31"/>
  <c r="C22" i="31"/>
  <c r="Q22" i="31"/>
  <c r="R8" i="31"/>
  <c r="Q17" i="31"/>
  <c r="I23" i="31"/>
  <c r="L23" i="31"/>
  <c r="D6" i="31"/>
  <c r="C11" i="31"/>
  <c r="M23" i="31"/>
  <c r="G14" i="31"/>
  <c r="D10" i="31"/>
  <c r="G23" i="31"/>
  <c r="C21" i="31"/>
  <c r="Q23" i="31"/>
  <c r="I14" i="31"/>
  <c r="C8" i="31"/>
  <c r="H11" i="31"/>
  <c r="H7" i="31"/>
  <c r="D7" i="31"/>
  <c r="H13" i="31"/>
  <c r="D20" i="31"/>
  <c r="M6" i="31"/>
  <c r="R13" i="31"/>
  <c r="L7" i="31"/>
  <c r="L17" i="31"/>
  <c r="Q20" i="31"/>
  <c r="P11" i="31"/>
  <c r="G17" i="31"/>
  <c r="P14" i="31"/>
  <c r="P7" i="31"/>
  <c r="P17" i="31"/>
  <c r="R14" i="31"/>
  <c r="Q8" i="31"/>
  <c r="I17" i="31"/>
  <c r="C17" i="31"/>
  <c r="D8" i="31"/>
  <c r="I6" i="31"/>
  <c r="G20" i="31"/>
  <c r="D17" i="31"/>
  <c r="E31" i="57"/>
  <c r="E19" i="57"/>
  <c r="E45" i="57"/>
  <c r="E9" i="57"/>
  <c r="E26" i="57"/>
  <c r="E27" i="57"/>
  <c r="E15" i="57"/>
  <c r="E25" i="57"/>
  <c r="E12" i="57"/>
  <c r="E34" i="57"/>
  <c r="E22" i="57"/>
  <c r="E32" i="57"/>
  <c r="E35" i="57"/>
  <c r="E11" i="57"/>
  <c r="E18" i="57"/>
  <c r="E10" i="57"/>
  <c r="E38" i="57"/>
  <c r="E16" i="57"/>
  <c r="E41" i="57"/>
  <c r="E43" i="57" l="1"/>
  <c r="G19" i="31"/>
  <c r="F17" i="31"/>
  <c r="U17" i="31"/>
  <c r="U7" i="31"/>
  <c r="J17" i="31"/>
  <c r="U11" i="31"/>
  <c r="Q19" i="31"/>
  <c r="Q18" i="31" s="1"/>
  <c r="O17" i="31"/>
  <c r="O7" i="31"/>
  <c r="R12" i="31"/>
  <c r="M5" i="31"/>
  <c r="D19" i="31"/>
  <c r="D18" i="31" s="1"/>
  <c r="H12" i="31"/>
  <c r="F8" i="31"/>
  <c r="U21" i="31"/>
  <c r="D9" i="31"/>
  <c r="J14" i="31"/>
  <c r="F11" i="31"/>
  <c r="D5" i="31"/>
  <c r="U22" i="31"/>
  <c r="U6" i="31"/>
  <c r="I9" i="31"/>
  <c r="J7" i="31"/>
  <c r="D15" i="31"/>
  <c r="U14" i="31"/>
  <c r="F14" i="31"/>
  <c r="F16" i="31"/>
  <c r="C15" i="31"/>
  <c r="E19" i="31"/>
  <c r="E18" i="31" s="1"/>
  <c r="R5" i="31"/>
  <c r="M15" i="31"/>
  <c r="M9" i="31"/>
  <c r="J11" i="31"/>
  <c r="L19" i="31"/>
  <c r="O11" i="31"/>
  <c r="H5" i="31"/>
  <c r="G15" i="31"/>
  <c r="J16" i="31"/>
  <c r="E12" i="31"/>
  <c r="O10" i="31"/>
  <c r="L9" i="31"/>
  <c r="N5" i="31"/>
  <c r="E9" i="31"/>
  <c r="G5" i="31"/>
  <c r="Q15" i="31"/>
  <c r="D12" i="31"/>
  <c r="P5" i="31"/>
  <c r="U8" i="31"/>
  <c r="U23" i="31"/>
  <c r="M12" i="31"/>
  <c r="F6" i="31"/>
  <c r="C5" i="31"/>
  <c r="Q9" i="31"/>
  <c r="M20" i="57"/>
  <c r="M19" i="31"/>
  <c r="M18" i="31" s="1"/>
  <c r="H4" i="57"/>
  <c r="L5" i="31"/>
  <c r="O6" i="31"/>
  <c r="N9" i="31"/>
  <c r="I12" i="31"/>
  <c r="N19" i="31"/>
  <c r="N18" i="31" s="1"/>
  <c r="I15" i="31"/>
  <c r="O14" i="31"/>
  <c r="M14" i="57"/>
  <c r="M45" i="57"/>
  <c r="C19" i="31"/>
  <c r="U20" i="31"/>
  <c r="P15" i="31"/>
  <c r="U16" i="31"/>
  <c r="H3" i="57"/>
  <c r="I3" i="57" s="1"/>
  <c r="F3" i="57"/>
  <c r="Q12" i="31"/>
  <c r="R19" i="31"/>
  <c r="R18" i="31" s="1"/>
  <c r="H19" i="31"/>
  <c r="H18" i="31" s="1"/>
  <c r="I19" i="31"/>
  <c r="I18" i="31" s="1"/>
  <c r="R15" i="31"/>
  <c r="Q5" i="31"/>
  <c r="Q4" i="31" s="1"/>
  <c r="Q27" i="31" s="1"/>
  <c r="P9" i="31"/>
  <c r="J8" i="31"/>
  <c r="F13" i="31"/>
  <c r="C12" i="31"/>
  <c r="E15" i="31"/>
  <c r="L12" i="31"/>
  <c r="O13" i="31"/>
  <c r="H9" i="31"/>
  <c r="O8" i="31"/>
  <c r="J13" i="31"/>
  <c r="G12" i="31"/>
  <c r="P19" i="31"/>
  <c r="F7" i="31"/>
  <c r="K7" i="31" s="1"/>
  <c r="G9" i="31"/>
  <c r="J10" i="31"/>
  <c r="E5" i="31"/>
  <c r="R9" i="31"/>
  <c r="P12" i="31"/>
  <c r="U13" i="31"/>
  <c r="N12" i="31"/>
  <c r="I5" i="31"/>
  <c r="L15" i="31"/>
  <c r="O15" i="31" s="1"/>
  <c r="O16" i="31"/>
  <c r="U10" i="31"/>
  <c r="H15" i="31"/>
  <c r="N15" i="31"/>
  <c r="N5" i="15"/>
  <c r="AP5" i="15"/>
  <c r="F10" i="31"/>
  <c r="C9" i="31"/>
  <c r="J6" i="31"/>
  <c r="D32" i="55"/>
  <c r="T6" i="53"/>
  <c r="F42" i="55"/>
  <c r="J17" i="55"/>
  <c r="D55" i="53"/>
  <c r="I17" i="53"/>
  <c r="J44" i="55"/>
  <c r="D20" i="55"/>
  <c r="B40" i="55"/>
  <c r="D6" i="55"/>
  <c r="H17" i="55"/>
  <c r="M12" i="54"/>
  <c r="J9" i="53"/>
  <c r="L16" i="55"/>
  <c r="F13" i="53"/>
  <c r="D28" i="57"/>
  <c r="C75" i="55"/>
  <c r="C54" i="55"/>
  <c r="B43" i="55"/>
  <c r="J23" i="55"/>
  <c r="K26" i="55"/>
  <c r="H4" i="55"/>
  <c r="E4" i="53"/>
  <c r="G11" i="53"/>
  <c r="P4" i="53"/>
  <c r="F5" i="55"/>
  <c r="F16" i="53"/>
  <c r="L11" i="53"/>
  <c r="F30" i="55"/>
  <c r="E46" i="55"/>
  <c r="F16" i="55"/>
  <c r="S6" i="55"/>
  <c r="H42" i="55"/>
  <c r="E12" i="54"/>
  <c r="B87" i="55"/>
  <c r="G20" i="55"/>
  <c r="K21" i="55"/>
  <c r="D13" i="55"/>
  <c r="D46" i="53"/>
  <c r="B78" i="55"/>
  <c r="N11" i="53"/>
  <c r="I34" i="55"/>
  <c r="B27" i="55"/>
  <c r="P13" i="55"/>
  <c r="E5" i="54"/>
  <c r="J6" i="55"/>
  <c r="H21" i="55"/>
  <c r="I29" i="55"/>
  <c r="D33" i="57"/>
  <c r="E48" i="53"/>
  <c r="K6" i="54"/>
  <c r="J46" i="55"/>
  <c r="J4" i="55"/>
  <c r="N33" i="55"/>
  <c r="E44" i="53"/>
  <c r="K28" i="55"/>
  <c r="U15" i="53"/>
  <c r="R20" i="55"/>
  <c r="H8" i="53"/>
  <c r="I6" i="55"/>
  <c r="S30" i="55"/>
  <c r="F15" i="55"/>
  <c r="I12" i="53"/>
  <c r="J34" i="55"/>
  <c r="P17" i="53"/>
  <c r="M6" i="54"/>
  <c r="H28" i="55"/>
  <c r="F23" i="55"/>
  <c r="E46" i="53"/>
  <c r="N10" i="54"/>
  <c r="N5" i="54"/>
  <c r="B56" i="55"/>
  <c r="R15" i="55"/>
  <c r="D4" i="55"/>
  <c r="F9" i="54"/>
  <c r="R19" i="55"/>
  <c r="B71" i="55"/>
  <c r="G10" i="53"/>
  <c r="I14" i="53"/>
  <c r="L36" i="55"/>
  <c r="K7" i="55"/>
  <c r="B58" i="55"/>
  <c r="H43" i="55"/>
  <c r="U7" i="54"/>
  <c r="F39" i="55"/>
  <c r="R4" i="55"/>
  <c r="P16" i="53"/>
  <c r="H6" i="54"/>
  <c r="G33" i="55"/>
  <c r="K8" i="54"/>
  <c r="F27" i="55"/>
  <c r="C61" i="55"/>
  <c r="M6" i="53"/>
  <c r="U18" i="53"/>
  <c r="C46" i="55"/>
  <c r="K41" i="55"/>
  <c r="L5" i="54"/>
  <c r="J33" i="55"/>
  <c r="L11" i="54"/>
  <c r="L17" i="53"/>
  <c r="C35" i="55"/>
  <c r="K30" i="55"/>
  <c r="R16" i="53"/>
  <c r="R12" i="54"/>
  <c r="S26" i="55"/>
  <c r="D33" i="55"/>
  <c r="R16" i="55"/>
  <c r="K17" i="53"/>
  <c r="D7" i="54"/>
  <c r="E43" i="53"/>
  <c r="E37" i="55"/>
  <c r="R17" i="55"/>
  <c r="R21" i="55"/>
  <c r="D27" i="57"/>
  <c r="D27" i="55"/>
  <c r="E22" i="55"/>
  <c r="P9" i="53"/>
  <c r="F17" i="53"/>
  <c r="B52" i="55"/>
  <c r="D30" i="55"/>
  <c r="F28" i="55"/>
  <c r="S24" i="55"/>
  <c r="C32" i="55"/>
  <c r="T5" i="54"/>
  <c r="H18" i="53"/>
  <c r="C52" i="55"/>
  <c r="B70" i="55"/>
  <c r="T8" i="53"/>
  <c r="C85" i="55"/>
  <c r="C22" i="55"/>
  <c r="E29" i="55"/>
  <c r="I5" i="54"/>
  <c r="U11" i="54"/>
  <c r="D52" i="53"/>
  <c r="I39" i="55"/>
  <c r="M9" i="54"/>
  <c r="G27" i="55"/>
  <c r="H38" i="55"/>
  <c r="J36" i="55"/>
  <c r="L18" i="55"/>
  <c r="D23" i="57"/>
  <c r="F10" i="53"/>
  <c r="H5" i="53"/>
  <c r="K32" i="55"/>
  <c r="D7" i="55"/>
  <c r="T5" i="53"/>
  <c r="G29" i="55"/>
  <c r="M15" i="53"/>
  <c r="E55" i="53"/>
  <c r="N15" i="55"/>
  <c r="B67" i="55"/>
  <c r="C65" i="55"/>
  <c r="I5" i="55"/>
  <c r="R6" i="54"/>
  <c r="T11" i="53"/>
  <c r="L37" i="55"/>
  <c r="D18" i="54"/>
  <c r="L9" i="53"/>
  <c r="K45" i="55"/>
  <c r="L12" i="54"/>
  <c r="J35" i="55"/>
  <c r="C18" i="55"/>
  <c r="P18" i="55"/>
  <c r="D6" i="53"/>
  <c r="J26" i="55"/>
  <c r="U10" i="53"/>
  <c r="H13" i="53"/>
  <c r="B82" i="55"/>
  <c r="L43" i="55"/>
  <c r="I10" i="54"/>
  <c r="M13" i="53"/>
  <c r="B20" i="55"/>
  <c r="M18" i="53"/>
  <c r="I11" i="54"/>
  <c r="B81" i="55"/>
  <c r="I4" i="54"/>
  <c r="K14" i="55"/>
  <c r="N41" i="55"/>
  <c r="D22" i="57"/>
  <c r="G10" i="55"/>
  <c r="E32" i="55"/>
  <c r="B45" i="55"/>
  <c r="J12" i="54"/>
  <c r="B13" i="55"/>
  <c r="R14" i="53"/>
  <c r="H11" i="54"/>
  <c r="B38" i="55"/>
  <c r="J12" i="55"/>
  <c r="P15" i="53"/>
  <c r="U8" i="54"/>
  <c r="I36" i="55"/>
  <c r="G34" i="55"/>
  <c r="M8" i="54"/>
  <c r="I7" i="53"/>
  <c r="F4" i="53"/>
  <c r="E54" i="53"/>
  <c r="I4" i="55"/>
  <c r="B65" i="55"/>
  <c r="S7" i="55"/>
  <c r="G10" i="54"/>
  <c r="E50" i="53"/>
  <c r="M5" i="53"/>
  <c r="N5" i="53"/>
  <c r="G32" i="55"/>
  <c r="C58" i="55"/>
  <c r="R43" i="55"/>
  <c r="D13" i="57"/>
  <c r="J13" i="55"/>
  <c r="C27" i="55"/>
  <c r="C88" i="55"/>
  <c r="G5" i="53"/>
  <c r="P10" i="53"/>
  <c r="D23" i="55"/>
  <c r="B29" i="55"/>
  <c r="P7" i="53"/>
  <c r="L5" i="53"/>
  <c r="D26" i="55"/>
  <c r="E4" i="55"/>
  <c r="H19" i="53"/>
  <c r="I18" i="55"/>
  <c r="K20" i="55"/>
  <c r="F44" i="55"/>
  <c r="E12" i="55"/>
  <c r="G15" i="53"/>
  <c r="S4" i="55"/>
  <c r="I32" i="55"/>
  <c r="M5" i="54"/>
  <c r="K5" i="55"/>
  <c r="I16" i="53"/>
  <c r="K5" i="54"/>
  <c r="J8" i="54"/>
  <c r="D45" i="53"/>
  <c r="I14" i="55"/>
  <c r="F6" i="54"/>
  <c r="L6" i="53"/>
  <c r="L13" i="55"/>
  <c r="D53" i="53"/>
  <c r="G22" i="55"/>
  <c r="B72" i="55"/>
  <c r="H39" i="55"/>
  <c r="P5" i="53"/>
  <c r="G19" i="53"/>
  <c r="I31" i="55"/>
  <c r="U17" i="53"/>
  <c r="J18" i="55"/>
  <c r="D32" i="57"/>
  <c r="I5" i="53"/>
  <c r="H5" i="55"/>
  <c r="K9" i="55"/>
  <c r="B6" i="55"/>
  <c r="J5" i="53"/>
  <c r="G17" i="53"/>
  <c r="H26" i="55"/>
  <c r="C78" i="55"/>
  <c r="N15" i="53"/>
  <c r="B60" i="55"/>
  <c r="G17" i="55"/>
  <c r="E23" i="55"/>
  <c r="R27" i="55"/>
  <c r="L19" i="53"/>
  <c r="P7" i="55"/>
  <c r="U5" i="54"/>
  <c r="F18" i="55"/>
  <c r="E7" i="53"/>
  <c r="L15" i="53"/>
  <c r="F46" i="55"/>
  <c r="G5" i="55"/>
  <c r="I42" i="55"/>
  <c r="I10" i="53"/>
  <c r="G13" i="53"/>
  <c r="I24" i="55"/>
  <c r="J6" i="54"/>
  <c r="D24" i="55"/>
  <c r="R9" i="55"/>
  <c r="I9" i="55"/>
  <c r="H45" i="55"/>
  <c r="E33" i="55"/>
  <c r="F34" i="55"/>
  <c r="E17" i="55"/>
  <c r="J29" i="55"/>
  <c r="C87" i="55"/>
  <c r="S18" i="55"/>
  <c r="B64" i="55"/>
  <c r="T19" i="53"/>
  <c r="G42" i="55"/>
  <c r="J28" i="55"/>
  <c r="E9" i="53"/>
  <c r="C24" i="55"/>
  <c r="E6" i="55"/>
  <c r="D10" i="57"/>
  <c r="H17" i="53"/>
  <c r="P41" i="55"/>
  <c r="U11" i="53"/>
  <c r="B7" i="55"/>
  <c r="J16" i="55"/>
  <c r="N6" i="53"/>
  <c r="E14" i="53"/>
  <c r="I7" i="54"/>
  <c r="B75" i="55"/>
  <c r="I28" i="55"/>
  <c r="C77" i="55"/>
  <c r="H6" i="53"/>
  <c r="J37" i="55"/>
  <c r="P4" i="55"/>
  <c r="F24" i="55"/>
  <c r="P12" i="53"/>
  <c r="K9" i="53"/>
  <c r="P10" i="55"/>
  <c r="K4" i="55"/>
  <c r="B69" i="55"/>
  <c r="E53" i="53"/>
  <c r="T18" i="53"/>
  <c r="E6" i="54"/>
  <c r="I12" i="55"/>
  <c r="T8" i="54"/>
  <c r="P12" i="54"/>
  <c r="C26" i="55"/>
  <c r="C57" i="55"/>
  <c r="J22" i="55"/>
  <c r="C83" i="55"/>
  <c r="B23" i="55"/>
  <c r="F9" i="55"/>
  <c r="D51" i="53"/>
  <c r="P40" i="55"/>
  <c r="G16" i="53"/>
  <c r="E45" i="55"/>
  <c r="G44" i="55"/>
  <c r="F7" i="54"/>
  <c r="H16" i="55"/>
  <c r="C76" i="55"/>
  <c r="I18" i="53"/>
  <c r="G7" i="54"/>
  <c r="R9" i="53"/>
  <c r="N16" i="55"/>
  <c r="D20" i="57"/>
  <c r="E17" i="54"/>
  <c r="N9" i="54"/>
  <c r="N4" i="55"/>
  <c r="K15" i="55"/>
  <c r="H35" i="55"/>
  <c r="S13" i="55"/>
  <c r="B86" i="55"/>
  <c r="K8" i="55"/>
  <c r="L4" i="54"/>
  <c r="U14" i="53"/>
  <c r="E10" i="54"/>
  <c r="E9" i="54"/>
  <c r="D43" i="55"/>
  <c r="P37" i="55"/>
  <c r="C63" i="55"/>
  <c r="F19" i="53"/>
  <c r="D22" i="54"/>
  <c r="G7" i="55"/>
  <c r="N14" i="53"/>
  <c r="D6" i="57"/>
  <c r="M7" i="53"/>
  <c r="C21" i="55"/>
  <c r="L35" i="55"/>
  <c r="E21" i="55"/>
  <c r="C29" i="55"/>
  <c r="F8" i="55"/>
  <c r="F7" i="53"/>
  <c r="T14" i="53"/>
  <c r="L10" i="55"/>
  <c r="T11" i="54"/>
  <c r="L12" i="55"/>
  <c r="K22" i="55"/>
  <c r="E14" i="55"/>
  <c r="F31" i="55"/>
  <c r="P14" i="53"/>
  <c r="J41" i="55"/>
  <c r="J16" i="53"/>
  <c r="L45" i="55"/>
  <c r="D44" i="53"/>
  <c r="I11" i="53"/>
  <c r="C62" i="55"/>
  <c r="F6" i="55"/>
  <c r="D28" i="55"/>
  <c r="B25" i="55"/>
  <c r="K31" i="55"/>
  <c r="B55" i="55"/>
  <c r="P7" i="54"/>
  <c r="N4" i="54"/>
  <c r="T6" i="54"/>
  <c r="N40" i="55"/>
  <c r="B33" i="55"/>
  <c r="B30" i="55"/>
  <c r="J11" i="54"/>
  <c r="R10" i="53"/>
  <c r="H18" i="55"/>
  <c r="J10" i="53"/>
  <c r="G39" i="55"/>
  <c r="P5" i="54"/>
  <c r="D36" i="55"/>
  <c r="C31" i="55"/>
  <c r="H32" i="55"/>
  <c r="J42" i="55"/>
  <c r="C15" i="55"/>
  <c r="C73" i="55"/>
  <c r="G18" i="53"/>
  <c r="U4" i="54"/>
  <c r="G45" i="55"/>
  <c r="R6" i="55"/>
  <c r="B53" i="55"/>
  <c r="E16" i="55"/>
  <c r="J8" i="55"/>
  <c r="L34" i="55"/>
  <c r="D15" i="57"/>
  <c r="N34" i="55"/>
  <c r="R5" i="55"/>
  <c r="I46" i="55"/>
  <c r="I43" i="55"/>
  <c r="N18" i="55"/>
  <c r="U13" i="53"/>
  <c r="G12" i="54"/>
  <c r="I13" i="55"/>
  <c r="D38" i="55"/>
  <c r="H15" i="55"/>
  <c r="T12" i="54"/>
  <c r="J30" i="55"/>
  <c r="I10" i="55"/>
  <c r="H33" i="55"/>
  <c r="K6" i="53"/>
  <c r="H10" i="53"/>
  <c r="E7" i="55"/>
  <c r="T9" i="53"/>
  <c r="B26" i="55"/>
  <c r="K44" i="55"/>
  <c r="D45" i="57"/>
  <c r="R8" i="55"/>
  <c r="M10" i="54"/>
  <c r="R11" i="54"/>
  <c r="G7" i="53"/>
  <c r="C82" i="55"/>
  <c r="K25" i="55"/>
  <c r="D20" i="54"/>
  <c r="U10" i="54"/>
  <c r="D40" i="57"/>
  <c r="E47" i="53"/>
  <c r="G9" i="55"/>
  <c r="D44" i="55"/>
  <c r="G30" i="55"/>
  <c r="L40" i="55"/>
  <c r="R35" i="55"/>
  <c r="R14" i="55"/>
  <c r="C72" i="55"/>
  <c r="C84" i="55"/>
  <c r="M12" i="53"/>
  <c r="G24" i="55"/>
  <c r="J5" i="54"/>
  <c r="B9" i="55"/>
  <c r="D9" i="55"/>
  <c r="S41" i="55"/>
  <c r="J4" i="53"/>
  <c r="D25" i="55"/>
  <c r="C17" i="55"/>
  <c r="B8" i="55"/>
  <c r="R18" i="53"/>
  <c r="P14" i="55"/>
  <c r="P4" i="54"/>
  <c r="C33" i="55"/>
  <c r="I11" i="55"/>
  <c r="J18" i="53"/>
  <c r="K10" i="55"/>
  <c r="I12" i="54"/>
  <c r="J10" i="55"/>
  <c r="I26" i="55"/>
  <c r="F13" i="55"/>
  <c r="B83" i="55"/>
  <c r="B10" i="55"/>
  <c r="L10" i="53"/>
  <c r="G8" i="53"/>
  <c r="E23" i="54"/>
  <c r="D15" i="53"/>
  <c r="M4" i="53"/>
  <c r="F22" i="55"/>
  <c r="E7" i="54"/>
  <c r="B41" i="55"/>
  <c r="D21" i="55"/>
  <c r="C91" i="55"/>
  <c r="D10" i="53"/>
  <c r="H4" i="54"/>
  <c r="F7" i="55"/>
  <c r="E41" i="53"/>
  <c r="P17" i="55"/>
  <c r="S22" i="55"/>
  <c r="H6" i="55"/>
  <c r="G9" i="54"/>
  <c r="E34" i="55"/>
  <c r="B34" i="55"/>
  <c r="D9" i="57"/>
  <c r="F21" i="55"/>
  <c r="P38" i="55"/>
  <c r="P5" i="55"/>
  <c r="C19" i="55"/>
  <c r="K7" i="54"/>
  <c r="F19" i="55"/>
  <c r="B74" i="55"/>
  <c r="K27" i="55"/>
  <c r="E13" i="55"/>
  <c r="F6" i="53"/>
  <c r="E22" i="54"/>
  <c r="C69" i="55"/>
  <c r="I7" i="55"/>
  <c r="M11" i="53"/>
  <c r="F29" i="55"/>
  <c r="R11" i="53"/>
  <c r="K12" i="54"/>
  <c r="R13" i="55"/>
  <c r="C71" i="55"/>
  <c r="B61" i="55"/>
  <c r="J14" i="53"/>
  <c r="H25" i="55"/>
  <c r="L7" i="53"/>
  <c r="B79" i="55"/>
  <c r="B5" i="55"/>
  <c r="K39" i="55"/>
  <c r="N10" i="55"/>
  <c r="B21" i="55"/>
  <c r="S36" i="55"/>
  <c r="B63" i="55"/>
  <c r="C38" i="55"/>
  <c r="H8" i="55"/>
  <c r="F43" i="55"/>
  <c r="D56" i="53"/>
  <c r="B66" i="55"/>
  <c r="K19" i="55"/>
  <c r="B15" i="55"/>
  <c r="S39" i="55"/>
  <c r="F5" i="54"/>
  <c r="G28" i="55"/>
  <c r="D17" i="57"/>
  <c r="H14" i="53"/>
  <c r="C59" i="55"/>
  <c r="N12" i="53"/>
  <c r="B18" i="55"/>
  <c r="C8" i="55"/>
  <c r="K42" i="55"/>
  <c r="E11" i="55"/>
  <c r="E10" i="55"/>
  <c r="D18" i="55"/>
  <c r="E13" i="53"/>
  <c r="G21" i="55"/>
  <c r="D24" i="54"/>
  <c r="L41" i="55"/>
  <c r="I8" i="53"/>
  <c r="R12" i="53"/>
  <c r="E26" i="55"/>
  <c r="E20" i="54"/>
  <c r="E43" i="55"/>
  <c r="C7" i="55"/>
  <c r="S14" i="55"/>
  <c r="I41" i="55"/>
  <c r="D19" i="54"/>
  <c r="J25" i="55"/>
  <c r="E16" i="53"/>
  <c r="J15" i="55"/>
  <c r="N17" i="55"/>
  <c r="D5" i="53"/>
  <c r="E31" i="55"/>
  <c r="J7" i="55"/>
  <c r="P6" i="53"/>
  <c r="R25" i="55"/>
  <c r="R11" i="55"/>
  <c r="F12" i="53"/>
  <c r="J12" i="53"/>
  <c r="I15" i="55"/>
  <c r="P6" i="54"/>
  <c r="D37" i="55"/>
  <c r="F36" i="55"/>
  <c r="D15" i="55"/>
  <c r="P19" i="53"/>
  <c r="K13" i="55"/>
  <c r="I33" i="55"/>
  <c r="D54" i="53"/>
  <c r="C39" i="55"/>
  <c r="K23" i="55"/>
  <c r="R31" i="55"/>
  <c r="E45" i="53"/>
  <c r="K40" i="55"/>
  <c r="B28" i="55"/>
  <c r="B11" i="55"/>
  <c r="E5" i="55"/>
  <c r="J9" i="54"/>
  <c r="J8" i="53"/>
  <c r="B39" i="55"/>
  <c r="R33" i="55"/>
  <c r="D24" i="57"/>
  <c r="I6" i="53"/>
  <c r="S25" i="55"/>
  <c r="D7" i="53"/>
  <c r="J43" i="55"/>
  <c r="S20" i="55"/>
  <c r="H40" i="55"/>
  <c r="D10" i="55"/>
  <c r="D9" i="54"/>
  <c r="E24" i="54"/>
  <c r="E24" i="55"/>
  <c r="H9" i="54"/>
  <c r="U8" i="53"/>
  <c r="D8" i="55"/>
  <c r="D12" i="55"/>
  <c r="P42" i="55"/>
  <c r="P39" i="55"/>
  <c r="R8" i="53"/>
  <c r="E11" i="53"/>
  <c r="C80" i="55"/>
  <c r="T9" i="54"/>
  <c r="L16" i="53"/>
  <c r="K6" i="55"/>
  <c r="G25" i="55"/>
  <c r="E19" i="53"/>
  <c r="D42" i="55"/>
  <c r="H12" i="53"/>
  <c r="I6" i="54"/>
  <c r="P9" i="54"/>
  <c r="K14" i="53"/>
  <c r="B73" i="55"/>
  <c r="L6" i="54"/>
  <c r="G35" i="55"/>
  <c r="N43" i="55"/>
  <c r="H15" i="53"/>
  <c r="R10" i="54"/>
  <c r="F45" i="55"/>
  <c r="D12" i="57"/>
  <c r="S8" i="55"/>
  <c r="G46" i="55"/>
  <c r="L13" i="53"/>
  <c r="K16" i="55"/>
  <c r="R40" i="55"/>
  <c r="C23" i="55"/>
  <c r="I45" i="55"/>
  <c r="H44" i="55"/>
  <c r="S12" i="55"/>
  <c r="K10" i="54"/>
  <c r="E40" i="55"/>
  <c r="C70" i="55"/>
  <c r="N35" i="55"/>
  <c r="U12" i="53"/>
  <c r="H11" i="53"/>
  <c r="F37" i="55"/>
  <c r="H22" i="55"/>
  <c r="U7" i="53"/>
  <c r="J31" i="55"/>
  <c r="E11" i="54"/>
  <c r="K8" i="53"/>
  <c r="J11" i="53"/>
  <c r="R18" i="55"/>
  <c r="C34" i="55"/>
  <c r="R8" i="54"/>
  <c r="L12" i="53"/>
  <c r="R39" i="55"/>
  <c r="G8" i="55"/>
  <c r="C4" i="55"/>
  <c r="K12" i="53"/>
  <c r="R24" i="55"/>
  <c r="F11" i="55"/>
  <c r="S5" i="55"/>
  <c r="G12" i="53"/>
  <c r="D34" i="57"/>
  <c r="B44" i="55"/>
  <c r="C28" i="55"/>
  <c r="P33" i="55"/>
  <c r="S9" i="55"/>
  <c r="D18" i="57"/>
  <c r="D23" i="54"/>
  <c r="H23" i="55"/>
  <c r="H46" i="55"/>
  <c r="D14" i="53"/>
  <c r="D5" i="54"/>
  <c r="H12" i="55"/>
  <c r="F11" i="54"/>
  <c r="R6" i="53"/>
  <c r="S38" i="55"/>
  <c r="F40" i="55"/>
  <c r="P45" i="55"/>
  <c r="B50" i="55"/>
  <c r="J15" i="53"/>
  <c r="D19" i="57"/>
  <c r="F8" i="54"/>
  <c r="R37" i="55"/>
  <c r="H31" i="55"/>
  <c r="R5" i="54"/>
  <c r="H13" i="55"/>
  <c r="J5" i="55"/>
  <c r="E10" i="53"/>
  <c r="E38" i="55"/>
  <c r="L5" i="55"/>
  <c r="D16" i="57"/>
  <c r="G14" i="55"/>
  <c r="P34" i="55"/>
  <c r="H16" i="53"/>
  <c r="E18" i="54"/>
  <c r="C68" i="55"/>
  <c r="R46" i="55"/>
  <c r="K7" i="53"/>
  <c r="F26" i="55"/>
  <c r="P43" i="55"/>
  <c r="P12" i="55"/>
  <c r="D50" i="53"/>
  <c r="S21" i="55"/>
  <c r="C86" i="55"/>
  <c r="C13" i="55"/>
  <c r="R12" i="55"/>
  <c r="F14" i="53"/>
  <c r="K34" i="55"/>
  <c r="N19" i="53"/>
  <c r="J4" i="54"/>
  <c r="S31" i="55"/>
  <c r="K19" i="53"/>
  <c r="B59" i="55"/>
  <c r="E15" i="55"/>
  <c r="J19" i="53"/>
  <c r="D46" i="55"/>
  <c r="F10" i="54"/>
  <c r="J9" i="55"/>
  <c r="K11" i="54"/>
  <c r="E41" i="55"/>
  <c r="D40" i="55"/>
  <c r="F41" i="55"/>
  <c r="G26" i="55"/>
  <c r="N7" i="54"/>
  <c r="F18" i="53"/>
  <c r="B22" i="55"/>
  <c r="K4" i="53"/>
  <c r="F4" i="54"/>
  <c r="R17" i="53"/>
  <c r="G8" i="54"/>
  <c r="K12" i="55"/>
  <c r="F25" i="55"/>
  <c r="S28" i="55"/>
  <c r="S19" i="55"/>
  <c r="D25" i="57"/>
  <c r="D14" i="57"/>
  <c r="D31" i="55"/>
  <c r="B32" i="55"/>
  <c r="D16" i="55"/>
  <c r="N8" i="53"/>
  <c r="D45" i="55"/>
  <c r="E51" i="53"/>
  <c r="M4" i="54"/>
  <c r="S42" i="55"/>
  <c r="C45" i="55"/>
  <c r="J24" i="55"/>
  <c r="J7" i="54"/>
  <c r="H10" i="54"/>
  <c r="D17" i="55"/>
  <c r="B90" i="55"/>
  <c r="K38" i="55"/>
  <c r="I35" i="55"/>
  <c r="U9" i="53"/>
  <c r="J38" i="55"/>
  <c r="P11" i="53"/>
  <c r="D19" i="55"/>
  <c r="B84" i="55"/>
  <c r="C25" i="55"/>
  <c r="E6" i="53"/>
  <c r="J10" i="54"/>
  <c r="R26" i="55"/>
  <c r="H4" i="53"/>
  <c r="U9" i="54"/>
  <c r="N42" i="55"/>
  <c r="I22" i="55"/>
  <c r="N45" i="55"/>
  <c r="H7" i="54"/>
  <c r="B16" i="55"/>
  <c r="C64" i="55"/>
  <c r="K24" i="55"/>
  <c r="G6" i="54"/>
  <c r="J39" i="55"/>
  <c r="R32" i="55"/>
  <c r="D43" i="53"/>
  <c r="P13" i="53"/>
  <c r="J6" i="53"/>
  <c r="D29" i="57"/>
  <c r="J21" i="55"/>
  <c r="B37" i="55"/>
  <c r="I13" i="53"/>
  <c r="N7" i="55"/>
  <c r="N38" i="55"/>
  <c r="E8" i="53"/>
  <c r="G36" i="55"/>
  <c r="D47" i="53"/>
  <c r="B62" i="55"/>
  <c r="B17" i="55"/>
  <c r="C36" i="55"/>
  <c r="F10" i="55"/>
  <c r="B51" i="55"/>
  <c r="R4" i="53"/>
  <c r="R15" i="53"/>
  <c r="T16" i="53"/>
  <c r="T10" i="54"/>
  <c r="R23" i="55"/>
  <c r="G6" i="55"/>
  <c r="J32" i="55"/>
  <c r="B12" i="55"/>
  <c r="R5" i="53"/>
  <c r="K33" i="55"/>
  <c r="F33" i="55"/>
  <c r="B54" i="55"/>
  <c r="E44" i="55"/>
  <c r="H27" i="55"/>
  <c r="B76" i="55"/>
  <c r="G15" i="55"/>
  <c r="L10" i="54"/>
  <c r="F8" i="53"/>
  <c r="M8" i="53"/>
  <c r="C89" i="55"/>
  <c r="C6" i="55"/>
  <c r="R4" i="54"/>
  <c r="R28" i="55"/>
  <c r="D41" i="55"/>
  <c r="I38" i="55"/>
  <c r="G23" i="55"/>
  <c r="G38" i="55"/>
  <c r="P18" i="53"/>
  <c r="R44" i="55"/>
  <c r="C56" i="55"/>
  <c r="M16" i="53"/>
  <c r="I40" i="55"/>
  <c r="G9" i="53"/>
  <c r="S29" i="55"/>
  <c r="P8" i="53"/>
  <c r="P36" i="55"/>
  <c r="L38" i="55"/>
  <c r="D31" i="57"/>
  <c r="K5" i="53"/>
  <c r="E5" i="53"/>
  <c r="F35" i="55"/>
  <c r="D39" i="57"/>
  <c r="I19" i="55"/>
  <c r="R19" i="53"/>
  <c r="H5" i="54"/>
  <c r="L42" i="55"/>
  <c r="E17" i="53"/>
  <c r="K18" i="53"/>
  <c r="G12" i="55"/>
  <c r="K37" i="55"/>
  <c r="L14" i="55"/>
  <c r="K9" i="54"/>
  <c r="E21" i="54"/>
  <c r="N4" i="53"/>
  <c r="B89" i="55"/>
  <c r="D42" i="53"/>
  <c r="B24" i="55"/>
  <c r="J20" i="55"/>
  <c r="S45" i="55"/>
  <c r="K35" i="55"/>
  <c r="T13" i="53"/>
  <c r="C53" i="55"/>
  <c r="S33" i="55"/>
  <c r="S43" i="55"/>
  <c r="M17" i="53"/>
  <c r="D5" i="55"/>
  <c r="E36" i="55"/>
  <c r="S40" i="55"/>
  <c r="D6" i="54"/>
  <c r="D16" i="53"/>
  <c r="F12" i="55"/>
  <c r="L18" i="53"/>
  <c r="N39" i="55"/>
  <c r="K13" i="53"/>
  <c r="F4" i="55"/>
  <c r="L8" i="53"/>
  <c r="E9" i="55"/>
  <c r="D17" i="53"/>
  <c r="E8" i="55"/>
  <c r="I8" i="54"/>
  <c r="R7" i="53"/>
  <c r="S10" i="55"/>
  <c r="L33" i="55"/>
  <c r="N11" i="54"/>
  <c r="I8" i="55"/>
  <c r="D41" i="57"/>
  <c r="R45" i="55"/>
  <c r="D11" i="54"/>
  <c r="T17" i="53"/>
  <c r="J7" i="53"/>
  <c r="G11" i="54"/>
  <c r="C79" i="55"/>
  <c r="E42" i="55"/>
  <c r="I25" i="55"/>
  <c r="L4" i="55"/>
  <c r="M10" i="53"/>
  <c r="T10" i="53"/>
  <c r="F38" i="55"/>
  <c r="I4" i="53"/>
  <c r="H24" i="55"/>
  <c r="B85" i="55"/>
  <c r="C41" i="55"/>
  <c r="M9" i="53"/>
  <c r="N36" i="55"/>
  <c r="P35" i="55"/>
  <c r="H12" i="54"/>
  <c r="I21" i="55"/>
  <c r="H34" i="55"/>
  <c r="R29" i="55"/>
  <c r="R42" i="55"/>
  <c r="M14" i="53"/>
  <c r="K11" i="53"/>
  <c r="D9" i="53"/>
  <c r="D4" i="54"/>
  <c r="I20" i="55"/>
  <c r="G18" i="55"/>
  <c r="I30" i="55"/>
  <c r="I16" i="55"/>
  <c r="H29" i="55"/>
  <c r="F32" i="55"/>
  <c r="B80" i="55"/>
  <c r="E35" i="55"/>
  <c r="P15" i="55"/>
  <c r="H9" i="55"/>
  <c r="K16" i="53"/>
  <c r="J19" i="55"/>
  <c r="G5" i="54"/>
  <c r="D8" i="53"/>
  <c r="M7" i="54"/>
  <c r="D8" i="54"/>
  <c r="N5" i="55"/>
  <c r="R13" i="53"/>
  <c r="R38" i="55"/>
  <c r="G37" i="55"/>
  <c r="G40" i="55"/>
  <c r="S35" i="55"/>
  <c r="B19" i="55"/>
  <c r="B14" i="55"/>
  <c r="N13" i="53"/>
  <c r="N12" i="54"/>
  <c r="F12" i="54"/>
  <c r="E20" i="55"/>
  <c r="D18" i="53"/>
  <c r="E30" i="55"/>
  <c r="D35" i="55"/>
  <c r="L14" i="53"/>
  <c r="B68" i="55"/>
  <c r="E19" i="54"/>
  <c r="C81" i="55"/>
  <c r="S46" i="55"/>
  <c r="G14" i="53"/>
  <c r="R30" i="55"/>
  <c r="U5" i="53"/>
  <c r="I23" i="55"/>
  <c r="D14" i="55"/>
  <c r="L39" i="55"/>
  <c r="D29" i="55"/>
  <c r="S44" i="55"/>
  <c r="S34" i="55"/>
  <c r="C20" i="55"/>
  <c r="S23" i="55"/>
  <c r="B31" i="55"/>
  <c r="G43" i="55"/>
  <c r="I27" i="55"/>
  <c r="G13" i="55"/>
  <c r="L15" i="55"/>
  <c r="C11" i="55"/>
  <c r="H36" i="55"/>
  <c r="E12" i="53"/>
  <c r="C51" i="55"/>
  <c r="D41" i="53"/>
  <c r="K15" i="53"/>
  <c r="T15" i="53"/>
  <c r="J14" i="55"/>
  <c r="G31" i="55"/>
  <c r="J45" i="55"/>
  <c r="C40" i="55"/>
  <c r="P10" i="54"/>
  <c r="I9" i="53"/>
  <c r="P11" i="54"/>
  <c r="K43" i="55"/>
  <c r="H19" i="55"/>
  <c r="K18" i="55"/>
  <c r="D21" i="54"/>
  <c r="D35" i="57"/>
  <c r="N37" i="55"/>
  <c r="D13" i="53"/>
  <c r="N12" i="55"/>
  <c r="B91" i="55"/>
  <c r="C67" i="55"/>
  <c r="S27" i="55"/>
  <c r="T7" i="54"/>
  <c r="D26" i="57"/>
  <c r="J40" i="55"/>
  <c r="E49" i="53"/>
  <c r="S11" i="55"/>
  <c r="F17" i="55"/>
  <c r="D12" i="54"/>
  <c r="I44" i="55"/>
  <c r="G6" i="53"/>
  <c r="G19" i="55"/>
  <c r="L7" i="54"/>
  <c r="N8" i="54"/>
  <c r="R22" i="55"/>
  <c r="T7" i="53"/>
  <c r="K46" i="55"/>
  <c r="L7" i="55"/>
  <c r="I15" i="53"/>
  <c r="F14" i="55"/>
  <c r="E27" i="55"/>
  <c r="D30" i="57"/>
  <c r="R10" i="55"/>
  <c r="R7" i="54"/>
  <c r="I37" i="55"/>
  <c r="C44" i="55"/>
  <c r="C37" i="55"/>
  <c r="N10" i="53"/>
  <c r="C50" i="55"/>
  <c r="R36" i="55"/>
  <c r="S17" i="55"/>
  <c r="H41" i="55"/>
  <c r="D4" i="57"/>
  <c r="F9" i="53"/>
  <c r="B4" i="55"/>
  <c r="H11" i="55"/>
  <c r="D10" i="54"/>
  <c r="H7" i="55"/>
  <c r="C42" i="55"/>
  <c r="G16" i="55"/>
  <c r="H37" i="55"/>
  <c r="T4" i="54"/>
  <c r="U16" i="53"/>
  <c r="D39" i="55"/>
  <c r="E18" i="53"/>
  <c r="C66" i="55"/>
  <c r="E15" i="53"/>
  <c r="D34" i="55"/>
  <c r="G4" i="54"/>
  <c r="H20" i="55"/>
  <c r="B42" i="55"/>
  <c r="S37" i="55"/>
  <c r="E4" i="54"/>
  <c r="F11" i="53"/>
  <c r="U4" i="53"/>
  <c r="E52" i="53"/>
  <c r="C5" i="55"/>
  <c r="K11" i="55"/>
  <c r="C74" i="55"/>
  <c r="C12" i="55"/>
  <c r="U6" i="54"/>
  <c r="J17" i="53"/>
  <c r="N13" i="55"/>
  <c r="D49" i="53"/>
  <c r="E39" i="55"/>
  <c r="N17" i="53"/>
  <c r="C55" i="55"/>
  <c r="C30" i="55"/>
  <c r="C90" i="55"/>
  <c r="N7" i="53"/>
  <c r="C43" i="55"/>
  <c r="G4" i="53"/>
  <c r="N14" i="55"/>
  <c r="H8" i="54"/>
  <c r="L9" i="54"/>
  <c r="C10" i="55"/>
  <c r="C14" i="55"/>
  <c r="C9" i="55"/>
  <c r="D25" i="54"/>
  <c r="D11" i="55"/>
  <c r="E18" i="55"/>
  <c r="D38" i="57"/>
  <c r="H14" i="55"/>
  <c r="U12" i="54"/>
  <c r="I17" i="55"/>
  <c r="B36" i="55"/>
  <c r="K17" i="55"/>
  <c r="S16" i="55"/>
  <c r="E56" i="53"/>
  <c r="U6" i="53"/>
  <c r="H10" i="55"/>
  <c r="D48" i="53"/>
  <c r="R7" i="55"/>
  <c r="D7" i="57"/>
  <c r="F5" i="53"/>
  <c r="M11" i="54"/>
  <c r="K4" i="54"/>
  <c r="E25" i="55"/>
  <c r="F20" i="55"/>
  <c r="M19" i="53"/>
  <c r="L17" i="55"/>
  <c r="D22" i="55"/>
  <c r="C60" i="55"/>
  <c r="U19" i="53"/>
  <c r="F15" i="53"/>
  <c r="R9" i="54"/>
  <c r="K36" i="55"/>
  <c r="B35" i="55"/>
  <c r="J13" i="53"/>
  <c r="B57" i="55"/>
  <c r="G11" i="55"/>
  <c r="S15" i="55"/>
  <c r="D17" i="54"/>
  <c r="E28" i="55"/>
  <c r="D4" i="53"/>
  <c r="S32" i="55"/>
  <c r="E19" i="55"/>
  <c r="G41" i="55"/>
  <c r="E8" i="54"/>
  <c r="L8" i="54"/>
  <c r="B46" i="55"/>
  <c r="K29" i="55"/>
  <c r="K10" i="53"/>
  <c r="N18" i="53"/>
  <c r="N16" i="53"/>
  <c r="H7" i="53"/>
  <c r="G4" i="55"/>
  <c r="C16" i="55"/>
  <c r="H9" i="53"/>
  <c r="N9" i="53"/>
  <c r="L4" i="53"/>
  <c r="T12" i="53"/>
  <c r="H30" i="55"/>
  <c r="P8" i="54"/>
  <c r="P16" i="55"/>
  <c r="D12" i="53"/>
  <c r="J11" i="55"/>
  <c r="D11" i="57"/>
  <c r="N6" i="54"/>
  <c r="I9" i="54"/>
  <c r="R41" i="55"/>
  <c r="R34" i="55"/>
  <c r="E42" i="53"/>
  <c r="D11" i="53"/>
  <c r="E25" i="54"/>
  <c r="B77" i="55"/>
  <c r="T4" i="53"/>
  <c r="J27" i="55"/>
  <c r="B88" i="55"/>
  <c r="D19" i="53"/>
  <c r="I19" i="53"/>
  <c r="E6" i="57"/>
  <c r="E7" i="57"/>
  <c r="E36" i="57"/>
  <c r="E4" i="31" l="1"/>
  <c r="E27" i="31" s="1"/>
  <c r="D4" i="31"/>
  <c r="D27" i="31" s="1"/>
  <c r="K10" i="31"/>
  <c r="K14" i="31"/>
  <c r="K17" i="31"/>
  <c r="F12" i="31"/>
  <c r="J12" i="31"/>
  <c r="M4" i="31"/>
  <c r="M27" i="31" s="1"/>
  <c r="J9" i="31"/>
  <c r="K12" i="31"/>
  <c r="E37" i="57"/>
  <c r="H7" i="57"/>
  <c r="E8" i="57"/>
  <c r="H6" i="57"/>
  <c r="E50" i="57"/>
  <c r="E37" i="53"/>
  <c r="D37" i="53"/>
  <c r="E29" i="53"/>
  <c r="D29" i="53"/>
  <c r="F11" i="57"/>
  <c r="D30" i="53"/>
  <c r="E30" i="53"/>
  <c r="T30" i="53"/>
  <c r="U30" i="53"/>
  <c r="N27" i="53"/>
  <c r="I27" i="53"/>
  <c r="H27" i="53"/>
  <c r="I25" i="53"/>
  <c r="H25" i="53"/>
  <c r="N34" i="53"/>
  <c r="N36" i="53"/>
  <c r="K31" i="53"/>
  <c r="J31" i="53"/>
  <c r="G33" i="53"/>
  <c r="F33" i="53"/>
  <c r="F23" i="53"/>
  <c r="G23" i="53"/>
  <c r="G7" i="57"/>
  <c r="I7" i="57" s="1"/>
  <c r="F7" i="57"/>
  <c r="D66" i="53"/>
  <c r="F38" i="57"/>
  <c r="N25" i="53"/>
  <c r="N35" i="53"/>
  <c r="E67" i="53"/>
  <c r="D67" i="53"/>
  <c r="J35" i="53"/>
  <c r="K35" i="53"/>
  <c r="G29" i="53"/>
  <c r="F29" i="53"/>
  <c r="F27" i="53"/>
  <c r="G27" i="53"/>
  <c r="F4" i="57"/>
  <c r="G4" i="57"/>
  <c r="I4" i="57" s="1"/>
  <c r="N28" i="53"/>
  <c r="F30" i="57"/>
  <c r="U25" i="53"/>
  <c r="T25" i="53"/>
  <c r="F26" i="57"/>
  <c r="D31" i="53"/>
  <c r="E31" i="53"/>
  <c r="F35" i="57"/>
  <c r="U33" i="53"/>
  <c r="T33" i="53"/>
  <c r="L32" i="53"/>
  <c r="M32" i="53"/>
  <c r="D36" i="53"/>
  <c r="E36" i="53"/>
  <c r="N31" i="53"/>
  <c r="R31" i="53"/>
  <c r="D26" i="53"/>
  <c r="E26" i="53"/>
  <c r="D27" i="53"/>
  <c r="E27" i="53"/>
  <c r="T28" i="53"/>
  <c r="J25" i="53"/>
  <c r="K25" i="53"/>
  <c r="T35" i="53"/>
  <c r="D43" i="57"/>
  <c r="F43" i="57" s="1"/>
  <c r="F41" i="57"/>
  <c r="R25" i="53"/>
  <c r="D35" i="53"/>
  <c r="E35" i="53"/>
  <c r="L26" i="53"/>
  <c r="L36" i="53"/>
  <c r="M36" i="53"/>
  <c r="E34" i="53"/>
  <c r="D34" i="53"/>
  <c r="T31" i="53"/>
  <c r="U31" i="53"/>
  <c r="D60" i="53"/>
  <c r="E60" i="53"/>
  <c r="R37" i="53"/>
  <c r="F39" i="57"/>
  <c r="F31" i="57"/>
  <c r="P26" i="53"/>
  <c r="P36" i="53"/>
  <c r="M26" i="53"/>
  <c r="G26" i="53"/>
  <c r="F26" i="53"/>
  <c r="R23" i="53"/>
  <c r="R22" i="53" s="1"/>
  <c r="U34" i="53"/>
  <c r="T34" i="53"/>
  <c r="R33" i="53"/>
  <c r="E65" i="53"/>
  <c r="D65" i="53"/>
  <c r="F29" i="57"/>
  <c r="K24" i="53"/>
  <c r="J24" i="53"/>
  <c r="P31" i="53"/>
  <c r="E61" i="53"/>
  <c r="D61" i="53"/>
  <c r="P29" i="53"/>
  <c r="N26" i="53"/>
  <c r="F14" i="57"/>
  <c r="F25" i="57"/>
  <c r="R35" i="53"/>
  <c r="K36" i="53"/>
  <c r="G36" i="53"/>
  <c r="F36" i="53"/>
  <c r="K37" i="53"/>
  <c r="J37" i="53"/>
  <c r="N37" i="53"/>
  <c r="F32" i="53"/>
  <c r="G32" i="53"/>
  <c r="D68" i="53"/>
  <c r="H34" i="53"/>
  <c r="F16" i="57"/>
  <c r="F19" i="57"/>
  <c r="K33" i="53"/>
  <c r="J33" i="53"/>
  <c r="R24" i="53"/>
  <c r="D32" i="53"/>
  <c r="E32" i="53"/>
  <c r="F18" i="57"/>
  <c r="F34" i="57"/>
  <c r="L30" i="53"/>
  <c r="M30" i="53"/>
  <c r="K29" i="53"/>
  <c r="J29" i="53"/>
  <c r="I29" i="53"/>
  <c r="H29" i="53"/>
  <c r="L31" i="53"/>
  <c r="F12" i="57"/>
  <c r="I33" i="53"/>
  <c r="H33" i="53"/>
  <c r="H30" i="53"/>
  <c r="M34" i="53"/>
  <c r="L34" i="53"/>
  <c r="R26" i="53"/>
  <c r="E25" i="53"/>
  <c r="D25" i="53"/>
  <c r="F24" i="57"/>
  <c r="J26" i="53"/>
  <c r="K26" i="53"/>
  <c r="E72" i="53"/>
  <c r="D72" i="53"/>
  <c r="P37" i="53"/>
  <c r="K30" i="53"/>
  <c r="J30" i="53"/>
  <c r="G30" i="53"/>
  <c r="F30" i="53"/>
  <c r="P24" i="53"/>
  <c r="E23" i="53"/>
  <c r="E22" i="53" s="1"/>
  <c r="D23" i="53"/>
  <c r="D22" i="53" s="1"/>
  <c r="R30" i="53"/>
  <c r="N30" i="53"/>
  <c r="H32" i="53"/>
  <c r="F17" i="57"/>
  <c r="E74" i="53"/>
  <c r="D74" i="53"/>
  <c r="M25" i="53"/>
  <c r="L25" i="53"/>
  <c r="K32" i="53"/>
  <c r="J32" i="53"/>
  <c r="R29" i="53"/>
  <c r="G24" i="53"/>
  <c r="F24" i="53"/>
  <c r="F9" i="57"/>
  <c r="D28" i="53"/>
  <c r="E28" i="53"/>
  <c r="E33" i="53"/>
  <c r="D33" i="53"/>
  <c r="M28" i="53"/>
  <c r="L28" i="53"/>
  <c r="J36" i="53"/>
  <c r="R36" i="53"/>
  <c r="F40" i="57"/>
  <c r="L45" i="57"/>
  <c r="F45" i="57"/>
  <c r="U27" i="53"/>
  <c r="T27" i="53"/>
  <c r="H28" i="53"/>
  <c r="F15" i="57"/>
  <c r="J28" i="53"/>
  <c r="K28" i="53"/>
  <c r="R28" i="53"/>
  <c r="D62" i="53"/>
  <c r="E62" i="53"/>
  <c r="K34" i="53"/>
  <c r="J34" i="53"/>
  <c r="P32" i="53"/>
  <c r="T32" i="53"/>
  <c r="U32" i="53"/>
  <c r="F25" i="53"/>
  <c r="G25" i="53"/>
  <c r="G6" i="57"/>
  <c r="G8" i="57" s="1"/>
  <c r="G45" i="57" s="1"/>
  <c r="F6" i="57"/>
  <c r="D8" i="57"/>
  <c r="F8" i="57" s="1"/>
  <c r="N32" i="53"/>
  <c r="F37" i="53"/>
  <c r="G37" i="53"/>
  <c r="F20" i="57"/>
  <c r="N20" i="57" s="1"/>
  <c r="L20" i="57"/>
  <c r="R27" i="53"/>
  <c r="E69" i="53"/>
  <c r="D69" i="53"/>
  <c r="T36" i="53"/>
  <c r="U36" i="53"/>
  <c r="P30" i="53"/>
  <c r="I24" i="53"/>
  <c r="H24" i="53"/>
  <c r="N24" i="53"/>
  <c r="I35" i="53"/>
  <c r="H35" i="53"/>
  <c r="F10" i="57"/>
  <c r="U37" i="53"/>
  <c r="T37" i="53"/>
  <c r="I28" i="53"/>
  <c r="L33" i="53"/>
  <c r="M33" i="53"/>
  <c r="M37" i="53"/>
  <c r="L37" i="53"/>
  <c r="N33" i="53"/>
  <c r="J23" i="53"/>
  <c r="J22" i="53" s="1"/>
  <c r="K23" i="53"/>
  <c r="K22" i="53" s="1"/>
  <c r="F32" i="57"/>
  <c r="U35" i="53"/>
  <c r="P23" i="53"/>
  <c r="P22" i="53" s="1"/>
  <c r="D71" i="53"/>
  <c r="E71" i="53"/>
  <c r="L24" i="53"/>
  <c r="M24" i="53"/>
  <c r="D63" i="53"/>
  <c r="E63" i="53"/>
  <c r="I34" i="53"/>
  <c r="I37" i="53"/>
  <c r="H37" i="53"/>
  <c r="L23" i="53"/>
  <c r="L22" i="53" s="1"/>
  <c r="M23" i="53"/>
  <c r="M22" i="53" s="1"/>
  <c r="P25" i="53"/>
  <c r="P28" i="53"/>
  <c r="L14" i="57"/>
  <c r="F13" i="57"/>
  <c r="N23" i="53"/>
  <c r="N22" i="53" s="1"/>
  <c r="E68" i="53"/>
  <c r="P33" i="53"/>
  <c r="R32" i="53"/>
  <c r="F22" i="57"/>
  <c r="M31" i="53"/>
  <c r="I31" i="53"/>
  <c r="H31" i="53"/>
  <c r="U28" i="53"/>
  <c r="E24" i="53"/>
  <c r="D24" i="53"/>
  <c r="L27" i="53"/>
  <c r="M27" i="53"/>
  <c r="T29" i="53"/>
  <c r="U29" i="53"/>
  <c r="E73" i="53"/>
  <c r="U23" i="53"/>
  <c r="U22" i="53" s="1"/>
  <c r="T23" i="53"/>
  <c r="T22" i="53" s="1"/>
  <c r="H23" i="53"/>
  <c r="I23" i="53"/>
  <c r="F28" i="53"/>
  <c r="G28" i="53"/>
  <c r="D50" i="57"/>
  <c r="F23" i="57"/>
  <c r="E70" i="53"/>
  <c r="D70" i="53"/>
  <c r="U26" i="53"/>
  <c r="T26" i="53"/>
  <c r="I36" i="53"/>
  <c r="H36" i="53"/>
  <c r="F35" i="53"/>
  <c r="G35" i="53"/>
  <c r="P27" i="53"/>
  <c r="F27" i="57"/>
  <c r="R34" i="53"/>
  <c r="L35" i="53"/>
  <c r="M35" i="53"/>
  <c r="P34" i="53"/>
  <c r="I32" i="53"/>
  <c r="P35" i="53"/>
  <c r="I30" i="53"/>
  <c r="H26" i="53"/>
  <c r="I26" i="53"/>
  <c r="E66" i="53"/>
  <c r="F33" i="57"/>
  <c r="N29" i="53"/>
  <c r="D64" i="53"/>
  <c r="E64" i="53"/>
  <c r="M29" i="53"/>
  <c r="L29" i="53"/>
  <c r="F34" i="53"/>
  <c r="G34" i="53"/>
  <c r="F28" i="57"/>
  <c r="G31" i="53"/>
  <c r="F31" i="53"/>
  <c r="K27" i="53"/>
  <c r="J27" i="53"/>
  <c r="D73" i="53"/>
  <c r="T24" i="53"/>
  <c r="U24" i="53"/>
  <c r="U5" i="31"/>
  <c r="I4" i="31"/>
  <c r="I27" i="31" s="1"/>
  <c r="K13" i="31"/>
  <c r="U15" i="31"/>
  <c r="O9" i="31"/>
  <c r="J15" i="31"/>
  <c r="K11" i="31"/>
  <c r="P18" i="31"/>
  <c r="U19" i="31"/>
  <c r="O12" i="31"/>
  <c r="H4" i="31"/>
  <c r="H27" i="31" s="1"/>
  <c r="J19" i="31"/>
  <c r="G18" i="31"/>
  <c r="J18" i="31" s="1"/>
  <c r="N4" i="31"/>
  <c r="N27" i="31" s="1"/>
  <c r="K16" i="31"/>
  <c r="F19" i="31"/>
  <c r="K19" i="31" s="1"/>
  <c r="C18" i="31"/>
  <c r="F18" i="31" s="1"/>
  <c r="K18" i="31" s="1"/>
  <c r="U12" i="31"/>
  <c r="O5" i="31"/>
  <c r="F5" i="31"/>
  <c r="O19" i="31"/>
  <c r="L18" i="31"/>
  <c r="O18" i="31" s="1"/>
  <c r="R4" i="31"/>
  <c r="R27" i="31" s="1"/>
  <c r="K8" i="31"/>
  <c r="K6" i="31"/>
  <c r="J5" i="31"/>
  <c r="G4" i="31"/>
  <c r="F15" i="31"/>
  <c r="U9" i="31"/>
  <c r="F9" i="31"/>
  <c r="K9" i="31" s="1"/>
  <c r="O9" i="53"/>
  <c r="O7" i="53"/>
  <c r="O8" i="54"/>
  <c r="O12" i="54"/>
  <c r="S4" i="54"/>
  <c r="L21" i="55"/>
  <c r="Q13" i="53"/>
  <c r="Q11" i="53"/>
  <c r="Q12" i="55"/>
  <c r="L31" i="55"/>
  <c r="O43" i="55"/>
  <c r="Q39" i="55"/>
  <c r="L25" i="55"/>
  <c r="O10" i="55"/>
  <c r="M40" i="55"/>
  <c r="L30" i="55"/>
  <c r="M34" i="55"/>
  <c r="O40" i="55"/>
  <c r="Q14" i="53"/>
  <c r="M10" i="55"/>
  <c r="Q37" i="55"/>
  <c r="Q12" i="53"/>
  <c r="Q4" i="55"/>
  <c r="D36" i="57"/>
  <c r="M13" i="55"/>
  <c r="Q9" i="53"/>
  <c r="L44" i="55"/>
  <c r="O6" i="54"/>
  <c r="M17" i="55"/>
  <c r="Q15" i="55"/>
  <c r="S15" i="53"/>
  <c r="O45" i="55"/>
  <c r="O19" i="53"/>
  <c r="Q33" i="55"/>
  <c r="Q9" i="54"/>
  <c r="Q5" i="55"/>
  <c r="L8" i="55"/>
  <c r="O14" i="53"/>
  <c r="Q10" i="55"/>
  <c r="Q7" i="53"/>
  <c r="Q15" i="53"/>
  <c r="S14" i="53"/>
  <c r="O15" i="55"/>
  <c r="M18" i="55"/>
  <c r="Q4" i="53"/>
  <c r="O11" i="53"/>
  <c r="Q8" i="54"/>
  <c r="O13" i="55"/>
  <c r="M15" i="55"/>
  <c r="S13" i="53"/>
  <c r="M4" i="55"/>
  <c r="O11" i="54"/>
  <c r="M14" i="55"/>
  <c r="M38" i="55"/>
  <c r="L32" i="55"/>
  <c r="O38" i="55"/>
  <c r="L24" i="55"/>
  <c r="L9" i="55"/>
  <c r="Q43" i="55"/>
  <c r="S5" i="54"/>
  <c r="S8" i="54"/>
  <c r="S10" i="54"/>
  <c r="Q42" i="55"/>
  <c r="Q7" i="54"/>
  <c r="O9" i="54"/>
  <c r="O15" i="53"/>
  <c r="O41" i="55"/>
  <c r="M43" i="55"/>
  <c r="M36" i="55"/>
  <c r="O5" i="54"/>
  <c r="O33" i="55"/>
  <c r="Q13" i="55"/>
  <c r="L27" i="55"/>
  <c r="O18" i="53"/>
  <c r="O17" i="53"/>
  <c r="O10" i="53"/>
  <c r="O12" i="55"/>
  <c r="M33" i="55"/>
  <c r="S19" i="53"/>
  <c r="Q36" i="55"/>
  <c r="S4" i="53"/>
  <c r="O7" i="55"/>
  <c r="O7" i="54"/>
  <c r="Q34" i="55"/>
  <c r="M5" i="55"/>
  <c r="Q45" i="55"/>
  <c r="O35" i="55"/>
  <c r="Q6" i="54"/>
  <c r="Q38" i="55"/>
  <c r="Q14" i="55"/>
  <c r="O18" i="55"/>
  <c r="O34" i="55"/>
  <c r="Q5" i="54"/>
  <c r="L22" i="55"/>
  <c r="Q41" i="55"/>
  <c r="M7" i="55"/>
  <c r="O5" i="55"/>
  <c r="Q8" i="53"/>
  <c r="M41" i="55"/>
  <c r="S11" i="54"/>
  <c r="S10" i="53"/>
  <c r="M45" i="55"/>
  <c r="Q7" i="55"/>
  <c r="Q10" i="53"/>
  <c r="Q16" i="53"/>
  <c r="L23" i="55"/>
  <c r="O14" i="55"/>
  <c r="O13" i="53"/>
  <c r="S7" i="53"/>
  <c r="O42" i="55"/>
  <c r="O8" i="53"/>
  <c r="Q6" i="53"/>
  <c r="O12" i="53"/>
  <c r="S18" i="53"/>
  <c r="O4" i="54"/>
  <c r="O16" i="55"/>
  <c r="L28" i="55"/>
  <c r="L29" i="55"/>
  <c r="M37" i="55"/>
  <c r="S6" i="54"/>
  <c r="O10" i="54"/>
  <c r="Q17" i="53"/>
  <c r="L11" i="55"/>
  <c r="Q16" i="55"/>
  <c r="Q11" i="54"/>
  <c r="M39" i="55"/>
  <c r="L19" i="55"/>
  <c r="Q35" i="55"/>
  <c r="O39" i="55"/>
  <c r="O4" i="53"/>
  <c r="M42" i="55"/>
  <c r="S17" i="53"/>
  <c r="S8" i="53"/>
  <c r="Q19" i="53"/>
  <c r="Q4" i="54"/>
  <c r="M35" i="55"/>
  <c r="O4" i="55"/>
  <c r="Q40" i="55"/>
  <c r="Q12" i="54"/>
  <c r="O6" i="53"/>
  <c r="O5" i="53"/>
  <c r="S12" i="54"/>
  <c r="L6" i="55"/>
  <c r="M16" i="55"/>
  <c r="O16" i="53"/>
  <c r="S9" i="54"/>
  <c r="S7" i="54"/>
  <c r="O37" i="55"/>
  <c r="Q10" i="54"/>
  <c r="O36" i="55"/>
  <c r="L20" i="55"/>
  <c r="Q18" i="53"/>
  <c r="S5" i="53"/>
  <c r="S6" i="53"/>
  <c r="O17" i="55"/>
  <c r="S12" i="53"/>
  <c r="S11" i="53"/>
  <c r="Q17" i="55"/>
  <c r="M12" i="55"/>
  <c r="S9" i="53"/>
  <c r="Q5" i="53"/>
  <c r="L26" i="55"/>
  <c r="Q18" i="55"/>
  <c r="S16" i="53"/>
  <c r="L46" i="55"/>
  <c r="L4" i="31" l="1"/>
  <c r="K15" i="31"/>
  <c r="U18" i="31"/>
  <c r="K5" i="31"/>
  <c r="S34" i="53"/>
  <c r="Q23" i="53"/>
  <c r="Q22" i="53" s="1"/>
  <c r="S27" i="53"/>
  <c r="S29" i="53"/>
  <c r="S30" i="53"/>
  <c r="S24" i="53"/>
  <c r="S23" i="53"/>
  <c r="S22" i="53" s="1"/>
  <c r="Q36" i="53"/>
  <c r="O34" i="53"/>
  <c r="O23" i="53"/>
  <c r="O22" i="53" s="1"/>
  <c r="O24" i="53"/>
  <c r="Q37" i="53"/>
  <c r="S26" i="53"/>
  <c r="S35" i="53"/>
  <c r="Q35" i="53"/>
  <c r="S36" i="53"/>
  <c r="O30" i="53"/>
  <c r="Q24" i="53"/>
  <c r="O26" i="53"/>
  <c r="S25" i="53"/>
  <c r="O31" i="53"/>
  <c r="Q34" i="53"/>
  <c r="Q28" i="53"/>
  <c r="S28" i="53"/>
  <c r="Q26" i="53"/>
  <c r="S37" i="53"/>
  <c r="O28" i="53"/>
  <c r="O35" i="53"/>
  <c r="O36" i="53"/>
  <c r="O33" i="53"/>
  <c r="S31" i="53"/>
  <c r="O29" i="53"/>
  <c r="S32" i="53"/>
  <c r="Q33" i="53"/>
  <c r="Q25" i="53"/>
  <c r="O32" i="53"/>
  <c r="O37" i="53"/>
  <c r="S33" i="53"/>
  <c r="Q27" i="53"/>
  <c r="F36" i="57"/>
  <c r="D37" i="57"/>
  <c r="L38" i="57" s="1"/>
  <c r="Q30" i="53"/>
  <c r="Q32" i="53"/>
  <c r="Q29" i="53"/>
  <c r="Q31" i="53"/>
  <c r="O25" i="53"/>
  <c r="O27" i="53"/>
  <c r="I6" i="57"/>
  <c r="H8" i="57"/>
  <c r="O4" i="31"/>
  <c r="L27" i="31"/>
  <c r="I22" i="53"/>
  <c r="H22" i="53"/>
  <c r="E59" i="53"/>
  <c r="D59" i="53"/>
  <c r="J4" i="31"/>
  <c r="G27" i="31"/>
  <c r="P4" i="31"/>
  <c r="G43" i="57"/>
  <c r="G42" i="57"/>
  <c r="G22" i="53"/>
  <c r="C4" i="31"/>
  <c r="N45" i="57"/>
  <c r="F22" i="53"/>
  <c r="F37" i="57"/>
  <c r="N38" i="57" s="1"/>
  <c r="M38" i="57"/>
  <c r="N14" i="57"/>
  <c r="F50" i="57"/>
  <c r="M46" i="55"/>
  <c r="N11" i="55"/>
  <c r="M9" i="55"/>
  <c r="M44" i="55"/>
  <c r="N25" i="55"/>
  <c r="G19" i="57"/>
  <c r="G41" i="57"/>
  <c r="G24" i="57"/>
  <c r="G10" i="57"/>
  <c r="N46" i="55"/>
  <c r="N20" i="55"/>
  <c r="N19" i="55"/>
  <c r="M23" i="55"/>
  <c r="N44" i="55"/>
  <c r="N30" i="55"/>
  <c r="M31" i="55"/>
  <c r="N21" i="55"/>
  <c r="G38" i="57"/>
  <c r="G28" i="57"/>
  <c r="G15" i="57"/>
  <c r="M20" i="55"/>
  <c r="M6" i="55"/>
  <c r="M28" i="55"/>
  <c r="N23" i="55"/>
  <c r="N27" i="55"/>
  <c r="N9" i="55"/>
  <c r="M32" i="55"/>
  <c r="M30" i="55"/>
  <c r="N31" i="55"/>
  <c r="G34" i="57"/>
  <c r="G11" i="57"/>
  <c r="G12" i="57"/>
  <c r="G27" i="57"/>
  <c r="N6" i="55"/>
  <c r="M19" i="55"/>
  <c r="M29" i="55"/>
  <c r="M27" i="55"/>
  <c r="M8" i="55"/>
  <c r="G13" i="57"/>
  <c r="G18" i="57"/>
  <c r="G32" i="57"/>
  <c r="N29" i="55"/>
  <c r="N22" i="55"/>
  <c r="N24" i="55"/>
  <c r="N32" i="55"/>
  <c r="N8" i="55"/>
  <c r="G30" i="57"/>
  <c r="G26" i="57"/>
  <c r="G14" i="57"/>
  <c r="G35" i="57"/>
  <c r="M11" i="55"/>
  <c r="M22" i="55"/>
  <c r="M24" i="55"/>
  <c r="G39" i="57"/>
  <c r="G31" i="57"/>
  <c r="G22" i="57"/>
  <c r="G20" i="57"/>
  <c r="N26" i="55"/>
  <c r="G29" i="57"/>
  <c r="G40" i="57"/>
  <c r="G33" i="57"/>
  <c r="G17" i="57"/>
  <c r="M26" i="55"/>
  <c r="N28" i="55"/>
  <c r="M25" i="55"/>
  <c r="M21" i="55"/>
  <c r="G9" i="57"/>
  <c r="G16" i="57"/>
  <c r="G23" i="57"/>
  <c r="G25" i="57"/>
  <c r="O20" i="57" l="1"/>
  <c r="O14" i="57"/>
  <c r="O45" i="57"/>
  <c r="P27" i="31"/>
  <c r="U4" i="31"/>
  <c r="I8" i="57"/>
  <c r="H43" i="57"/>
  <c r="I43" i="57" s="1"/>
  <c r="H45" i="57"/>
  <c r="H42" i="57"/>
  <c r="I42" i="57" s="1"/>
  <c r="C27" i="31"/>
  <c r="F4" i="31"/>
  <c r="K4" i="31" s="1"/>
  <c r="O25" i="55"/>
  <c r="P26" i="55"/>
  <c r="O24" i="55"/>
  <c r="O27" i="55"/>
  <c r="O20" i="55"/>
  <c r="P20" i="55"/>
  <c r="P25" i="55"/>
  <c r="H39" i="57"/>
  <c r="H27" i="57"/>
  <c r="H24" i="57"/>
  <c r="H32" i="57"/>
  <c r="P28" i="55"/>
  <c r="O22" i="55"/>
  <c r="O29" i="55"/>
  <c r="O32" i="55"/>
  <c r="P21" i="55"/>
  <c r="P46" i="55"/>
  <c r="O44" i="55"/>
  <c r="H16" i="57"/>
  <c r="H22" i="57"/>
  <c r="H19" i="57"/>
  <c r="O26" i="55"/>
  <c r="O11" i="55"/>
  <c r="P8" i="55"/>
  <c r="O19" i="55"/>
  <c r="P9" i="55"/>
  <c r="O31" i="55"/>
  <c r="O9" i="55"/>
  <c r="H9" i="57"/>
  <c r="H41" i="57"/>
  <c r="H17" i="57"/>
  <c r="H33" i="57"/>
  <c r="P32" i="55"/>
  <c r="P27" i="55"/>
  <c r="H38" i="57"/>
  <c r="H25" i="57"/>
  <c r="H13" i="57"/>
  <c r="P24" i="55"/>
  <c r="G36" i="57"/>
  <c r="P6" i="55"/>
  <c r="P23" i="55"/>
  <c r="P30" i="55"/>
  <c r="P11" i="55"/>
  <c r="H31" i="57"/>
  <c r="H23" i="57"/>
  <c r="H30" i="57"/>
  <c r="H20" i="57"/>
  <c r="P22" i="55"/>
  <c r="O28" i="55"/>
  <c r="P44" i="55"/>
  <c r="H28" i="57"/>
  <c r="H11" i="57"/>
  <c r="H35" i="57"/>
  <c r="O21" i="55"/>
  <c r="P29" i="55"/>
  <c r="P31" i="55"/>
  <c r="O23" i="55"/>
  <c r="O46" i="55"/>
  <c r="H14" i="57"/>
  <c r="H40" i="57"/>
  <c r="H10" i="57"/>
  <c r="H34" i="57"/>
  <c r="O8" i="55"/>
  <c r="O30" i="55"/>
  <c r="O6" i="55"/>
  <c r="P19" i="55"/>
  <c r="H29" i="57"/>
  <c r="H15" i="57"/>
  <c r="H18" i="57"/>
  <c r="H12" i="57"/>
  <c r="H26" i="57"/>
  <c r="I26" i="57" l="1"/>
  <c r="I12" i="57"/>
  <c r="I18" i="57"/>
  <c r="I15" i="57"/>
  <c r="I29" i="57"/>
  <c r="I34" i="57"/>
  <c r="I10" i="57"/>
  <c r="I40" i="57"/>
  <c r="P14" i="57"/>
  <c r="I14" i="57"/>
  <c r="I35" i="57"/>
  <c r="I11" i="57"/>
  <c r="I28" i="57"/>
  <c r="P20" i="57"/>
  <c r="I20" i="57"/>
  <c r="I30" i="57"/>
  <c r="I23" i="57"/>
  <c r="I31" i="57"/>
  <c r="G37" i="57"/>
  <c r="O38" i="57" s="1"/>
  <c r="I13" i="57"/>
  <c r="I25" i="57"/>
  <c r="I38" i="57"/>
  <c r="I33" i="57"/>
  <c r="I17" i="57"/>
  <c r="I41" i="57"/>
  <c r="I9" i="57"/>
  <c r="I19" i="57"/>
  <c r="I22" i="57"/>
  <c r="I16" i="57"/>
  <c r="I32" i="57"/>
  <c r="I24" i="57"/>
  <c r="I27" i="57"/>
  <c r="I39" i="57"/>
  <c r="P45" i="57"/>
  <c r="I45" i="57"/>
  <c r="Q23" i="55"/>
  <c r="Q25" i="55"/>
  <c r="Q28" i="55"/>
  <c r="Q19" i="55"/>
  <c r="Q6" i="55"/>
  <c r="Q11" i="55"/>
  <c r="Q44" i="55"/>
  <c r="Q30" i="55"/>
  <c r="Q21" i="55"/>
  <c r="Q26" i="55"/>
  <c r="Q8" i="55"/>
  <c r="Q32" i="55"/>
  <c r="Q20" i="55"/>
  <c r="Q9" i="55"/>
  <c r="Q29" i="55"/>
  <c r="H36" i="57"/>
  <c r="Q27" i="55"/>
  <c r="Q46" i="55"/>
  <c r="Q31" i="55"/>
  <c r="Q22" i="55"/>
  <c r="Q24" i="55"/>
  <c r="Q45" i="57" l="1"/>
  <c r="I36" i="57"/>
  <c r="H37" i="57"/>
  <c r="Q14" i="57"/>
  <c r="Q20" i="57"/>
  <c r="I37" i="57" l="1"/>
  <c r="Q38" i="57" s="1"/>
  <c r="P38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Mélanie Dion:</t>
        </r>
        <r>
          <rPr>
            <sz val="9"/>
            <color indexed="81"/>
            <rFont val="Tahoma"/>
            <family val="2"/>
          </rPr>
          <t xml:space="preserve">
To be sent out quarterly, as a separate report, once quarter end actuals are ready).</t>
        </r>
      </text>
    </comment>
  </commentList>
</comments>
</file>

<file path=xl/sharedStrings.xml><?xml version="1.0" encoding="utf-8"?>
<sst xmlns="http://schemas.openxmlformats.org/spreadsheetml/2006/main" count="757" uniqueCount="188">
  <si>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</si>
  <si>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</si>
  <si>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</si>
  <si>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</si>
  <si>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</si>
  <si>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</si>
  <si>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</si>
  <si>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</si>
  <si>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</si>
  <si>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</si>
  <si>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</si>
  <si>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</si>
  <si>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</si>
  <si>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</si>
  <si>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</si>
  <si>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</si>
  <si>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</si>
  <si>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</si>
  <si>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</si>
  <si>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</si>
  <si>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</si>
  <si>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</si>
  <si>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</si>
  <si>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</si>
  <si>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</si>
  <si>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</si>
  <si>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</si>
  <si>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</si>
  <si>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</si>
  <si>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</si>
  <si>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</si>
  <si>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</si>
  <si>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</si>
  <si>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</si>
  <si>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</si>
  <si>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</si>
  <si>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</si>
  <si>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</si>
  <si>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</si>
  <si>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</si>
  <si>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</si>
  <si>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</si>
  <si>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</si>
  <si>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</si>
  <si>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</si>
  <si>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</si>
  <si>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</si>
  <si>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</si>
  <si>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</si>
  <si>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</si>
  <si>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</si>
  <si>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</si>
  <si>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</si>
  <si>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</si>
  <si>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</si>
  <si>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</si>
  <si>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</si>
  <si>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</si>
  <si>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</si>
  <si>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</si>
  <si>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</si>
  <si>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</si>
  <si>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</si>
  <si>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</si>
  <si>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</si>
  <si>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</si>
  <si>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02.2019</t>
  </si>
  <si>
    <t>04.2019</t>
  </si>
  <si>
    <t>03.2019</t>
  </si>
  <si>
    <t>01.2019</t>
  </si>
  <si>
    <t>2019</t>
  </si>
  <si>
    <t>Allocation %:</t>
  </si>
  <si>
    <t>Total 
2020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</si>
  <si>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</si>
  <si>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</si>
  <si>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</si>
  <si>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</si>
  <si>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</si>
  <si>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</si>
  <si>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</si>
  <si>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</si>
  <si>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</si>
  <si>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</si>
  <si>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</si>
  <si>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</si>
  <si>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</si>
  <si>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</si>
  <si>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</si>
  <si>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</si>
  <si>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</si>
  <si>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</si>
  <si>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</si>
  <si>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</si>
  <si>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</si>
  <si>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</si>
  <si>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</si>
  <si>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</si>
  <si>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</si>
  <si>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</si>
  <si>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</si>
  <si>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</si>
  <si>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</si>
  <si>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</si>
  <si>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</si>
  <si>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</si>
  <si>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</si>
  <si>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</si>
  <si>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All Terminals</t>
  </si>
  <si>
    <t xml:space="preserve">        NB_SJT</t>
  </si>
  <si>
    <t xml:space="preserve">        TB_TBT</t>
  </si>
  <si>
    <t xml:space="preserve">        VR_NTL</t>
  </si>
  <si>
    <t xml:space="preserve">        WC_PTL</t>
  </si>
  <si>
    <t>Shipments out</t>
  </si>
  <si>
    <t>Warehouse transfers</t>
  </si>
  <si>
    <t xml:space="preserve">Vancouver </t>
  </si>
  <si>
    <t>Portland</t>
  </si>
  <si>
    <t>Thunder Bay</t>
  </si>
  <si>
    <t>Overseas Warehouses</t>
  </si>
  <si>
    <t xml:space="preserve">        BG_ANT</t>
  </si>
  <si>
    <t xml:space="preserve">        CH_YAN</t>
  </si>
  <si>
    <t xml:space="preserve">        VI_CY</t>
  </si>
  <si>
    <t xml:space="preserve">        VI_WHS</t>
  </si>
  <si>
    <t xml:space="preserve">        VR_CY</t>
  </si>
  <si>
    <t>05.2019</t>
  </si>
  <si>
    <t>06.2019</t>
  </si>
  <si>
    <t>07.2019</t>
  </si>
  <si>
    <t>08.2019</t>
  </si>
  <si>
    <t>09.2019</t>
  </si>
  <si>
    <t>10.2019</t>
  </si>
  <si>
    <t>11.2019</t>
  </si>
  <si>
    <t>12.2019</t>
  </si>
  <si>
    <t>S3 Shipments</t>
  </si>
  <si>
    <t>Forecast</t>
  </si>
  <si>
    <t>Rail Billings ('000 mt)</t>
  </si>
  <si>
    <t>Shipments ('000 mt)</t>
  </si>
  <si>
    <t>Total Sales ('000 mt)</t>
  </si>
  <si>
    <t>Sales ('000 mt):</t>
  </si>
  <si>
    <t>Shipments to Customers, by Load Port</t>
  </si>
  <si>
    <t>2020 Forecasted Rail Billings (MT)</t>
  </si>
  <si>
    <t>2021 Forecasted Rail Billings (MT)</t>
  </si>
  <si>
    <t>Two Year Rail Billings Forecast, by Grade - Nutrien</t>
  </si>
  <si>
    <t>Q1 
2019</t>
  </si>
  <si>
    <t>Q2 
2019</t>
  </si>
  <si>
    <t>H1 
2019</t>
  </si>
  <si>
    <t>Q3
2019</t>
  </si>
  <si>
    <t>Q4
2019</t>
  </si>
  <si>
    <t>H2
2019</t>
  </si>
  <si>
    <t>Saint John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</si>
  <si>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</si>
  <si>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</si>
  <si>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</si>
  <si>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</si>
  <si>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</si>
  <si>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</si>
  <si>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</si>
  <si>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</si>
  <si>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</si>
  <si>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YTD
Q3 2019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</si>
  <si>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</si>
  <si>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</si>
  <si>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</si>
  <si>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</si>
  <si>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</si>
  <si>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</si>
  <si>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</si>
  <si>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</si>
  <si>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</si>
  <si>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</si>
  <si>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</si>
  <si>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</si>
  <si>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</si>
  <si>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</si>
  <si>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</si>
  <si>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Actual</t>
  </si>
  <si>
    <t>May-20 YTD
 Actual</t>
  </si>
  <si>
    <t>Jun-20
 Forecast</t>
  </si>
  <si>
    <t>Jul-20
 Forecast</t>
  </si>
  <si>
    <t>Aug-20
 Forecast</t>
  </si>
  <si>
    <t>Sep-20
 Forecast</t>
  </si>
  <si>
    <t>Qtr 1 2020 
Actual</t>
  </si>
  <si>
    <t>Qtr 2 2020 
Forecast</t>
  </si>
  <si>
    <t>Qtr 3 2020 
Forecast</t>
  </si>
  <si>
    <t>Qtr 4 2020 
Forecast</t>
  </si>
  <si>
    <t>2020 
Forecast</t>
  </si>
  <si>
    <t>Jun-20 
Forecast</t>
  </si>
  <si>
    <t>Jul-20 
Forecast</t>
  </si>
  <si>
    <t>Aug-20 
Forecast</t>
  </si>
  <si>
    <t>Sep-20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</si>
</sst>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b/>
      <sz val="10"/>
      <name val="Tahoma"/>
      <family val="2"/>
    </font>
    <font>
      <b/>
      <i/>
      <sz val="10"/>
      <color theme="0"/>
      <name val="Tahoma"/>
      <family val="2"/>
    </font>
    <font>
      <b/>
      <i/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gray125">
        <fgColor theme="7" tint="0.59996337778862885"/>
        <bgColor auto="1"/>
      </patternFill>
    </fill>
    <fill>
      <patternFill patternType="gray125">
        <fgColor theme="7" tint="0.59996337778862885"/>
        <bgColor rgb="FFFFFF00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lightTrellis">
        <fgColor theme="0" tint="-0.14996795556505021"/>
        <bgColor auto="1"/>
      </patternFill>
    </fill>
    <fill>
      <patternFill patternType="lightTrellis">
        <fgColor theme="0" tint="-0.14996795556505021"/>
        <bgColor theme="0" tint="-0.34998626667073579"/>
      </patternFill>
    </fill>
    <fill>
      <patternFill patternType="lightTrellis">
        <fgColor theme="0" tint="-0.14996795556505021"/>
        <bgColor theme="0" tint="-4.9989318521683403E-2"/>
      </patternFill>
    </fill>
    <fill>
      <patternFill patternType="lightTrellis">
        <fgColor theme="4" tint="0.39994506668294322"/>
        <bgColor rgb="FF2D7F66"/>
      </patternFill>
    </fill>
    <fill>
      <patternFill patternType="lightTrellis">
        <fgColor theme="1" tint="0.34998626667073579"/>
        <bgColor theme="1"/>
      </patternFill>
    </fill>
    <fill>
      <patternFill patternType="lightGray">
        <fgColor theme="0" tint="-0.34998626667073579"/>
        <bgColor rgb="FF2D7F66"/>
      </patternFill>
    </fill>
    <fill>
      <patternFill patternType="lightGray">
        <fgColor theme="0" tint="-0.34998626667073579"/>
        <bgColor auto="1"/>
      </patternFill>
    </fill>
    <fill>
      <patternFill patternType="lightGray">
        <fgColor theme="0" tint="-0.34998626667073579"/>
        <bgColor theme="1"/>
      </patternFill>
    </fill>
    <fill>
      <patternFill patternType="lightGray">
        <fgColor theme="0" tint="-0.34998626667073579"/>
        <bgColor theme="0" tint="-0.34998626667073579"/>
      </patternFill>
    </fill>
    <fill>
      <patternFill patternType="lightGray">
        <fgColor theme="0" tint="-0.34998626667073579"/>
        <bgColor theme="0" tint="-4.9989318521683403E-2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47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/>
      <top/>
      <bottom style="medium">
        <color rgb="FF1C5E3A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0" fontId="14" fillId="7" borderId="0" xfId="13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0" fontId="2" fillId="12" borderId="4" xfId="13" applyFont="1" applyFill="1" applyBorder="1" applyAlignment="1">
      <alignment horizontal="left"/>
    </xf>
    <xf numFmtId="0" fontId="0" fillId="17" borderId="0" xfId="0" applyFill="1"/>
    <xf numFmtId="0" fontId="2" fillId="17" borderId="4" xfId="13" applyFont="1" applyFill="1" applyBorder="1" applyAlignment="1">
      <alignment horizontal="left"/>
    </xf>
    <xf numFmtId="171" fontId="12" fillId="17" borderId="4" xfId="23" applyNumberFormat="1" applyFont="1" applyFill="1" applyBorder="1"/>
    <xf numFmtId="0" fontId="0" fillId="17" borderId="0" xfId="0" applyFont="1" applyFill="1"/>
    <xf numFmtId="0" fontId="0" fillId="0" borderId="30" xfId="0" applyBorder="1"/>
    <xf numFmtId="171" fontId="3" fillId="17" borderId="4" xfId="23" quotePrefix="1" applyNumberFormat="1" applyFont="1" applyFill="1" applyBorder="1"/>
    <xf numFmtId="43" fontId="31" fillId="0" borderId="0" xfId="23" applyFont="1" applyAlignment="1">
      <alignment horizontal="center"/>
    </xf>
    <xf numFmtId="171" fontId="12" fillId="18" borderId="4" xfId="23" applyNumberFormat="1" applyFont="1" applyFill="1" applyBorder="1"/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171" fontId="3" fillId="17" borderId="24" xfId="23" quotePrefix="1" applyNumberFormat="1" applyFont="1" applyFill="1" applyBorder="1"/>
    <xf numFmtId="171" fontId="12" fillId="12" borderId="24" xfId="23" applyNumberFormat="1" applyFont="1" applyFill="1" applyBorder="1"/>
    <xf numFmtId="0" fontId="20" fillId="19" borderId="0" xfId="0" applyFont="1" applyFill="1" applyBorder="1" applyAlignment="1">
      <alignment horizontal="center" wrapText="1"/>
    </xf>
    <xf numFmtId="0" fontId="9" fillId="19" borderId="0" xfId="0" applyFont="1" applyFill="1" applyBorder="1" applyAlignment="1">
      <alignment horizontal="left" vertical="center" wrapText="1" indent="1"/>
    </xf>
    <xf numFmtId="0" fontId="11" fillId="19" borderId="0" xfId="11" applyFont="1" applyFill="1" applyAlignment="1">
      <alignment horizontal="left"/>
    </xf>
    <xf numFmtId="174" fontId="9" fillId="19" borderId="16" xfId="24" applyNumberFormat="1" applyFont="1" applyFill="1" applyBorder="1" applyAlignment="1">
      <alignment vertical="center" wrapText="1"/>
    </xf>
    <xf numFmtId="174" fontId="9" fillId="19" borderId="0" xfId="24" applyNumberFormat="1" applyFont="1" applyFill="1" applyBorder="1" applyAlignment="1">
      <alignment vertical="center" wrapText="1"/>
    </xf>
    <xf numFmtId="44" fontId="9" fillId="19" borderId="0" xfId="24" applyFont="1" applyFill="1" applyBorder="1" applyAlignment="1">
      <alignment vertical="center" wrapText="1"/>
    </xf>
    <xf numFmtId="0" fontId="20" fillId="19" borderId="0" xfId="0" applyFont="1" applyFill="1" applyBorder="1" applyAlignment="1">
      <alignment wrapText="1"/>
    </xf>
    <xf numFmtId="0" fontId="20" fillId="19" borderId="0" xfId="0" applyFont="1" applyFill="1" applyBorder="1"/>
    <xf numFmtId="0" fontId="22" fillId="19" borderId="0" xfId="0" applyFont="1" applyFill="1" applyBorder="1" applyAlignment="1">
      <alignment horizontal="center"/>
    </xf>
    <xf numFmtId="0" fontId="23" fillId="19" borderId="0" xfId="0" applyFont="1" applyFill="1" applyBorder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/>
    <xf numFmtId="0" fontId="23" fillId="19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172" fontId="22" fillId="19" borderId="0" xfId="0" applyNumberFormat="1" applyFont="1" applyFill="1" applyAlignment="1">
      <alignment horizontal="center"/>
    </xf>
    <xf numFmtId="0" fontId="22" fillId="20" borderId="0" xfId="0" applyFont="1" applyFill="1" applyAlignment="1">
      <alignment wrapText="1"/>
    </xf>
    <xf numFmtId="172" fontId="9" fillId="19" borderId="0" xfId="0" applyNumberFormat="1" applyFont="1" applyFill="1" applyAlignment="1">
      <alignment horizontal="center"/>
    </xf>
    <xf numFmtId="0" fontId="20" fillId="19" borderId="0" xfId="0" applyFont="1" applyFill="1" applyBorder="1" applyAlignment="1">
      <alignment horizontal="left" wrapText="1"/>
    </xf>
    <xf numFmtId="0" fontId="20" fillId="19" borderId="0" xfId="0" applyFont="1" applyFill="1" applyBorder="1" applyAlignment="1">
      <alignment horizontal="left"/>
    </xf>
    <xf numFmtId="44" fontId="9" fillId="19" borderId="16" xfId="24" applyNumberFormat="1" applyFont="1" applyFill="1" applyBorder="1" applyAlignment="1">
      <alignment vertical="center" wrapText="1"/>
    </xf>
    <xf numFmtId="0" fontId="2" fillId="17" borderId="32" xfId="13" applyFont="1" applyFill="1" applyBorder="1" applyAlignment="1">
      <alignment horizontal="left"/>
    </xf>
    <xf numFmtId="171" fontId="12" fillId="17" borderId="32" xfId="23" applyNumberFormat="1" applyFont="1" applyFill="1" applyBorder="1"/>
    <xf numFmtId="0" fontId="20" fillId="19" borderId="33" xfId="0" applyFont="1" applyFill="1" applyBorder="1"/>
    <xf numFmtId="0" fontId="20" fillId="19" borderId="34" xfId="0" applyFont="1" applyFill="1" applyBorder="1"/>
    <xf numFmtId="172" fontId="22" fillId="19" borderId="34" xfId="0" applyNumberFormat="1" applyFont="1" applyFill="1" applyBorder="1" applyAlignment="1">
      <alignment horizontal="center"/>
    </xf>
    <xf numFmtId="0" fontId="10" fillId="17" borderId="35" xfId="13" applyFont="1" applyFill="1" applyBorder="1" applyAlignment="1">
      <alignment horizontal="left" indent="1"/>
    </xf>
    <xf numFmtId="0" fontId="14" fillId="7" borderId="36" xfId="13" applyFont="1" applyFill="1" applyBorder="1" applyAlignment="1">
      <alignment horizontal="left"/>
    </xf>
    <xf numFmtId="0" fontId="10" fillId="8" borderId="36" xfId="13" applyFont="1" applyFill="1" applyBorder="1" applyAlignment="1">
      <alignment horizontal="left" indent="1"/>
    </xf>
    <xf numFmtId="0" fontId="10" fillId="12" borderId="35" xfId="13" applyFont="1" applyFill="1" applyBorder="1" applyAlignment="1">
      <alignment horizontal="left" indent="2"/>
    </xf>
    <xf numFmtId="0" fontId="10" fillId="17" borderId="35" xfId="13" applyFont="1" applyFill="1" applyBorder="1" applyAlignment="1">
      <alignment horizontal="left" indent="2"/>
    </xf>
    <xf numFmtId="0" fontId="10" fillId="12" borderId="37" xfId="13" applyFont="1" applyFill="1" applyBorder="1" applyAlignment="1">
      <alignment horizontal="left" indent="2"/>
    </xf>
    <xf numFmtId="0" fontId="10" fillId="12" borderId="38" xfId="13" applyFont="1" applyFill="1" applyBorder="1" applyAlignment="1">
      <alignment horizontal="left"/>
    </xf>
    <xf numFmtId="171" fontId="12" fillId="12" borderId="38" xfId="23" applyNumberFormat="1" applyFont="1" applyFill="1" applyBorder="1"/>
    <xf numFmtId="171" fontId="12" fillId="12" borderId="39" xfId="23" applyNumberFormat="1" applyFont="1" applyFill="1" applyBorder="1"/>
    <xf numFmtId="172" fontId="22" fillId="19" borderId="34" xfId="0" applyNumberFormat="1" applyFont="1" applyFill="1" applyBorder="1" applyAlignment="1">
      <alignment horizontal="center" wrapText="1"/>
    </xf>
    <xf numFmtId="171" fontId="3" fillId="17" borderId="0" xfId="23" quotePrefix="1" applyNumberFormat="1" applyFont="1" applyFill="1" applyBorder="1"/>
    <xf numFmtId="171" fontId="12" fillId="12" borderId="40" xfId="23" applyNumberFormat="1" applyFont="1" applyFill="1" applyBorder="1"/>
    <xf numFmtId="171" fontId="12" fillId="17" borderId="40" xfId="23" applyNumberFormat="1" applyFont="1" applyFill="1" applyBorder="1"/>
    <xf numFmtId="171" fontId="12" fillId="12" borderId="41" xfId="23" applyNumberFormat="1" applyFont="1" applyFill="1" applyBorder="1"/>
    <xf numFmtId="171" fontId="3" fillId="17" borderId="31" xfId="23" quotePrefix="1" applyNumberFormat="1" applyFont="1" applyFill="1" applyBorder="1"/>
    <xf numFmtId="171" fontId="12" fillId="12" borderId="31" xfId="23" applyNumberFormat="1" applyFont="1" applyFill="1" applyBorder="1"/>
    <xf numFmtId="171" fontId="12" fillId="17" borderId="31" xfId="23" applyNumberFormat="1" applyFont="1" applyFill="1" applyBorder="1"/>
    <xf numFmtId="171" fontId="12" fillId="12" borderId="42" xfId="23" applyNumberFormat="1" applyFont="1" applyFill="1" applyBorder="1"/>
    <xf numFmtId="171" fontId="3" fillId="22" borderId="4" xfId="23" quotePrefix="1" applyNumberFormat="1" applyFont="1" applyFill="1" applyBorder="1"/>
    <xf numFmtId="171" fontId="12" fillId="23" borderId="0" xfId="23" applyNumberFormat="1" applyFont="1" applyFill="1" applyBorder="1"/>
    <xf numFmtId="171" fontId="12" fillId="24" borderId="4" xfId="23" applyNumberFormat="1" applyFont="1" applyFill="1" applyBorder="1"/>
    <xf numFmtId="171" fontId="12" fillId="22" borderId="4" xfId="23" applyNumberFormat="1" applyFont="1" applyFill="1" applyBorder="1"/>
    <xf numFmtId="171" fontId="12" fillId="24" borderId="38" xfId="23" applyNumberFormat="1" applyFont="1" applyFill="1" applyBorder="1"/>
    <xf numFmtId="172" fontId="22" fillId="25" borderId="34" xfId="0" applyNumberFormat="1" applyFont="1" applyFill="1" applyBorder="1" applyAlignment="1">
      <alignment horizontal="center" wrapText="1"/>
    </xf>
    <xf numFmtId="171" fontId="15" fillId="26" borderId="0" xfId="23" applyNumberFormat="1" applyFont="1" applyFill="1" applyBorder="1"/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6" xfId="0" applyFill="1" applyBorder="1"/>
    <xf numFmtId="0" fontId="0" fillId="0" borderId="0" xfId="0" applyFill="1" applyBorder="1"/>
    <xf numFmtId="0" fontId="0" fillId="0" borderId="44" xfId="0" applyFill="1" applyBorder="1"/>
    <xf numFmtId="164" fontId="0" fillId="0" borderId="36" xfId="0" applyNumberFormat="1" applyFill="1" applyBorder="1"/>
    <xf numFmtId="164" fontId="0" fillId="0" borderId="0" xfId="0" applyNumberFormat="1" applyFill="1" applyBorder="1"/>
    <xf numFmtId="164" fontId="0" fillId="0" borderId="44" xfId="0" applyNumberFormat="1" applyFill="1" applyBorder="1"/>
    <xf numFmtId="171" fontId="0" fillId="0" borderId="36" xfId="0" applyNumberFormat="1" applyFill="1" applyBorder="1"/>
    <xf numFmtId="171" fontId="0" fillId="0" borderId="0" xfId="0" applyNumberFormat="1" applyFill="1" applyBorder="1"/>
    <xf numFmtId="171" fontId="0" fillId="0" borderId="44" xfId="0" applyNumberFormat="1" applyFill="1" applyBorder="1"/>
    <xf numFmtId="0" fontId="0" fillId="0" borderId="45" xfId="0" applyBorder="1"/>
    <xf numFmtId="0" fontId="0" fillId="0" borderId="14" xfId="0" applyBorder="1"/>
    <xf numFmtId="0" fontId="0" fillId="0" borderId="46" xfId="0" applyBorder="1"/>
    <xf numFmtId="1" fontId="0" fillId="0" borderId="36" xfId="0" applyNumberFormat="1" applyBorder="1"/>
    <xf numFmtId="1" fontId="0" fillId="0" borderId="0" xfId="0" applyNumberFormat="1" applyBorder="1"/>
    <xf numFmtId="1" fontId="0" fillId="0" borderId="44" xfId="0" applyNumberFormat="1" applyBorder="1"/>
    <xf numFmtId="43" fontId="0" fillId="0" borderId="44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171" fontId="12" fillId="0" borderId="4" xfId="23" applyNumberFormat="1" applyFont="1" applyFill="1" applyBorder="1"/>
    <xf numFmtId="172" fontId="22" fillId="27" borderId="34" xfId="0" applyNumberFormat="1" applyFont="1" applyFill="1" applyBorder="1" applyAlignment="1">
      <alignment horizontal="center" wrapText="1"/>
    </xf>
    <xf numFmtId="171" fontId="35" fillId="28" borderId="43" xfId="23" quotePrefix="1" applyNumberFormat="1" applyFont="1" applyFill="1" applyBorder="1"/>
    <xf numFmtId="171" fontId="36" fillId="29" borderId="0" xfId="23" applyNumberFormat="1" applyFont="1" applyFill="1" applyBorder="1"/>
    <xf numFmtId="171" fontId="37" fillId="30" borderId="0" xfId="23" applyNumberFormat="1" applyFont="1" applyFill="1" applyBorder="1"/>
    <xf numFmtId="171" fontId="37" fillId="31" borderId="4" xfId="23" applyNumberFormat="1" applyFont="1" applyFill="1" applyBorder="1"/>
    <xf numFmtId="171" fontId="37" fillId="28" borderId="4" xfId="23" applyNumberFormat="1" applyFont="1" applyFill="1" applyBorder="1"/>
    <xf numFmtId="171" fontId="37" fillId="31" borderId="31" xfId="23" applyNumberFormat="1" applyFont="1" applyFill="1" applyBorder="1"/>
    <xf numFmtId="171" fontId="37" fillId="31" borderId="38" xfId="23" applyNumberFormat="1" applyFont="1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9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32" borderId="0" xfId="0" applyNumberFormat="1" applyFont="1" applyFill="1" applyAlignment="1">
      <alignment horizontal="center"/>
    </xf>
    <xf numFmtId="172" fontId="22" fillId="32" borderId="0" xfId="0" applyNumberFormat="1" applyFont="1" applyFill="1" applyAlignment="1">
      <alignment horizontal="center"/>
    </xf>
    <xf numFmtId="171" fontId="15" fillId="33" borderId="0" xfId="23" applyNumberFormat="1" applyFont="1" applyFill="1" applyBorder="1"/>
    <xf numFmtId="171" fontId="12" fillId="34" borderId="0" xfId="23" applyNumberFormat="1" applyFont="1" applyFill="1" applyBorder="1"/>
    <xf numFmtId="171" fontId="12" fillId="35" borderId="4" xfId="23" applyNumberFormat="1" applyFont="1" applyFill="1" applyBorder="1"/>
    <xf numFmtId="0" fontId="34" fillId="0" borderId="0" xfId="0" applyFont="1" applyFill="1" applyBorder="1" applyAlignment="1">
      <alignment horizontal="left"/>
    </xf>
    <xf numFmtId="0" fontId="17" fillId="0" borderId="36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44" xfId="0" applyFont="1" applyBorder="1" applyAlignment="1">
      <alignment horizontal="center" wrapText="1"/>
    </xf>
    <xf numFmtId="0" fontId="22" fillId="19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34" fillId="0" borderId="0" xfId="0" applyFont="1" applyFill="1" applyBorder="1" applyAlignment="1"/>
    <xf numFmtId="0" fontId="22" fillId="19" borderId="0" xfId="0" applyFont="1" applyFill="1" applyAlignment="1">
      <alignment horizontal="center" wrapText="1"/>
    </xf>
    <xf numFmtId="172" fontId="22" fillId="21" borderId="0" xfId="0" applyNumberFormat="1" applyFont="1" applyFill="1" applyAlignment="1">
      <alignment horizontal="center" wrapText="1"/>
    </xf>
    <xf numFmtId="0" fontId="22" fillId="20" borderId="0" xfId="0" applyFont="1" applyFill="1" applyAlignment="1">
      <alignment horizontal="center" wrapText="1"/>
    </xf>
    <xf numFmtId="0" fontId="2" fillId="7" borderId="0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" fillId="12" borderId="9" xfId="12" applyFill="1" applyBorder="1" applyAlignment="1">
      <alignment horizontal="left"/>
    </xf>
    <xf numFmtId="0" fontId="2" fillId="12" borderId="11" xfId="12" applyFill="1" applyBorder="1" applyAlignment="1">
      <alignment horizontal="left"/>
    </xf>
    <xf numFmtId="0" fontId="2" fillId="8" borderId="12" xfId="12" applyFill="1" applyBorder="1" applyAlignment="1">
      <alignment horizontal="left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2D7F66"/>
      <color rgb="FF1C5E3A"/>
      <color rgb="FF1D5D32"/>
      <color rgb="FF2A8649"/>
      <color rgb="FF1D593C"/>
      <color rgb="FF007E00"/>
      <color rgb="FF005C00"/>
      <color rgb="FF0066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60</xdr:row>
      <xdr:rowOff>95250</xdr:rowOff>
    </xdr:from>
    <xdr:to>
      <xdr:col>2</xdr:col>
      <xdr:colOff>141191</xdr:colOff>
      <xdr:row>62</xdr:row>
      <xdr:rowOff>104140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0254B6-C5DB-4F3A-8406-68C31A4A3C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" y="10429875"/>
          <a:ext cx="1783080" cy="389890"/>
        </a:xfrm>
        <a:prstGeom prst="rect">
          <a:avLst/>
        </a:prstGeom>
      </xdr:spPr>
    </xdr:pic>
    <xdr:clientData/>
  </xdr:twoCellAnchor>
  <xdr:twoCellAnchor editAs="oneCell">
    <xdr:from>
      <xdr:col>14</xdr:col>
      <xdr:colOff>124245</xdr:colOff>
      <xdr:row>60</xdr:row>
      <xdr:rowOff>158750</xdr:rowOff>
    </xdr:from>
    <xdr:to>
      <xdr:col>20</xdr:col>
      <xdr:colOff>940745</xdr:colOff>
      <xdr:row>62</xdr:row>
      <xdr:rowOff>36830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7FF9A0-B43E-4E71-ABE9-094A38B077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1120" y="8969375"/>
          <a:ext cx="1657875" cy="259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baseColWidth="10" defaultColWidth="9.1640625" defaultRowHeight="15" outlineLevelRow="1" outlineLevelCol="1" x14ac:dyDescent="0.2"/>
  <cols>
    <col min="1" max="1" width="34.83203125" style="206" customWidth="1"/>
    <col min="2" max="3" width="17.6640625" style="206" hidden="1" customWidth="1" outlineLevel="1"/>
    <col min="4" max="4" width="18.1640625" style="206" customWidth="1" collapsed="1"/>
    <col min="5" max="9" width="18.1640625" style="206" customWidth="1"/>
    <col min="10" max="10" width="63" style="206" hidden="1" customWidth="1"/>
    <col min="11" max="11" width="9.1640625" style="206"/>
    <col min="12" max="12" width="8.6640625" style="206" customWidth="1"/>
    <col min="13" max="13" width="11.33203125" style="206" bestFit="1" customWidth="1"/>
    <col min="14" max="14" width="10.5" style="206" bestFit="1" customWidth="1"/>
    <col min="15" max="17" width="8.6640625" style="206" customWidth="1"/>
    <col min="18" max="16384" width="9.1640625" style="206"/>
  </cols>
  <sheetData>
    <row r="1" spans="1:17" ht="27" x14ac:dyDescent="0.45">
      <c r="A1" s="217" t="s">
        <v>172</v>
      </c>
      <c r="B1" s="217"/>
      <c r="C1" s="217"/>
      <c r="D1" s="217"/>
      <c r="E1" s="217"/>
      <c r="F1" s="217"/>
      <c r="G1" s="217"/>
      <c r="H1" s="217"/>
      <c r="I1" s="217"/>
      <c r="J1" s="217"/>
      <c r="M1" s="206" t="s">
        <v>171</v>
      </c>
    </row>
    <row r="2" spans="1:17" s="8" customFormat="1" ht="37.5" customHeight="1" x14ac:dyDescent="0.35">
      <c r="A2" s="111"/>
      <c r="B2" s="111"/>
      <c r="C2" s="111"/>
      <c r="D2" s="208" t="s">
        <v>160</v>
      </c>
      <c r="E2" s="208" t="s">
        <v>161</v>
      </c>
      <c r="F2" s="208" t="s">
        <v>74</v>
      </c>
      <c r="G2" s="208" t="s">
        <v>160</v>
      </c>
      <c r="H2" s="208" t="s">
        <v>161</v>
      </c>
      <c r="I2" s="208" t="s">
        <v>74</v>
      </c>
      <c r="J2" s="27" t="s">
        <v>75</v>
      </c>
    </row>
    <row r="3" spans="1:17" s="210" customFormat="1" ht="22.5" hidden="1" customHeight="1" x14ac:dyDescent="0.2">
      <c r="A3" s="31" t="s">
        <v>133</v>
      </c>
      <c r="B3" s="31"/>
      <c r="C3" s="31"/>
      <c r="D3" s="107">
        <f ca="1">SUM('Rail Billings - Nutrien'!B5,'Rail Billings - Nutrien'!C5,'Rail Billings - Nutrien'!D5,#REF!,#REF!,#REF!)/1000</f>
        <v>2803.4171720000004</v>
      </c>
      <c r="E3" s="100">
        <f ca="1">(_xll.DBGET(#REF!,#REF!,#REF!,#REF!,#REF!,#REF!,#REF!,$M$1,#REF!,#REF!,#REF!))/1000</f>
        <v>0</v>
      </c>
      <c r="F3" s="100">
        <f ca="1">D3-E3</f>
        <v>2803.4171720000004</v>
      </c>
      <c r="G3" s="108">
        <f ca="1">D3</f>
        <v>2803.4171720000004</v>
      </c>
      <c r="H3" s="100">
        <f ca="1">E3</f>
        <v>0</v>
      </c>
      <c r="I3" s="100">
        <f ca="1">G3-H3</f>
        <v>2803.4171720000004</v>
      </c>
      <c r="J3" s="30"/>
    </row>
    <row r="4" spans="1:17" s="210" customFormat="1" ht="22.5" customHeight="1" x14ac:dyDescent="0.2">
      <c r="A4" s="31" t="s">
        <v>134</v>
      </c>
      <c r="B4" s="31"/>
      <c r="C4" s="31"/>
      <c r="D4" s="107">
        <f ca="1">IF(#REF!="Yes",#REF!,(_xll.DBGET(#REF!,#REF!,#REF!,#REF!,#REF!,#REF!,#REF!,$M$1,#REF!,#REF!,#REF!)-_xll.DBGET(#REF!,#REF!,#REF!,#REF!,#REF!,#REF!,#REF!,$M$1,#REF!,#REF!,#REF!))/1000)</f>
        <v>421.74200000000002</v>
      </c>
      <c r="E4" s="100">
        <f ca="1">(_xll.DBGET(#REF!,#REF!,#REF!,#REF!,#REF!,#REF!,#REF!,$M$1,#REF!,#REF!,#REF!))/1000</f>
        <v>796</v>
      </c>
      <c r="F4" s="100">
        <f ca="1">D4-E4</f>
        <v>-374.25799999999998</v>
      </c>
      <c r="G4" s="108">
        <f ca="1">D4</f>
        <v>421.74200000000002</v>
      </c>
      <c r="H4" s="100">
        <f ca="1">E4</f>
        <v>796</v>
      </c>
      <c r="I4" s="100">
        <f ca="1">G4-H4</f>
        <v>-374.25799999999998</v>
      </c>
      <c r="J4" s="30"/>
    </row>
    <row r="5" spans="1:17" s="210" customFormat="1" ht="22.5" customHeight="1" x14ac:dyDescent="0.2">
      <c r="A5" s="31" t="s">
        <v>136</v>
      </c>
      <c r="B5" s="31"/>
      <c r="C5" s="31"/>
      <c r="D5" s="96"/>
      <c r="E5" s="97"/>
      <c r="F5" s="102"/>
      <c r="G5" s="101"/>
      <c r="H5" s="97"/>
      <c r="I5" s="102"/>
      <c r="J5" s="30"/>
      <c r="L5" s="177"/>
      <c r="M5" s="177"/>
      <c r="N5" s="177"/>
      <c r="O5" s="177"/>
      <c r="P5" s="177"/>
      <c r="Q5" s="177"/>
    </row>
    <row r="6" spans="1:17" s="210" customFormat="1" x14ac:dyDescent="0.2">
      <c r="A6" s="32" t="s">
        <v>166</v>
      </c>
      <c r="B6" s="32"/>
      <c r="C6" s="32"/>
      <c r="D6" s="103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669.20899999999995</v>
      </c>
      <c r="E6" s="104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847.5</v>
      </c>
      <c r="F6" s="104">
        <f t="shared" ref="F6:F14" ca="1" si="0">D6-E6</f>
        <v>-178.29100000000005</v>
      </c>
      <c r="G6" s="103">
        <f ca="1">D6</f>
        <v>669.20899999999995</v>
      </c>
      <c r="H6" s="104">
        <f ca="1">E6</f>
        <v>847.5</v>
      </c>
      <c r="I6" s="104">
        <f t="shared" ref="I6:I14" ca="1" si="1">G6-H6</f>
        <v>-178.29100000000005</v>
      </c>
      <c r="J6" s="30"/>
      <c r="L6" s="177"/>
      <c r="M6" s="177"/>
      <c r="N6" s="177"/>
      <c r="O6" s="177"/>
      <c r="P6" s="177"/>
      <c r="Q6" s="177"/>
    </row>
    <row r="7" spans="1:17" s="210" customFormat="1" x14ac:dyDescent="0.2">
      <c r="A7" s="32" t="s">
        <v>79</v>
      </c>
      <c r="B7" s="32"/>
      <c r="C7" s="32"/>
      <c r="D7" s="103">
        <f ca="1"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0</v>
      </c>
      <c r="E7" s="211">
        <f ca="1"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0</v>
      </c>
      <c r="F7" s="104">
        <f t="shared" ca="1" si="0"/>
        <v>0</v>
      </c>
      <c r="G7" s="103">
        <f ca="1">D7</f>
        <v>0</v>
      </c>
      <c r="H7" s="211">
        <f ca="1">E7</f>
        <v>0</v>
      </c>
      <c r="I7" s="104">
        <f t="shared" ca="1" si="1"/>
        <v>0</v>
      </c>
      <c r="J7" s="30"/>
      <c r="L7" s="177"/>
      <c r="M7" s="177"/>
      <c r="N7" s="177"/>
      <c r="O7" s="177"/>
      <c r="P7" s="177"/>
      <c r="Q7" s="177"/>
    </row>
    <row r="8" spans="1:17" s="210" customFormat="1" ht="16" thickBot="1" x14ac:dyDescent="0.25">
      <c r="A8" s="33" t="s">
        <v>135</v>
      </c>
      <c r="B8" s="33"/>
      <c r="C8" s="33"/>
      <c r="D8" s="105">
        <f ca="1">SUM(D6:D7)</f>
        <v>669.20899999999995</v>
      </c>
      <c r="E8" s="106">
        <f ca="1">SUM(E6:E7)</f>
        <v>847.5</v>
      </c>
      <c r="F8" s="106">
        <f t="shared" ca="1" si="0"/>
        <v>-178.29100000000005</v>
      </c>
      <c r="G8" s="105">
        <f ca="1">SUM(G6:G7)</f>
        <v>669.20899999999995</v>
      </c>
      <c r="H8" s="106">
        <f ca="1">SUM(H6:H7)</f>
        <v>847.5</v>
      </c>
      <c r="I8" s="106">
        <f t="shared" ca="1" si="1"/>
        <v>-178.29100000000005</v>
      </c>
      <c r="J8" s="30"/>
      <c r="L8" s="194"/>
      <c r="M8" s="194"/>
      <c r="N8" s="194"/>
      <c r="O8" s="194"/>
      <c r="P8" s="194"/>
      <c r="Q8" s="194"/>
    </row>
    <row r="9" spans="1:17" s="210" customFormat="1" ht="30" customHeight="1" x14ac:dyDescent="0.2">
      <c r="A9" s="34" t="s">
        <v>80</v>
      </c>
      <c r="B9" s="35" t="str">
        <f ca="1">_xll.DE.NAME(#REF!,"DXMEAS_S","CONTRACT")</f>
        <v>CONTRACT</v>
      </c>
      <c r="C9" s="35"/>
      <c r="D9" s="85">
        <f ca="1">_xll.DBGET(#REF!,#REF!,#REF!,#REF!,#REF!,#REF!,#REF!,$M$1,#REF!,#REF!,$B9)</f>
        <v>198051604.59</v>
      </c>
      <c r="E9" s="86">
        <f ca="1">_xll.DBGET(#REF!,#REF!,#REF!,#REF!,#REF!,#REF!,#REF!,$M$1,#REF!,#REF!,$B9)</f>
        <v>226085000</v>
      </c>
      <c r="F9" s="86">
        <f t="shared" ca="1" si="0"/>
        <v>-28033395.409999996</v>
      </c>
      <c r="G9" s="83">
        <f ca="1">(_xll.DBGET(#REF!,#REF!,#REF!,#REF!,#REF!,#REF!,#REF!,$M$1,#REF!,#REF!,$B9))/(G$8*1000)</f>
        <v>295.94880611288852</v>
      </c>
      <c r="H9" s="84">
        <f ca="1">(_xll.DBGET(#REF!,#REF!,#REF!,#REF!,#REF!,#REF!,#REF!,$M$1,#REF!,#REF!,$B9))/(H$8*1000)</f>
        <v>266.76696165191743</v>
      </c>
      <c r="I9" s="84">
        <f t="shared" ca="1" si="1"/>
        <v>29.181844460971092</v>
      </c>
      <c r="J9" s="30"/>
      <c r="L9" s="218" t="s">
        <v>152</v>
      </c>
      <c r="M9" s="219"/>
      <c r="N9" s="219"/>
      <c r="O9" s="219"/>
      <c r="P9" s="219"/>
      <c r="Q9" s="220"/>
    </row>
    <row r="10" spans="1:17" s="210" customFormat="1" hidden="1" outlineLevel="1" x14ac:dyDescent="0.2">
      <c r="A10" s="34" t="s">
        <v>81</v>
      </c>
      <c r="B10" s="35" t="str">
        <f ca="1">_xll.DE.NAME(#REF!,"DXMEAS_S","INTEREST")</f>
        <v>INTEREST</v>
      </c>
      <c r="C10" s="35"/>
      <c r="D10" s="161">
        <f ca="1">_xll.DBGET(#REF!,#REF!,#REF!,#REF!,#REF!,#REF!,#REF!,$M$1,#REF!,#REF!,$B10)</f>
        <v>0</v>
      </c>
      <c r="E10" s="162">
        <f ca="1">_xll.DBGET(#REF!,#REF!,#REF!,#REF!,#REF!,#REF!,#REF!,$M$1,#REF!,#REF!,$B10)</f>
        <v>0</v>
      </c>
      <c r="F10" s="36">
        <f t="shared" ca="1" si="0"/>
        <v>0</v>
      </c>
      <c r="G10" s="52">
        <f ca="1">(_xll.DBGET(#REF!,#REF!,#REF!,#REF!,#REF!,#REF!,#REF!,$M$1,#REF!,#REF!,$B10))/(G$8*1000)</f>
        <v>0</v>
      </c>
      <c r="H10" s="37">
        <f ca="1">(_xll.DBGET(#REF!,#REF!,#REF!,#REF!,#REF!,#REF!,#REF!,$M$1,#REF!,#REF!,$B10))/(H$8*1000)</f>
        <v>0</v>
      </c>
      <c r="I10" s="37">
        <f t="shared" ca="1" si="1"/>
        <v>0</v>
      </c>
      <c r="J10" s="30"/>
      <c r="L10" s="176"/>
      <c r="M10" s="177"/>
      <c r="N10" s="177"/>
      <c r="O10" s="177"/>
      <c r="P10" s="177"/>
      <c r="Q10" s="178"/>
    </row>
    <row r="11" spans="1:17" s="210" customFormat="1" hidden="1" outlineLevel="1" x14ac:dyDescent="0.2">
      <c r="A11" s="34" t="s">
        <v>150</v>
      </c>
      <c r="B11" s="35" t="s">
        <v>151</v>
      </c>
      <c r="C11" s="35"/>
      <c r="D11" s="161">
        <f ca="1">_xll.DBGET(#REF!,#REF!,#REF!,#REF!,#REF!,#REF!,#REF!,$M$1,#REF!,#REF!,$B11)</f>
        <v>0</v>
      </c>
      <c r="E11" s="162">
        <f ca="1">_xll.DBGET(#REF!,#REF!,#REF!,#REF!,#REF!,#REF!,#REF!,$M$1,#REF!,#REF!,$B11)</f>
        <v>0</v>
      </c>
      <c r="F11" s="36">
        <f t="shared" ca="1" si="0"/>
        <v>0</v>
      </c>
      <c r="G11" s="52">
        <f ca="1">(_xll.DBGET(#REF!,#REF!,#REF!,#REF!,#REF!,#REF!,#REF!,$M$1,#REF!,#REF!,$B11))/(G$8*1000)</f>
        <v>0</v>
      </c>
      <c r="H11" s="37">
        <f ca="1">(_xll.DBGET(#REF!,#REF!,#REF!,#REF!,#REF!,#REF!,#REF!,$M$1,#REF!,#REF!,$B11))/(H$8*1000)</f>
        <v>0</v>
      </c>
      <c r="I11" s="37">
        <f t="shared" ca="1" si="1"/>
        <v>0</v>
      </c>
      <c r="J11" s="30"/>
      <c r="L11" s="176"/>
      <c r="M11" s="177"/>
      <c r="N11" s="177"/>
      <c r="O11" s="177"/>
      <c r="P11" s="177"/>
      <c r="Q11" s="178"/>
    </row>
    <row r="12" spans="1:17" s="210" customFormat="1" collapsed="1" x14ac:dyDescent="0.2">
      <c r="A12" s="34" t="s">
        <v>82</v>
      </c>
      <c r="B12" s="35" t="str">
        <f ca="1">_xll.DE.NAME(#REF!,"DXMEAS_S","SHRINKAGE")</f>
        <v>SHRINKAGE</v>
      </c>
      <c r="C12" s="35"/>
      <c r="D12" s="205">
        <f ca="1">_xll.DBGET(#REF!,#REF!,#REF!,#REF!,#REF!,#REF!,#REF!,$M$1,#REF!,#REF!,$B12)</f>
        <v>0</v>
      </c>
      <c r="E12" s="36">
        <f ca="1">_xll.DBGET(#REF!,#REF!,#REF!,#REF!,#REF!,#REF!,#REF!,$M$1,#REF!,#REF!,$B12)</f>
        <v>-1067175</v>
      </c>
      <c r="F12" s="36">
        <f t="shared" ca="1" si="0"/>
        <v>1067175</v>
      </c>
      <c r="G12" s="52">
        <f ca="1">(_xll.DBGET(#REF!,#REF!,#REF!,#REF!,#REF!,#REF!,#REF!,$M$1,#REF!,#REF!,$B12))/(G$8*1000)</f>
        <v>0</v>
      </c>
      <c r="H12" s="37">
        <f ca="1">(_xll.DBGET(#REF!,#REF!,#REF!,#REF!,#REF!,#REF!,#REF!,$M$1,#REF!,#REF!,$B12))/(H$8*1000)</f>
        <v>-1.2592035398230088</v>
      </c>
      <c r="I12" s="37">
        <f t="shared" ca="1" si="1"/>
        <v>1.2592035398230088</v>
      </c>
      <c r="J12" s="30"/>
      <c r="L12" s="176"/>
      <c r="M12" s="177"/>
      <c r="N12" s="177"/>
      <c r="O12" s="177"/>
      <c r="P12" s="177"/>
      <c r="Q12" s="178"/>
    </row>
    <row r="13" spans="1:17" s="210" customFormat="1" x14ac:dyDescent="0.2">
      <c r="A13" s="34" t="s">
        <v>83</v>
      </c>
      <c r="B13" s="35" t="str">
        <f ca="1">_xll.DE.NAME(#REF!,"DXMEAS_S","CREDITNOTE")</f>
        <v>CREDITNOTE</v>
      </c>
      <c r="C13" s="35"/>
      <c r="D13" s="49">
        <f ca="1">_xll.DBGET(#REF!,#REF!,#REF!,#REF!,#REF!,#REF!,#REF!,$M$1,#REF!,#REF!,$B13)</f>
        <v>-11496564.380000001</v>
      </c>
      <c r="E13" s="38">
        <f ca="1">_xll.DBGET(#REF!,#REF!,#REF!,#REF!,#REF!,#REF!,#REF!,$M$1,#REF!,#REF!,$B13)</f>
        <v>-15949850</v>
      </c>
      <c r="F13" s="38">
        <f t="shared" ca="1" si="0"/>
        <v>4453285.6199999992</v>
      </c>
      <c r="G13" s="53">
        <f ca="1">(_xll.DBGET(#REF!,#REF!,#REF!,#REF!,#REF!,#REF!,#REF!,$M$1,#REF!,#REF!,$B13))/(G$8*1000)</f>
        <v>-17.179333182906987</v>
      </c>
      <c r="H13" s="39">
        <f ca="1">(_xll.DBGET(#REF!,#REF!,#REF!,#REF!,#REF!,#REF!,#REF!,$M$1,#REF!,#REF!,$B13))/(H$8*1000)</f>
        <v>-18.819882005899704</v>
      </c>
      <c r="I13" s="39">
        <f t="shared" ca="1" si="1"/>
        <v>1.6405488229927165</v>
      </c>
      <c r="J13" s="30"/>
      <c r="L13" s="176"/>
      <c r="M13" s="177"/>
      <c r="N13" s="177"/>
      <c r="O13" s="177"/>
      <c r="P13" s="177"/>
      <c r="Q13" s="178"/>
    </row>
    <row r="14" spans="1:17" s="210" customFormat="1" x14ac:dyDescent="0.2">
      <c r="A14" s="40" t="s">
        <v>84</v>
      </c>
      <c r="B14" s="35" t="str">
        <f ca="1">_xll.DE.NAME(#REF!,"DXMEAS_S","INVOICE")</f>
        <v>INVOICE</v>
      </c>
      <c r="C14" s="35"/>
      <c r="D14" s="50">
        <f ca="1">_xll.DBGET(#REF!,#REF!,#REF!,#REF!,#REF!,#REF!,#REF!,$M$1,#REF!,#REF!,$B14)</f>
        <v>186555040.21000001</v>
      </c>
      <c r="E14" s="41">
        <f ca="1">_xll.DBGET(#REF!,#REF!,#REF!,#REF!,#REF!,#REF!,#REF!,$M$1,#REF!,#REF!,$B14)</f>
        <v>209067975</v>
      </c>
      <c r="F14" s="41">
        <f t="shared" ca="1" si="0"/>
        <v>-22512934.789999992</v>
      </c>
      <c r="G14" s="54">
        <f ca="1">(_xll.DBGET(#REF!,#REF!,#REF!,#REF!,#REF!,#REF!,#REF!,$M$1,#REF!,#REF!,$B14))/(G$8*1000)</f>
        <v>278.76947292998153</v>
      </c>
      <c r="H14" s="42">
        <f ca="1">(_xll.DBGET(#REF!,#REF!,#REF!,#REF!,#REF!,#REF!,#REF!,$M$1,#REF!,#REF!,$B14))/(H$8*1000)</f>
        <v>246.68787610619469</v>
      </c>
      <c r="I14" s="42">
        <f t="shared" ca="1" si="1"/>
        <v>32.081596823786839</v>
      </c>
      <c r="J14" s="30"/>
      <c r="L14" s="179">
        <f t="shared" ref="L14:Q14" ca="1" si="2">D14-D13-D12-D10-D9</f>
        <v>0</v>
      </c>
      <c r="M14" s="180">
        <f t="shared" ca="1" si="2"/>
        <v>0</v>
      </c>
      <c r="N14" s="180">
        <f t="shared" ca="1" si="2"/>
        <v>0</v>
      </c>
      <c r="O14" s="180">
        <f t="shared" ca="1" si="2"/>
        <v>0</v>
      </c>
      <c r="P14" s="180">
        <f t="shared" ca="1" si="2"/>
        <v>0</v>
      </c>
      <c r="Q14" s="181">
        <f t="shared" ca="1" si="2"/>
        <v>0</v>
      </c>
    </row>
    <row r="15" spans="1:17" s="210" customFormat="1" ht="22.5" customHeight="1" x14ac:dyDescent="0.2">
      <c r="A15" s="34" t="s">
        <v>85</v>
      </c>
      <c r="B15" s="35" t="str">
        <f ca="1">_xll.DE.NAME(#REF!,"DXMEAS_S","REBATE 1")</f>
        <v>REBATE 1</v>
      </c>
      <c r="C15" s="35"/>
      <c r="D15" s="48">
        <f ca="1">_xll.DBGET(#REF!,#REF!,#REF!,#REF!,#REF!,#REF!,#REF!,$M$1,#REF!,#REF!,$B15)</f>
        <v>971040</v>
      </c>
      <c r="E15" s="174">
        <f ca="1">_xll.DBGET(#REF!,#REF!,#REF!,#REF!,#REF!,#REF!,#REF!,$M$1,#REF!,#REF!,$B15)</f>
        <v>0</v>
      </c>
      <c r="F15" s="36">
        <f ca="1">E15-D15</f>
        <v>-971040</v>
      </c>
      <c r="G15" s="52">
        <f ca="1">(_xll.DBGET(#REF!,#REF!,#REF!,#REF!,#REF!,#REF!,#REF!,$M$1,#REF!,#REF!,$B15))/(G$8*1000)</f>
        <v>1.4510265104025797</v>
      </c>
      <c r="H15" s="37">
        <f ca="1">(_xll.DBGET(#REF!,#REF!,#REF!,#REF!,#REF!,#REF!,#REF!,$M$1,#REF!,#REF!,$B15))/(H$8*1000)</f>
        <v>0</v>
      </c>
      <c r="I15" s="37">
        <f ca="1">H15-G15</f>
        <v>-1.4510265104025797</v>
      </c>
      <c r="J15" s="30"/>
      <c r="L15" s="176"/>
      <c r="M15" s="177"/>
      <c r="N15" s="177"/>
      <c r="O15" s="177"/>
      <c r="P15" s="177"/>
      <c r="Q15" s="178"/>
    </row>
    <row r="16" spans="1:17" s="210" customFormat="1" x14ac:dyDescent="0.2">
      <c r="A16" s="34" t="s">
        <v>86</v>
      </c>
      <c r="B16" s="35" t="str">
        <f ca="1">_xll.DE.NAME(#REF!,"DXMEAS_S","REBATE 2")</f>
        <v>REBATE 2</v>
      </c>
      <c r="C16" s="35"/>
      <c r="D16" s="48">
        <f ca="1">_xll.DBGET(#REF!,#REF!,#REF!,#REF!,#REF!,#REF!,#REF!,$M$1,#REF!,#REF!,$B16)</f>
        <v>0</v>
      </c>
      <c r="E16" s="174">
        <f ca="1">_xll.DBGET(#REF!,#REF!,#REF!,#REF!,#REF!,#REF!,#REF!,$M$1,#REF!,#REF!,$B16)</f>
        <v>0</v>
      </c>
      <c r="F16" s="36">
        <f ca="1">E16-D16</f>
        <v>0</v>
      </c>
      <c r="G16" s="52">
        <f ca="1">(_xll.DBGET(#REF!,#REF!,#REF!,#REF!,#REF!,#REF!,#REF!,$M$1,#REF!,#REF!,$B16))/(G$8*1000)</f>
        <v>0</v>
      </c>
      <c r="H16" s="37">
        <f ca="1">(_xll.DBGET(#REF!,#REF!,#REF!,#REF!,#REF!,#REF!,#REF!,$M$1,#REF!,#REF!,$B16))/(H$8*1000)</f>
        <v>0</v>
      </c>
      <c r="I16" s="37">
        <f ca="1">H16-G16</f>
        <v>0</v>
      </c>
      <c r="J16" s="30"/>
      <c r="L16" s="176"/>
      <c r="M16" s="177"/>
      <c r="N16" s="177"/>
      <c r="O16" s="177"/>
      <c r="P16" s="177"/>
      <c r="Q16" s="178"/>
    </row>
    <row r="17" spans="1:17" s="210" customFormat="1" x14ac:dyDescent="0.2">
      <c r="A17" s="34" t="s">
        <v>87</v>
      </c>
      <c r="B17" s="35" t="str">
        <f ca="1">_xll.DE.NAME(#REF!,"DXMEAS_S","VOL DISC")</f>
        <v>VOL DISC</v>
      </c>
      <c r="C17" s="35"/>
      <c r="D17" s="48">
        <f ca="1">_xll.DBGET(#REF!,#REF!,#REF!,#REF!,#REF!,#REF!,#REF!,$M$1,#REF!,#REF!,$B17)</f>
        <v>157407.35</v>
      </c>
      <c r="E17" s="174">
        <f ca="1">_xll.DBGET(#REF!,#REF!,#REF!,#REF!,#REF!,#REF!,#REF!,$M$1,#REF!,#REF!,$B17)</f>
        <v>126500</v>
      </c>
      <c r="F17" s="36">
        <f ca="1">E17-D17</f>
        <v>-30907.350000000006</v>
      </c>
      <c r="G17" s="52">
        <f ca="1">(_xll.DBGET(#REF!,#REF!,#REF!,#REF!,#REF!,#REF!,#REF!,$M$1,#REF!,#REF!,$B17))/(G$8*1000)</f>
        <v>0.23521403627267418</v>
      </c>
      <c r="H17" s="37">
        <f ca="1">(_xll.DBGET(#REF!,#REF!,#REF!,#REF!,#REF!,#REF!,#REF!,$M$1,#REF!,#REF!,$B17))/(H$8*1000)</f>
        <v>0.14926253687315635</v>
      </c>
      <c r="I17" s="37">
        <f ca="1">H17-G17</f>
        <v>-8.5951499399517822E-2</v>
      </c>
      <c r="J17" s="30"/>
      <c r="L17" s="176"/>
      <c r="M17" s="177"/>
      <c r="N17" s="177"/>
      <c r="O17" s="177"/>
      <c r="P17" s="177"/>
      <c r="Q17" s="178"/>
    </row>
    <row r="18" spans="1:17" s="210" customFormat="1" x14ac:dyDescent="0.2">
      <c r="A18" s="34" t="s">
        <v>88</v>
      </c>
      <c r="B18" s="35" t="str">
        <f ca="1">_xll.DE.NAME(#REF!,"DXMEAS_S","PR RES")</f>
        <v>PR RES</v>
      </c>
      <c r="C18" s="35"/>
      <c r="D18" s="205">
        <f ca="1">_xll.DBGET(#REF!,#REF!,#REF!,#REF!,#REF!,#REF!,#REF!,$M$1,#REF!,#REF!,$B18)</f>
        <v>30481920</v>
      </c>
      <c r="E18" s="174">
        <f ca="1">_xll.DBGET(#REF!,#REF!,#REF!,#REF!,#REF!,#REF!,#REF!,$M$1,#REF!,#REF!,$B18)</f>
        <v>0</v>
      </c>
      <c r="F18" s="36">
        <f ca="1">E18-D18</f>
        <v>-30481920</v>
      </c>
      <c r="G18" s="52">
        <f ca="1">(_xll.DBGET(#REF!,#REF!,#REF!,#REF!,#REF!,#REF!,#REF!,$M$1,#REF!,#REF!,$B18))/(G$8*1000)</f>
        <v>45.549178208900358</v>
      </c>
      <c r="H18" s="37">
        <f ca="1">(_xll.DBGET(#REF!,#REF!,#REF!,#REF!,#REF!,#REF!,#REF!,$M$1,#REF!,#REF!,$B18))/(H$8*1000)</f>
        <v>0</v>
      </c>
      <c r="I18" s="37">
        <f ca="1">H18-G18</f>
        <v>-45.549178208900358</v>
      </c>
      <c r="J18" s="30"/>
      <c r="L18" s="176"/>
      <c r="M18" s="177"/>
      <c r="N18" s="177"/>
      <c r="O18" s="177"/>
      <c r="P18" s="177"/>
      <c r="Q18" s="178"/>
    </row>
    <row r="19" spans="1:17" s="210" customFormat="1" x14ac:dyDescent="0.2">
      <c r="A19" s="34" t="s">
        <v>89</v>
      </c>
      <c r="B19" s="35" t="str">
        <f ca="1">_xll.DE.NAME(#REF!,"DXMEAS_S","FRT Savings Rebate")</f>
        <v>FRT Savings Rebate</v>
      </c>
      <c r="C19" s="35"/>
      <c r="D19" s="205">
        <f ca="1">_xll.DBGET(#REF!,#REF!,#REF!,#REF!,#REF!,#REF!,#REF!,$M$1,#REF!,#REF!,$B19)</f>
        <v>0</v>
      </c>
      <c r="E19" s="174">
        <f ca="1">_xll.DBGET(#REF!,#REF!,#REF!,#REF!,#REF!,#REF!,#REF!,$M$1,#REF!,#REF!,$B19)</f>
        <v>0</v>
      </c>
      <c r="F19" s="36">
        <f ca="1">E19-D19</f>
        <v>0</v>
      </c>
      <c r="G19" s="52">
        <f ca="1">(_xll.DBGET(#REF!,#REF!,#REF!,#REF!,#REF!,#REF!,#REF!,$M$1,#REF!,#REF!,$B19))/(G$8*1000)</f>
        <v>0</v>
      </c>
      <c r="H19" s="37">
        <f ca="1">(_xll.DBGET(#REF!,#REF!,#REF!,#REF!,#REF!,#REF!,#REF!,$M$1,#REF!,#REF!,$B19))/(H$8*1000)</f>
        <v>0</v>
      </c>
      <c r="I19" s="37">
        <f ca="1">H19-G19</f>
        <v>0</v>
      </c>
      <c r="J19" s="30"/>
      <c r="L19" s="176"/>
      <c r="M19" s="177"/>
      <c r="N19" s="177"/>
      <c r="O19" s="177"/>
      <c r="P19" s="177"/>
      <c r="Q19" s="178"/>
    </row>
    <row r="20" spans="1:17" s="210" customFormat="1" x14ac:dyDescent="0.2">
      <c r="A20" s="40" t="s">
        <v>90</v>
      </c>
      <c r="B20" s="35" t="str">
        <f ca="1">_xll.DE.NAME(#REF!,"DXMEAS_S","Net Sale Price")</f>
        <v>Net Sale Price</v>
      </c>
      <c r="C20" s="35"/>
      <c r="D20" s="51">
        <f ca="1">_xll.DBGET(#REF!,#REF!,#REF!,#REF!,#REF!,#REF!,#REF!,$M$1,#REF!,#REF!,$B20)</f>
        <v>154944672.86000001</v>
      </c>
      <c r="E20" s="43">
        <f ca="1">_xll.DBGET(#REF!,#REF!,#REF!,#REF!,#REF!,#REF!,#REF!,$M$1,#REF!,#REF!,$B20)</f>
        <v>208941475</v>
      </c>
      <c r="F20" s="43">
        <f ca="1">D20-E20</f>
        <v>-53996802.139999986</v>
      </c>
      <c r="G20" s="55">
        <f ca="1">(_xll.DBGET(#REF!,#REF!,#REF!,#REF!,#REF!,#REF!,#REF!,$M$1,#REF!,#REF!,$B20))/(G$8*1000)</f>
        <v>231.53405417440592</v>
      </c>
      <c r="H20" s="44">
        <f ca="1">(_xll.DBGET(#REF!,#REF!,#REF!,#REF!,#REF!,#REF!,#REF!,$M$1,#REF!,#REF!,$B20))/(H$8*1000)</f>
        <v>246.53861356932154</v>
      </c>
      <c r="I20" s="44">
        <f ca="1">G20-H20</f>
        <v>-15.004559394915617</v>
      </c>
      <c r="J20" s="30"/>
      <c r="L20" s="182">
        <f ca="1">D20+D19+D18+D17+D16+D15-D14</f>
        <v>0</v>
      </c>
      <c r="M20" s="183">
        <f ca="1">E20+E19+E18+E17+E16+E15-E14</f>
        <v>0</v>
      </c>
      <c r="N20" s="183">
        <f ca="1">F20-F19-F18-F17-F16-F15-F14</f>
        <v>0</v>
      </c>
      <c r="O20" s="183">
        <f ca="1">G20+G19+G18+G17+G16+G15-G14</f>
        <v>0</v>
      </c>
      <c r="P20" s="183">
        <f ca="1">H20+H19+H18+H17+H16+H15-H14</f>
        <v>0</v>
      </c>
      <c r="Q20" s="184">
        <f ca="1">I20-I19-I18-I17-I16-I15-I14</f>
        <v>0</v>
      </c>
    </row>
    <row r="21" spans="1:17" s="210" customFormat="1" ht="22.5" customHeight="1" x14ac:dyDescent="0.2">
      <c r="A21" s="45" t="s">
        <v>105</v>
      </c>
      <c r="B21" s="45"/>
      <c r="C21" s="45"/>
      <c r="D21" s="48"/>
      <c r="E21" s="36"/>
      <c r="F21" s="36"/>
      <c r="G21" s="52"/>
      <c r="H21" s="37"/>
      <c r="I21" s="37"/>
      <c r="J21" s="30"/>
      <c r="L21" s="176"/>
      <c r="M21" s="177"/>
      <c r="N21" s="177"/>
      <c r="O21" s="177"/>
      <c r="P21" s="177"/>
      <c r="Q21" s="178"/>
    </row>
    <row r="22" spans="1:17" s="210" customFormat="1" x14ac:dyDescent="0.2">
      <c r="A22" s="34" t="s">
        <v>91</v>
      </c>
      <c r="B22" s="35" t="str">
        <f ca="1">_xll.DE.NAME(#REF!,"DXMEAS_S","Commissions")</f>
        <v>Commissions</v>
      </c>
      <c r="C22" s="35"/>
      <c r="D22" s="205">
        <f ca="1">_xll.DBGET(#REF!,#REF!,#REF!,#REF!,#REF!,#REF!,#REF!,$M$1,#REF!,#REF!,$B22)</f>
        <v>0</v>
      </c>
      <c r="E22" s="174">
        <f ca="1">_xll.DBGET(#REF!,#REF!,#REF!,#REF!,#REF!,#REF!,#REF!,$M$1,#REF!,#REF!,$B22)</f>
        <v>0</v>
      </c>
      <c r="F22" s="174">
        <f ca="1">E22-D22</f>
        <v>0</v>
      </c>
      <c r="G22" s="52">
        <f ca="1">(_xll.DBGET(#REF!,#REF!,#REF!,#REF!,#REF!,#REF!,#REF!,$M$1,#REF!,#REF!,$B22))/(G$8*1000)</f>
        <v>0</v>
      </c>
      <c r="H22" s="37">
        <f ca="1">(_xll.DBGET(#REF!,#REF!,#REF!,#REF!,#REF!,#REF!,#REF!,$M$1,#REF!,#REF!,$B22))/(H$8*1000)</f>
        <v>0</v>
      </c>
      <c r="I22" s="37">
        <f ca="1">H22-G22</f>
        <v>0</v>
      </c>
      <c r="J22" s="30"/>
      <c r="L22" s="176"/>
      <c r="M22" s="177"/>
      <c r="N22" s="177"/>
      <c r="O22" s="177"/>
      <c r="P22" s="177"/>
      <c r="Q22" s="178"/>
    </row>
    <row r="23" spans="1:17" s="210" customFormat="1" x14ac:dyDescent="0.2">
      <c r="A23" s="34" t="s">
        <v>76</v>
      </c>
      <c r="B23" s="35" t="str">
        <f ca="1">_xll.DE.NAME(#REF!,"DXMEAS_S","Ocean Freight")</f>
        <v>Ocean Freight</v>
      </c>
      <c r="C23" s="35"/>
      <c r="D23" s="205">
        <f ca="1">_xll.DBGET(#REF!,#REF!,#REF!,#REF!,#REF!,#REF!,#REF!,$M$1,#REF!,#REF!,$B23)</f>
        <v>17757888.27</v>
      </c>
      <c r="E23" s="174">
        <f ca="1">_xll.DBGET(#REF!,#REF!,#REF!,#REF!,#REF!,#REF!,#REF!,$M$1,#REF!,#REF!,$B23)</f>
        <v>21617094.6831</v>
      </c>
      <c r="F23" s="174">
        <f ca="1">E23-D23</f>
        <v>3859206.4131000005</v>
      </c>
      <c r="G23" s="52">
        <f ca="1">(_xll.DBGET(#REF!,#REF!,#REF!,#REF!,#REF!,#REF!,#REF!,$M$1,#REF!,#REF!,$B23))/(G$8*1000)</f>
        <v>26.535638746639687</v>
      </c>
      <c r="H23" s="37">
        <f ca="1">(_xll.DBGET(#REF!,#REF!,#REF!,#REF!,#REF!,#REF!,#REF!,$M$1,#REF!,#REF!,$B23))/(H$8*1000)</f>
        <v>25.506896381238938</v>
      </c>
      <c r="I23" s="37">
        <f ca="1">H23-G23</f>
        <v>-1.028742365400749</v>
      </c>
      <c r="J23" s="30"/>
      <c r="L23" s="176"/>
      <c r="M23" s="177"/>
      <c r="N23" s="177"/>
      <c r="O23" s="177"/>
      <c r="P23" s="177"/>
      <c r="Q23" s="178"/>
    </row>
    <row r="24" spans="1:17" s="210" customFormat="1" hidden="1" outlineLevel="1" x14ac:dyDescent="0.2">
      <c r="A24" s="34" t="s">
        <v>92</v>
      </c>
      <c r="B24" s="35" t="str">
        <f ca="1">_xll.DE.NAME(#REF!,"DXMEAS_S","BOF")</f>
        <v>BOF</v>
      </c>
      <c r="C24" s="35" t="s">
        <v>149</v>
      </c>
      <c r="D24" s="205">
        <f ca="1">_xll.DBGET(#REF!,#REF!,#REF!,#REF!,#REF!,#REF!,#REF!,$M$1,#REF!,#REF!,$B24)+_xll.DBGET(#REF!,#REF!,#REF!,#REF!,#REF!,#REF!,#REF!,$M$1,#REF!,#REF!,$C24)</f>
        <v>17424832.760000002</v>
      </c>
      <c r="E24" s="174">
        <f ca="1">_xll.DBGET(#REF!,#REF!,#REF!,#REF!,#REF!,#REF!,#REF!,$M$1,#REF!,#REF!,$B24)+_xll.DBGET(#REF!,#REF!,#REF!,#REF!,#REF!,#REF!,#REF!,$M$1,#REF!,#REF!,$C24)</f>
        <v>21164980</v>
      </c>
      <c r="F24" s="174">
        <f t="shared" ref="F24:F35" ca="1" si="3">E24-D24</f>
        <v>3740147.2399999984</v>
      </c>
      <c r="G24" s="52">
        <f ca="1">(_xll.DBGET(#REF!,#REF!,#REF!,#REF!,#REF!,#REF!,#REF!,$M$1,#REF!,#REF!,$B24)+_xll.DBGET(#REF!,#REF!,#REF!,#REF!,#REF!,#REF!,#REF!,$M$1,#REF!,#REF!,$C24))/(G$8*1000)</f>
        <v>26.037953404691212</v>
      </c>
      <c r="H24" s="37">
        <f ca="1">(_xll.DBGET(#REF!,#REF!,#REF!,#REF!,#REF!,#REF!,#REF!,$M$1,#REF!,#REF!,$B24)+_xll.DBGET(#REF!,#REF!,#REF!,#REF!,#REF!,#REF!,#REF!,$M$1,#REF!,#REF!,$C24))/(H$8*1000)</f>
        <v>24.973427728613569</v>
      </c>
      <c r="I24" s="37">
        <f ca="1">H24-G24</f>
        <v>-1.0645256760776434</v>
      </c>
      <c r="J24" s="30"/>
      <c r="L24" s="182"/>
      <c r="M24" s="177"/>
      <c r="N24" s="177"/>
      <c r="O24" s="177"/>
      <c r="P24" s="177"/>
      <c r="Q24" s="178"/>
    </row>
    <row r="25" spans="1:17" s="210" customFormat="1" hidden="1" outlineLevel="1" x14ac:dyDescent="0.2">
      <c r="A25" s="34" t="s">
        <v>93</v>
      </c>
      <c r="B25" s="35" t="str">
        <f ca="1">_xll.DE.NAME(#REF!,"DXMEAS_S","LOSS_GAIN O_S")</f>
        <v>LOSS_GAIN O_S</v>
      </c>
      <c r="C25" s="35"/>
      <c r="D25" s="205">
        <f ca="1">_xll.DBGET(#REF!,#REF!,#REF!,#REF!,#REF!,#REF!,#REF!,$M$1,#REF!,#REF!,$B25)</f>
        <v>152460.44</v>
      </c>
      <c r="E25" s="174">
        <f ca="1">_xll.DBGET(#REF!,#REF!,#REF!,#REF!,#REF!,#REF!,#REF!,$M$1,#REF!,#REF!,$B25)</f>
        <v>214808.5018</v>
      </c>
      <c r="F25" s="174">
        <f t="shared" ca="1" si="3"/>
        <v>62348.061799999996</v>
      </c>
      <c r="G25" s="52">
        <f ca="1">(_xll.DBGET(#REF!,#REF!,#REF!,#REF!,#REF!,#REF!,#REF!,$M$1,#REF!,#REF!,$B25))/(G$8*1000)</f>
        <v>0.22782186133181115</v>
      </c>
      <c r="H25" s="37">
        <f ca="1">(_xll.DBGET(#REF!,#REF!,#REF!,#REF!,#REF!,#REF!,#REF!,$M$1,#REF!,#REF!,$B25))/(H$8*1000)</f>
        <v>0.25346135905604722</v>
      </c>
      <c r="I25" s="37">
        <f t="shared" ref="I25:I35" ca="1" si="4">H25-G25</f>
        <v>2.5639497724236071E-2</v>
      </c>
      <c r="J25" s="30"/>
      <c r="L25" s="182"/>
      <c r="M25" s="177"/>
      <c r="N25" s="177"/>
      <c r="O25" s="177"/>
      <c r="P25" s="177"/>
      <c r="Q25" s="178"/>
    </row>
    <row r="26" spans="1:17" s="210" customFormat="1" hidden="1" outlineLevel="1" x14ac:dyDescent="0.2">
      <c r="A26" s="34" t="s">
        <v>162</v>
      </c>
      <c r="B26" s="35" t="s">
        <v>163</v>
      </c>
      <c r="C26" s="35"/>
      <c r="D26" s="161">
        <f ca="1">_xll.DBGET(#REF!,#REF!,#REF!,#REF!,#REF!,#REF!,#REF!,$M$1,#REF!,#REF!,$B26)</f>
        <v>180595.07</v>
      </c>
      <c r="E26" s="162">
        <f ca="1">_xll.DBGET(#REF!,#REF!,#REF!,#REF!,#REF!,#REF!,#REF!,$M$1,#REF!,#REF!,$B26)</f>
        <v>237306.1813</v>
      </c>
      <c r="F26" s="174">
        <f t="shared" ca="1" si="3"/>
        <v>56711.11129999999</v>
      </c>
      <c r="G26" s="52">
        <f ca="1">(_xll.DBGET(#REF!,#REF!,#REF!,#REF!,#REF!,#REF!,#REF!,$M$1,#REF!,#REF!,$B26))/(G$8*1000)</f>
        <v>0.26986348061666837</v>
      </c>
      <c r="H26" s="37">
        <f ca="1">(_xll.DBGET(#REF!,#REF!,#REF!,#REF!,#REF!,#REF!,#REF!,$M$1,#REF!,#REF!,$B26))/(H$8*1000)</f>
        <v>0.28000729356932152</v>
      </c>
      <c r="I26" s="37">
        <f t="shared" ca="1" si="4"/>
        <v>1.0143812952653153E-2</v>
      </c>
      <c r="J26" s="30"/>
      <c r="L26" s="182"/>
      <c r="M26" s="177"/>
      <c r="N26" s="177"/>
      <c r="O26" s="177"/>
      <c r="P26" s="177"/>
      <c r="Q26" s="178"/>
    </row>
    <row r="27" spans="1:17" s="210" customFormat="1" hidden="1" outlineLevel="1" x14ac:dyDescent="0.2">
      <c r="A27" s="34" t="s">
        <v>164</v>
      </c>
      <c r="B27" s="35" t="s">
        <v>165</v>
      </c>
      <c r="C27" s="35"/>
      <c r="D27" s="161">
        <f ca="1">_xll.DBGET(#REF!,#REF!,#REF!,#REF!,#REF!,#REF!,#REF!,$M$1,#REF!,#REF!,$B27)</f>
        <v>0</v>
      </c>
      <c r="E27" s="162">
        <f ca="1">_xll.DBGET(#REF!,#REF!,#REF!,#REF!,#REF!,#REF!,#REF!,$M$1,#REF!,#REF!,$B27)</f>
        <v>0</v>
      </c>
      <c r="F27" s="174">
        <f t="shared" ca="1" si="3"/>
        <v>0</v>
      </c>
      <c r="G27" s="52">
        <f ca="1">(_xll.DBGET(#REF!,#REF!,#REF!,#REF!,#REF!,#REF!,#REF!,$M$1,#REF!,#REF!,$B27))/(G$8*1000)</f>
        <v>0</v>
      </c>
      <c r="H27" s="37">
        <f ca="1">(_xll.DBGET(#REF!,#REF!,#REF!,#REF!,#REF!,#REF!,#REF!,$M$1,#REF!,#REF!,$B27))/(H$8*1000)</f>
        <v>0</v>
      </c>
      <c r="I27" s="37">
        <f t="shared" ca="1" si="4"/>
        <v>0</v>
      </c>
      <c r="J27" s="30"/>
      <c r="L27" s="182"/>
      <c r="M27" s="177"/>
      <c r="N27" s="177"/>
      <c r="O27" s="177"/>
      <c r="P27" s="177"/>
      <c r="Q27" s="178"/>
    </row>
    <row r="28" spans="1:17" s="210" customFormat="1" hidden="1" outlineLevel="1" x14ac:dyDescent="0.2">
      <c r="A28" s="34" t="s">
        <v>94</v>
      </c>
      <c r="B28" s="35" t="str">
        <f ca="1">_xll.DE.NAME(#REF!,"DXMEAS_S","CHEMOF")</f>
        <v>CHEMOF</v>
      </c>
      <c r="C28" s="35" t="s">
        <v>158</v>
      </c>
      <c r="D28" s="205">
        <f ca="1">_xll.DBGET(#REF!,#REF!,#REF!,#REF!,#REF!,#REF!,#REF!,$M$1,#REF!,#REF!,$B28)+_xll.DBGET(#REF!,#REF!,#REF!,#REF!,#REF!,#REF!,#REF!,$M$1,#REF!,#REF!,$C28)</f>
        <v>0</v>
      </c>
      <c r="E28" s="174">
        <f ca="1">_xll.DBGET(#REF!,#REF!,#REF!,#REF!,#REF!,#REF!,#REF!,$M$1,#REF!,#REF!,$B28)+_xll.DBGET(#REF!,#REF!,#REF!,#REF!,#REF!,#REF!,#REF!,$M$1,#REF!,#REF!,$C28)</f>
        <v>0</v>
      </c>
      <c r="F28" s="174">
        <f t="shared" ca="1" si="3"/>
        <v>0</v>
      </c>
      <c r="G28" s="52">
        <f ca="1">(_xll.DBGET(#REF!,#REF!,#REF!,#REF!,#REF!,#REF!,#REF!,$M$1,#REF!,#REF!,$B28)+_xll.DBGET(#REF!,#REF!,#REF!,#REF!,#REF!,#REF!,#REF!,$M$1,#REF!,#REF!,$C28))/(G$8*1000)</f>
        <v>0</v>
      </c>
      <c r="H28" s="37">
        <f ca="1">(_xll.DBGET(#REF!,#REF!,#REF!,#REF!,#REF!,#REF!,#REF!,$M$1,#REF!,#REF!,$B28)+_xll.DBGET(#REF!,#REF!,#REF!,#REF!,#REF!,#REF!,#REF!,$M$1,#REF!,#REF!,$C28))/(H$8*1000)</f>
        <v>0</v>
      </c>
      <c r="I28" s="37">
        <f t="shared" ca="1" si="4"/>
        <v>0</v>
      </c>
      <c r="J28" s="30"/>
      <c r="L28" s="176"/>
      <c r="M28" s="177"/>
      <c r="N28" s="177"/>
      <c r="O28" s="177"/>
      <c r="P28" s="177"/>
      <c r="Q28" s="178"/>
    </row>
    <row r="29" spans="1:17" s="210" customFormat="1" hidden="1" outlineLevel="1" x14ac:dyDescent="0.2">
      <c r="A29" s="34" t="s">
        <v>97</v>
      </c>
      <c r="B29" s="35" t="str">
        <f ca="1">_xll.DE.NAME(#REF!,"DXMEAS_S","WHSOF")</f>
        <v>WHSOF</v>
      </c>
      <c r="C29" s="35" t="s">
        <v>159</v>
      </c>
      <c r="D29" s="205">
        <f ca="1">_xll.DBGET(#REF!,#REF!,#REF!,#REF!,#REF!,#REF!,#REF!,$M$1,#REF!,#REF!,$B29)+_xll.DBGET(#REF!,#REF!,#REF!,#REF!,#REF!,#REF!,#REF!,$M$1,#REF!,#REF!,$C29)</f>
        <v>0</v>
      </c>
      <c r="E29" s="174">
        <f ca="1">_xll.DBGET(#REF!,#REF!,#REF!,#REF!,#REF!,#REF!,#REF!,$M$1,#REF!,#REF!,$B29)+_xll.DBGET(#REF!,#REF!,#REF!,#REF!,#REF!,#REF!,#REF!,$M$1,#REF!,#REF!,$C29)</f>
        <v>0</v>
      </c>
      <c r="F29" s="174">
        <f ca="1">E29-D29</f>
        <v>0</v>
      </c>
      <c r="G29" s="52">
        <f ca="1">(_xll.DBGET(#REF!,#REF!,#REF!,#REF!,#REF!,#REF!,#REF!,$M$1,#REF!,#REF!,$B29)+_xll.DBGET(#REF!,#REF!,#REF!,#REF!,#REF!,#REF!,#REF!,$M$1,#REF!,#REF!,$C29))/(G$8*1000)</f>
        <v>0</v>
      </c>
      <c r="H29" s="37">
        <f ca="1">(_xll.DBGET(#REF!,#REF!,#REF!,#REF!,#REF!,#REF!,#REF!,$M$1,#REF!,#REF!,$B29)+_xll.DBGET(#REF!,#REF!,#REF!,#REF!,#REF!,#REF!,#REF!,$M$1,#REF!,#REF!,$C29))/(H$8*1000)</f>
        <v>0</v>
      </c>
      <c r="I29" s="37">
        <f ca="1">H29-G29</f>
        <v>0</v>
      </c>
      <c r="J29" s="30"/>
      <c r="L29" s="176"/>
      <c r="M29" s="177"/>
      <c r="N29" s="177"/>
      <c r="O29" s="177"/>
      <c r="P29" s="177"/>
      <c r="Q29" s="178"/>
    </row>
    <row r="30" spans="1:17" s="210" customFormat="1" collapsed="1" x14ac:dyDescent="0.2">
      <c r="A30" s="34" t="s">
        <v>95</v>
      </c>
      <c r="B30" s="35" t="str">
        <f ca="1">_xll.DE.NAME(#REF!,"DXMEAS_S","CHEM PKG")</f>
        <v>CHEM PKG</v>
      </c>
      <c r="C30" s="35"/>
      <c r="D30" s="205">
        <f ca="1">_xll.DBGET(#REF!,#REF!,#REF!,#REF!,#REF!,#REF!,#REF!,$M$1,#REF!,#REF!,$B30)</f>
        <v>0</v>
      </c>
      <c r="E30" s="174">
        <f ca="1">_xll.DBGET(#REF!,#REF!,#REF!,#REF!,#REF!,#REF!,#REF!,$M$1,#REF!,#REF!,$B30)</f>
        <v>0</v>
      </c>
      <c r="F30" s="174">
        <f t="shared" ca="1" si="3"/>
        <v>0</v>
      </c>
      <c r="G30" s="52">
        <f ca="1">(_xll.DBGET(#REF!,#REF!,#REF!,#REF!,#REF!,#REF!,#REF!,$M$1,#REF!,#REF!,$B30))/(G$8*1000)</f>
        <v>0</v>
      </c>
      <c r="H30" s="37">
        <f ca="1">(_xll.DBGET(#REF!,#REF!,#REF!,#REF!,#REF!,#REF!,#REF!,$M$1,#REF!,#REF!,$B30))/(H$8*1000)</f>
        <v>0</v>
      </c>
      <c r="I30" s="37">
        <f t="shared" ca="1" si="4"/>
        <v>0</v>
      </c>
      <c r="J30" s="30"/>
      <c r="L30" s="176"/>
      <c r="M30" s="177"/>
      <c r="N30" s="177"/>
      <c r="O30" s="177"/>
      <c r="P30" s="177"/>
      <c r="Q30" s="178"/>
    </row>
    <row r="31" spans="1:17" s="210" customFormat="1" x14ac:dyDescent="0.2">
      <c r="A31" s="34" t="s">
        <v>98</v>
      </c>
      <c r="B31" s="35" t="str">
        <f ca="1">_xll.DE.NAME(#REF!,"DXMEAS_S","WHS PKG")</f>
        <v>WHS PKG</v>
      </c>
      <c r="C31" s="35"/>
      <c r="D31" s="205">
        <f ca="1">_xll.DBGET(#REF!,#REF!,#REF!,#REF!,#REF!,#REF!,#REF!,$M$1,#REF!,#REF!,$B31)</f>
        <v>0</v>
      </c>
      <c r="E31" s="174">
        <f ca="1">_xll.DBGET(#REF!,#REF!,#REF!,#REF!,#REF!,#REF!,#REF!,$M$1,#REF!,#REF!,$B31)</f>
        <v>0</v>
      </c>
      <c r="F31" s="174">
        <f ca="1">E31-D31</f>
        <v>0</v>
      </c>
      <c r="G31" s="52">
        <f ca="1">(_xll.DBGET(#REF!,#REF!,#REF!,#REF!,#REF!,#REF!,#REF!,$M$1,#REF!,#REF!,$B31))/(G$8*1000)</f>
        <v>0</v>
      </c>
      <c r="H31" s="37">
        <f ca="1">(_xll.DBGET(#REF!,#REF!,#REF!,#REF!,#REF!,#REF!,#REF!,$M$1,#REF!,#REF!,$B31))/(H$8*1000)</f>
        <v>0</v>
      </c>
      <c r="I31" s="37">
        <f ca="1">H31-G31</f>
        <v>0</v>
      </c>
      <c r="J31" s="30"/>
      <c r="L31" s="176"/>
      <c r="M31" s="177"/>
      <c r="N31" s="177"/>
      <c r="O31" s="177"/>
      <c r="P31" s="177"/>
      <c r="Q31" s="178"/>
    </row>
    <row r="32" spans="1:17" s="210" customFormat="1" x14ac:dyDescent="0.2">
      <c r="A32" s="34" t="s">
        <v>99</v>
      </c>
      <c r="B32" s="35" t="str">
        <f ca="1">_xll.DE.NAME(#REF!,"DXMEAS_S","OFSHRTPUT")</f>
        <v>OFSHRTPUT</v>
      </c>
      <c r="C32" s="35"/>
      <c r="D32" s="205">
        <f ca="1">_xll.DBGET(#REF!,#REF!,#REF!,#REF!,#REF!,#REF!,#REF!,$M$1,#REF!,#REF!,$B32)</f>
        <v>0</v>
      </c>
      <c r="E32" s="174">
        <f ca="1">_xll.DBGET(#REF!,#REF!,#REF!,#REF!,#REF!,#REF!,#REF!,$M$1,#REF!,#REF!,$B32)</f>
        <v>0</v>
      </c>
      <c r="F32" s="174">
        <f ca="1">E32-D32</f>
        <v>0</v>
      </c>
      <c r="G32" s="52">
        <f ca="1">(_xll.DBGET(#REF!,#REF!,#REF!,#REF!,#REF!,#REF!,#REF!,$M$1,#REF!,#REF!,$B32))/(G$8*1000)</f>
        <v>0</v>
      </c>
      <c r="H32" s="37">
        <f ca="1">(_xll.DBGET(#REF!,#REF!,#REF!,#REF!,#REF!,#REF!,#REF!,$M$1,#REF!,#REF!,$B32))/(H$8*1000)</f>
        <v>0</v>
      </c>
      <c r="I32" s="37">
        <f ca="1">H32-G32</f>
        <v>0</v>
      </c>
      <c r="J32" s="30"/>
      <c r="L32" s="176"/>
      <c r="M32" s="177"/>
      <c r="N32" s="177"/>
      <c r="O32" s="177"/>
      <c r="P32" s="177"/>
      <c r="Q32" s="178"/>
    </row>
    <row r="33" spans="1:17" s="210" customFormat="1" x14ac:dyDescent="0.2">
      <c r="A33" s="34" t="s">
        <v>96</v>
      </c>
      <c r="B33" s="35" t="str">
        <f ca="1">_xll.DE.NAME(#REF!,"DXMEAS_S","EDC")</f>
        <v>EDC</v>
      </c>
      <c r="C33" s="35"/>
      <c r="D33" s="48">
        <f ca="1">_xll.DBGET(#REF!,#REF!,#REF!,#REF!,#REF!,#REF!,#REF!,$M$1,#REF!,#REF!,$B33)</f>
        <v>113302.54</v>
      </c>
      <c r="E33" s="36">
        <f ca="1">_xll.DBGET(#REF!,#REF!,#REF!,#REF!,#REF!,#REF!,#REF!,$M$1,#REF!,#REF!,$B33)</f>
        <v>250257.46299999999</v>
      </c>
      <c r="F33" s="36">
        <f t="shared" ca="1" si="3"/>
        <v>136954.92300000001</v>
      </c>
      <c r="G33" s="52">
        <f ca="1">(_xll.DBGET(#REF!,#REF!,#REF!,#REF!,#REF!,#REF!,#REF!,$M$1,#REF!,#REF!,$B33))/(G$8*1000)</f>
        <v>0.16930815335717242</v>
      </c>
      <c r="H33" s="37">
        <f ca="1">(_xll.DBGET(#REF!,#REF!,#REF!,#REF!,#REF!,#REF!,#REF!,$M$1,#REF!,#REF!,$B33))/(H$8*1000)</f>
        <v>0.29528904188790561</v>
      </c>
      <c r="I33" s="37">
        <f t="shared" ca="1" si="4"/>
        <v>0.12598088853073319</v>
      </c>
      <c r="J33" s="30"/>
      <c r="L33" s="176"/>
      <c r="M33" s="177"/>
      <c r="N33" s="177"/>
      <c r="O33" s="177"/>
      <c r="P33" s="177"/>
      <c r="Q33" s="178"/>
    </row>
    <row r="34" spans="1:17" s="210" customFormat="1" x14ac:dyDescent="0.2">
      <c r="A34" s="34" t="s">
        <v>100</v>
      </c>
      <c r="B34" s="35" t="str">
        <f ca="1">_xll.DE.NAME(#REF!,"DXMEAS_S","Disport SRVL")</f>
        <v>Disport SRVL</v>
      </c>
      <c r="C34" s="35"/>
      <c r="D34" s="48">
        <f ca="1">_xll.DBGET(#REF!,#REF!,#REF!,#REF!,#REF!,#REF!,#REF!,$M$1,#REF!,#REF!,$B34)</f>
        <v>214765.98300000001</v>
      </c>
      <c r="E34" s="36">
        <f ca="1">_xll.DBGET(#REF!,#REF!,#REF!,#REF!,#REF!,#REF!,#REF!,$M$1,#REF!,#REF!,$B34)</f>
        <v>230943.75</v>
      </c>
      <c r="F34" s="36">
        <f t="shared" ca="1" si="3"/>
        <v>16177.766999999993</v>
      </c>
      <c r="G34" s="52">
        <f ca="1">(_xll.DBGET(#REF!,#REF!,#REF!,#REF!,#REF!,#REF!,#REF!,$M$1,#REF!,#REF!,$B34))/(G$8*1000)</f>
        <v>0.32092512652997796</v>
      </c>
      <c r="H34" s="37">
        <f ca="1">(_xll.DBGET(#REF!,#REF!,#REF!,#REF!,#REF!,#REF!,#REF!,$M$1,#REF!,#REF!,$B34))/(H$8*1000)</f>
        <v>0.27250000000000002</v>
      </c>
      <c r="I34" s="37">
        <f t="shared" ca="1" si="4"/>
        <v>-4.8425126529977935E-2</v>
      </c>
      <c r="J34" s="30"/>
      <c r="L34" s="176"/>
      <c r="M34" s="177"/>
      <c r="N34" s="177"/>
      <c r="O34" s="177"/>
      <c r="P34" s="177"/>
      <c r="Q34" s="178"/>
    </row>
    <row r="35" spans="1:17" s="210" customFormat="1" x14ac:dyDescent="0.2">
      <c r="A35" s="34" t="s">
        <v>101</v>
      </c>
      <c r="B35" s="35" t="str">
        <f ca="1">_xll.DE.NAME(#REF!,"DXMEAS_S","AllTons")</f>
        <v>AllTons</v>
      </c>
      <c r="C35" s="35"/>
      <c r="D35" s="48">
        <f ca="1">_xll.DBGET(#REF!,#REF!,#REF!,#REF!,#REF!,#REF!,#REF!,$M$1,#REF!,#REF!,$B35)</f>
        <v>-54149.006600000001</v>
      </c>
      <c r="E35" s="36">
        <f ca="1">_xll.DBGET(#REF!,#REF!,#REF!,#REF!,#REF!,#REF!,#REF!,$M$1,#REF!,#REF!,$B35)</f>
        <v>140515.5</v>
      </c>
      <c r="F35" s="36">
        <f t="shared" ca="1" si="3"/>
        <v>194664.50659999999</v>
      </c>
      <c r="G35" s="52">
        <f ca="1">(_xll.DBGET(#REF!,#REF!,#REF!,#REF!,#REF!,#REF!,#REF!,$M$1,#REF!,#REF!,$B35))/(G$8*1000)</f>
        <v>-8.0914940773360783E-2</v>
      </c>
      <c r="H35" s="37">
        <f ca="1">(_xll.DBGET(#REF!,#REF!,#REF!,#REF!,#REF!,#REF!,#REF!,$M$1,#REF!,#REF!,$B35))/(H$8*1000)</f>
        <v>0.1658</v>
      </c>
      <c r="I35" s="37">
        <f t="shared" ca="1" si="4"/>
        <v>0.24671494077336079</v>
      </c>
      <c r="J35" s="30"/>
      <c r="L35" s="176"/>
      <c r="M35" s="177"/>
      <c r="N35" s="177"/>
      <c r="O35" s="177"/>
      <c r="P35" s="177"/>
      <c r="Q35" s="178"/>
    </row>
    <row r="36" spans="1:17" s="210" customFormat="1" hidden="1" outlineLevel="1" x14ac:dyDescent="0.2">
      <c r="A36" s="34" t="s">
        <v>148</v>
      </c>
      <c r="B36" s="35" t="s">
        <v>153</v>
      </c>
      <c r="C36" s="35"/>
      <c r="D36" s="36">
        <f ca="1">_xll.DBGET(#REF!,#REF!,#REF!,#REF!,#REF!,#REF!,#REF!,$M$1,#REF!,#REF!,$B36)-_xll.DBGET(#REF!,#REF!,#REF!,#REF!,#REF!,#REF!,#REF!,$M$1,#REF!,#REF!,$B28)-_xll.DBGET(#REF!,#REF!,#REF!,#REF!,#REF!,#REF!,#REF!,$M$1,#REF!,#REF!,$B29)-D32-D31-D33-D30</f>
        <v>850482.89</v>
      </c>
      <c r="E36" s="36">
        <f ca="1">_xll.DBGET(#REF!,#REF!,#REF!,#REF!,#REF!,#REF!,#REF!,$M$1,#REF!,#REF!,$B36)-_xll.DBGET(#REF!,#REF!,#REF!,#REF!,#REF!,#REF!,#REF!,$M$1,#REF!,#REF!,$B28)-_xll.DBGET(#REF!,#REF!,#REF!,#REF!,#REF!,#REF!,#REF!,$M$1,#REF!,#REF!,$B29)-E32-E31-E33-E30</f>
        <v>0</v>
      </c>
      <c r="F36" s="36">
        <f ca="1">E36-D36</f>
        <v>-850482.89</v>
      </c>
      <c r="G36" s="52">
        <f ca="1">(_xll.DBGET(#REF!,#REF!,#REF!,#REF!,#REF!,#REF!,#REF!,$M$1,#REF!,#REF!,$B36)-_xll.DBGET(#REF!,#REF!,#REF!,#REF!,#REF!,#REF!,#REF!,$M$1,#REF!,#REF!,$B28)-_xll.DBGET(#REF!,#REF!,#REF!,#REF!,#REF!,#REF!,#REF!,$M$1,#REF!,#REF!,$B29))/(G$8*1000)-G32-G31-G33-G30</f>
        <v>1.270877842348205</v>
      </c>
      <c r="H36" s="37">
        <f ca="1">(_xll.DBGET(#REF!,#REF!,#REF!,#REF!,#REF!,#REF!,#REF!,$M$1,#REF!,#REF!,$B36)-_xll.DBGET(#REF!,#REF!,#REF!,#REF!,#REF!,#REF!,#REF!,$M$1,#REF!,#REF!,$B28)-_xll.DBGET(#REF!,#REF!,#REF!,#REF!,#REF!,#REF!,#REF!,$M$1,#REF!,#REF!,$B29))/(H$8*1000)-H32-H31-H33-H30</f>
        <v>0</v>
      </c>
      <c r="I36" s="37">
        <f ca="1">H36-G36</f>
        <v>-1.270877842348205</v>
      </c>
      <c r="J36" s="30"/>
      <c r="K36" s="175"/>
      <c r="L36" s="176"/>
      <c r="M36" s="177"/>
      <c r="N36" s="177"/>
      <c r="O36" s="177"/>
      <c r="P36" s="177"/>
      <c r="Q36" s="178"/>
    </row>
    <row r="37" spans="1:17" s="210" customFormat="1" collapsed="1" x14ac:dyDescent="0.2">
      <c r="A37" s="40" t="s">
        <v>106</v>
      </c>
      <c r="B37" s="35"/>
      <c r="C37" s="35"/>
      <c r="D37" s="51">
        <f ca="1">SUM(D22:D36)-D23</f>
        <v>18882290.676400002</v>
      </c>
      <c r="E37" s="43">
        <f ca="1">SUM(E22:E36)-E23</f>
        <v>22238811.3961</v>
      </c>
      <c r="F37" s="43">
        <f ca="1">E37-D37</f>
        <v>3356520.7196999975</v>
      </c>
      <c r="G37" s="55">
        <f ca="1">SUM(G22:G36)-G23</f>
        <v>28.215834928101689</v>
      </c>
      <c r="H37" s="44">
        <f ca="1">SUM(H22:H36)-H23</f>
        <v>26.240485423126835</v>
      </c>
      <c r="I37" s="44">
        <f ca="1">H37-G37</f>
        <v>-1.9753495049748544</v>
      </c>
      <c r="J37" s="30"/>
      <c r="L37" s="176"/>
      <c r="M37" s="177"/>
      <c r="N37" s="177"/>
      <c r="O37" s="177"/>
      <c r="P37" s="177"/>
      <c r="Q37" s="178"/>
    </row>
    <row r="38" spans="1:17" s="210" customFormat="1" ht="22.5" customHeight="1" x14ac:dyDescent="0.2">
      <c r="A38" s="40" t="s">
        <v>102</v>
      </c>
      <c r="B38" s="35" t="str">
        <f ca="1">_xll.DE.NAME(#REF!,"DXMEAS_S","Net FOB Port")</f>
        <v>Net FOB Port</v>
      </c>
      <c r="C38" s="35"/>
      <c r="D38" s="50">
        <f ca="1">_xll.DBGET(#REF!,#REF!,#REF!,#REF!,#REF!,#REF!,#REF!,$M$1,#REF!,#REF!,$B38)</f>
        <v>136062382.18360001</v>
      </c>
      <c r="E38" s="41">
        <f ca="1">_xll.DBGET(#REF!,#REF!,#REF!,#REF!,#REF!,#REF!,#REF!,$M$1,#REF!,#REF!,$B38)</f>
        <v>186702663.60389999</v>
      </c>
      <c r="F38" s="41">
        <f ca="1">D38-E38</f>
        <v>-50640281.420299977</v>
      </c>
      <c r="G38" s="54">
        <f ca="1">(_xll.DBGET(#REF!,#REF!,#REF!,#REF!,#REF!,#REF!,#REF!,$M$1,#REF!,#REF!,$B38))/(G$8*1000)</f>
        <v>203.31821924630424</v>
      </c>
      <c r="H38" s="42">
        <f ca="1">(_xll.DBGET(#REF!,#REF!,#REF!,#REF!,#REF!,#REF!,#REF!,$M$1,#REF!,#REF!,$B38))/(H$8*1000)</f>
        <v>220.29812814619467</v>
      </c>
      <c r="I38" s="42">
        <f ca="1">G38-H38</f>
        <v>-16.979908899890432</v>
      </c>
      <c r="J38" s="30"/>
      <c r="L38" s="182">
        <f ca="1">D38+D37-D20</f>
        <v>0</v>
      </c>
      <c r="M38" s="183">
        <f ca="1">E38+E37-E20</f>
        <v>0</v>
      </c>
      <c r="N38" s="183">
        <f ca="1">F38-F37-F20</f>
        <v>0</v>
      </c>
      <c r="O38" s="192">
        <f ca="1">G38+G37-G20</f>
        <v>0</v>
      </c>
      <c r="P38" s="192">
        <f ca="1">H38+H37-H20</f>
        <v>0</v>
      </c>
      <c r="Q38" s="191">
        <f ca="1">I38-I37-I20</f>
        <v>3.907985046680551E-14</v>
      </c>
    </row>
    <row r="39" spans="1:17" s="210" customFormat="1" ht="22.5" customHeight="1" x14ac:dyDescent="0.2">
      <c r="A39" s="34" t="s">
        <v>103</v>
      </c>
      <c r="B39" s="35" t="str">
        <f ca="1">_xll.DE.NAME(#REF!,"DXMEAS_S","INLAND")</f>
        <v>INLAND</v>
      </c>
      <c r="C39" s="35"/>
      <c r="D39" s="205">
        <f ca="1">_xll.DBGET(#REF!,#REF!,#REF!,#REF!,#REF!,#REF!,#REF!,$M$1,#REF!,#REF!,$B39)</f>
        <v>20889819.0825</v>
      </c>
      <c r="E39" s="36">
        <f ca="1">_xll.DBGET(#REF!,#REF!,#REF!,#REF!,#REF!,#REF!,#REF!,$M$1,#REF!,#REF!,$B39)</f>
        <v>26638963.239916999</v>
      </c>
      <c r="F39" s="36">
        <f ca="1">E39-D39</f>
        <v>5749144.1574169993</v>
      </c>
      <c r="G39" s="52">
        <f ca="1">(_xll.DBGET(#REF!,#REF!,#REF!,#REF!,#REF!,#REF!,#REF!,$M$1,#REF!,#REF!,$B39))/(G$8*1000)</f>
        <v>31.215687599090867</v>
      </c>
      <c r="H39" s="37">
        <f ca="1">(_xll.DBGET(#REF!,#REF!,#REF!,#REF!,#REF!,#REF!,#REF!,$M$1,#REF!,#REF!,$B39))/(H$8*1000)</f>
        <v>31.432405002851915</v>
      </c>
      <c r="I39" s="37">
        <f ca="1">H39-G39</f>
        <v>0.21671740376104864</v>
      </c>
      <c r="J39" s="30"/>
      <c r="L39" s="176"/>
      <c r="M39" s="177"/>
      <c r="N39" s="177"/>
      <c r="O39" s="177"/>
      <c r="P39" s="177"/>
      <c r="Q39" s="178"/>
    </row>
    <row r="40" spans="1:17" s="210" customFormat="1" x14ac:dyDescent="0.2">
      <c r="A40" s="34" t="s">
        <v>77</v>
      </c>
      <c r="B40" s="35" t="str">
        <f ca="1">_xll.DE.NAME(#REF!,"DXMEAS_S","TERMINAL")</f>
        <v>TERMINAL</v>
      </c>
      <c r="C40" s="35"/>
      <c r="D40" s="48">
        <f ca="1">_xll.DBGET(#REF!,#REF!,#REF!,#REF!,#REF!,#REF!,#REF!,$M$1,#REF!,#REF!,$B40)</f>
        <v>7453095.9551999997</v>
      </c>
      <c r="E40" s="36">
        <f ca="1">_xll.DBGET(#REF!,#REF!,#REF!,#REF!,#REF!,#REF!,#REF!,$M$1,#REF!,#REF!,$B40)</f>
        <v>10336374.888967</v>
      </c>
      <c r="F40" s="36">
        <f ca="1">E40-D40</f>
        <v>2883278.9337670002</v>
      </c>
      <c r="G40" s="52">
        <f ca="1">(_xll.DBGET(#REF!,#REF!,#REF!,#REF!,#REF!,#REF!,#REF!,$M$1,#REF!,#REF!,$B40))/(G$8*1000)</f>
        <v>11.137172326134287</v>
      </c>
      <c r="H40" s="37">
        <f ca="1">(_xll.DBGET(#REF!,#REF!,#REF!,#REF!,#REF!,#REF!,#REF!,$M$1,#REF!,#REF!,$B40))/(H$8*1000)</f>
        <v>12.196312553353392</v>
      </c>
      <c r="I40" s="37">
        <f ca="1">H40-G40</f>
        <v>1.0591402272191051</v>
      </c>
      <c r="J40" s="30"/>
      <c r="L40" s="176"/>
      <c r="M40" s="177"/>
      <c r="N40" s="177"/>
      <c r="O40" s="177"/>
      <c r="P40" s="177"/>
      <c r="Q40" s="178"/>
    </row>
    <row r="41" spans="1:17" s="210" customFormat="1" x14ac:dyDescent="0.2">
      <c r="A41" s="34" t="s">
        <v>104</v>
      </c>
      <c r="B41" s="35" t="str">
        <f ca="1">_xll.DE.NAME(#REF!,"DXMEAS_S","S&amp;A")</f>
        <v>S&amp;A</v>
      </c>
      <c r="C41" s="35"/>
      <c r="D41" s="48">
        <f ca="1">_xll.DBGET(#REF!,#REF!,#REF!,#REF!,#REF!,#REF!,#REF!,$M$1,#REF!,#REF!,$B41)</f>
        <v>3379209.3753999998</v>
      </c>
      <c r="E41" s="36">
        <f ca="1">_xll.DBGET(#REF!,#REF!,#REF!,#REF!,#REF!,#REF!,#REF!,$M$1,#REF!,#REF!,$B41)</f>
        <v>6337196.807</v>
      </c>
      <c r="F41" s="36">
        <f ca="1">E41-D41</f>
        <v>2957987.4316000002</v>
      </c>
      <c r="G41" s="52">
        <f ca="1">(_xll.DBGET(#REF!,#REF!,#REF!,#REF!,#REF!,#REF!,#REF!,$M$1,#REF!,#REF!,$B41))/(G$8*1000)</f>
        <v>5.0495575752866442</v>
      </c>
      <c r="H41" s="37">
        <f ca="1">(_xll.DBGET(#REF!,#REF!,#REF!,#REF!,#REF!,#REF!,#REF!,$M$1,#REF!,#REF!,$B41))/(H$8*1000)</f>
        <v>7.4775183563421832</v>
      </c>
      <c r="I41" s="37">
        <f ca="1">H41-G41</f>
        <v>2.427960781055539</v>
      </c>
      <c r="J41" s="30"/>
      <c r="L41" s="176"/>
      <c r="M41" s="177"/>
      <c r="N41" s="177"/>
      <c r="O41" s="177"/>
      <c r="P41" s="177"/>
      <c r="Q41" s="178"/>
    </row>
    <row r="42" spans="1:17" s="210" customFormat="1" hidden="1" outlineLevel="1" x14ac:dyDescent="0.2">
      <c r="A42" s="34" t="s">
        <v>154</v>
      </c>
      <c r="B42" s="35"/>
      <c r="C42" s="35"/>
      <c r="D42" s="48">
        <f ca="1">SUM(#REF!)</f>
        <v>9347411</v>
      </c>
      <c r="E42" s="36">
        <f ca="1">SUM(#REF!)</f>
        <v>10129974</v>
      </c>
      <c r="F42" s="36">
        <f ca="1">E42-D42</f>
        <v>782563</v>
      </c>
      <c r="G42" s="52">
        <f ca="1">D42/(G$8*1000)</f>
        <v>13.967850103629807</v>
      </c>
      <c r="H42" s="37">
        <f ca="1">E42/(H$8*1000)</f>
        <v>11.952771681415928</v>
      </c>
      <c r="I42" s="37">
        <f ca="1">H42-G42</f>
        <v>-2.0150784222138789</v>
      </c>
      <c r="J42" s="30"/>
      <c r="L42" s="176"/>
      <c r="M42" s="177"/>
      <c r="N42" s="177"/>
      <c r="O42" s="177"/>
      <c r="P42" s="177"/>
      <c r="Q42" s="178"/>
    </row>
    <row r="43" spans="1:17" s="210" customFormat="1" hidden="1" outlineLevel="1" x14ac:dyDescent="0.2">
      <c r="A43" s="34" t="s">
        <v>155</v>
      </c>
      <c r="B43" s="35"/>
      <c r="C43" s="35"/>
      <c r="D43" s="48">
        <f ca="1">D41-D42</f>
        <v>-5968201.6246000007</v>
      </c>
      <c r="E43" s="36">
        <f ca="1">E41-E42</f>
        <v>-3792777.193</v>
      </c>
      <c r="F43" s="36">
        <f ca="1">E43-D43</f>
        <v>2175424.4316000007</v>
      </c>
      <c r="G43" s="52">
        <f ca="1">D43/(G$8*1000)</f>
        <v>-8.918292528343164</v>
      </c>
      <c r="H43" s="37">
        <f ca="1">E43/(H$8*1000)</f>
        <v>-4.4752533250737461</v>
      </c>
      <c r="I43" s="37">
        <f ca="1">H43-G43</f>
        <v>4.4430392032694179</v>
      </c>
      <c r="J43" s="30"/>
      <c r="L43" s="176"/>
      <c r="M43" s="177"/>
      <c r="N43" s="177"/>
      <c r="O43" s="177"/>
      <c r="P43" s="177"/>
      <c r="Q43" s="178"/>
    </row>
    <row r="44" spans="1:17" s="210" customFormat="1" ht="15" customHeight="1" collapsed="1" x14ac:dyDescent="0.2">
      <c r="A44" s="45"/>
      <c r="B44" s="45"/>
      <c r="C44" s="45"/>
      <c r="D44" s="48"/>
      <c r="E44" s="36"/>
      <c r="F44" s="36"/>
      <c r="G44" s="52"/>
      <c r="H44" s="37"/>
      <c r="I44" s="37"/>
      <c r="J44" s="30"/>
      <c r="L44" s="176"/>
      <c r="M44" s="177"/>
      <c r="N44" s="177"/>
      <c r="O44" s="177"/>
      <c r="P44" s="177"/>
      <c r="Q44" s="178"/>
    </row>
    <row r="45" spans="1:17" ht="16" x14ac:dyDescent="0.2">
      <c r="A45" s="112" t="s">
        <v>78</v>
      </c>
      <c r="B45" s="113" t="str">
        <f ca="1">_xll.DE.NAME(#REF!,"DXMEAS_S","Netback ($/mt)")</f>
        <v>Netback ($/mt)</v>
      </c>
      <c r="C45" s="113"/>
      <c r="D45" s="114">
        <f ca="1">(_xll.DBGET(#REF!,#REF!,#REF!,#REF!,#REF!,#REF!,#REF!,$M$1,#REF!,#REF!,$B45)*_xll.DBGET(#REF!,#REF!,#REF!,#REF!,#REF!,#REF!,#REF!,$M$1,#REF!,#REF!,#REF!))</f>
        <v>104340257.77049838</v>
      </c>
      <c r="E45" s="115">
        <f ca="1">(_xll.DBGET(#REF!,#REF!,#REF!,#REF!,#REF!,#REF!,#REF!,$M$1,#REF!,#REF!,$B45)*_xll.DBGET(#REF!,#REF!,#REF!,#REF!,#REF!,#REF!,#REF!,$M$1,#REF!,#REF!,#REF!))</f>
        <v>143390128.66801837</v>
      </c>
      <c r="F45" s="115">
        <f ca="1">D45-E45</f>
        <v>-39049870.897519991</v>
      </c>
      <c r="G45" s="130">
        <f ca="1">D45/(G8*1000)</f>
        <v>155.91580174578999</v>
      </c>
      <c r="H45" s="116">
        <f ca="1">E45/(H8*1000)</f>
        <v>169.19189223365001</v>
      </c>
      <c r="I45" s="116">
        <f ca="1">G45-H45</f>
        <v>-13.276090487860017</v>
      </c>
      <c r="J45" s="29"/>
      <c r="L45" s="188">
        <f ca="1">D45+D41+D40+D39-D38</f>
        <v>-1.6093254089355469E-6</v>
      </c>
      <c r="M45" s="189">
        <f ca="1">E45+E41+E40+E39-E38</f>
        <v>2.4139881134033203E-6</v>
      </c>
      <c r="N45" s="189">
        <f ca="1">F45-F41-F40-F39-F38</f>
        <v>-4.0084123611450195E-6</v>
      </c>
      <c r="O45" s="189">
        <f ca="1">G45+G41+G40+G39-G38</f>
        <v>-2.4442670110147446E-12</v>
      </c>
      <c r="P45" s="189">
        <f ca="1">H45+H41+H40+H39-H38</f>
        <v>2.8137492336099967E-12</v>
      </c>
      <c r="Q45" s="190">
        <f ca="1">I45-I41-I40-I39-I38</f>
        <v>-5.2757798130187439E-12</v>
      </c>
    </row>
    <row r="46" spans="1:17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L46" s="185"/>
      <c r="M46" s="186"/>
      <c r="N46" s="186"/>
      <c r="O46" s="186"/>
      <c r="P46" s="186"/>
      <c r="Q46" s="187"/>
    </row>
    <row r="47" spans="1:17" x14ac:dyDescent="0.2">
      <c r="A47" s="206" t="s">
        <v>156</v>
      </c>
      <c r="G47" s="193"/>
    </row>
    <row r="48" spans="1:17" x14ac:dyDescent="0.2">
      <c r="G48" s="193"/>
    </row>
    <row r="50" spans="1:6" x14ac:dyDescent="0.2">
      <c r="A50" s="209" t="s">
        <v>168</v>
      </c>
      <c r="C50" s="206" t="s">
        <v>167</v>
      </c>
      <c r="D50" s="207">
        <f ca="1">(D23)/(1000*D6)</f>
        <v>26.535638746639687</v>
      </c>
      <c r="E50" s="207">
        <f ca="1">E23/(1000*E6)</f>
        <v>25.506896381238938</v>
      </c>
      <c r="F50" s="207">
        <f ca="1">E50-D50</f>
        <v>-1.028742365400749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D37"/>
  <sheetViews>
    <sheetView showGridLines="0" tabSelected="1" topLeftCell="A9" zoomScaleNormal="100" workbookViewId="0">
      <selection activeCell="B9" sqref="B1:B1048576"/>
    </sheetView>
  </sheetViews>
  <sheetFormatPr baseColWidth="10" defaultColWidth="8.83203125" defaultRowHeight="15" outlineLevelCol="1" x14ac:dyDescent="0.2"/>
  <cols>
    <col min="1" max="1" width="14" customWidth="1"/>
    <col min="2" max="2" width="4.5" style="206" customWidth="1" outlineLevel="1"/>
    <col min="3" max="3" width="9.5" customWidth="1"/>
    <col min="4" max="4" width="11.6640625" style="22" customWidth="1"/>
    <col min="5" max="5" width="14.6640625" style="22" customWidth="1"/>
    <col min="6" max="6" width="11.6640625" customWidth="1"/>
    <col min="7" max="7" width="14.6640625" customWidth="1"/>
    <col min="8" max="8" width="11.6640625" style="22" customWidth="1"/>
    <col min="9" max="9" width="14.6640625" style="22" customWidth="1"/>
    <col min="10" max="10" width="11.6640625" style="22" customWidth="1"/>
    <col min="11" max="11" width="14.6640625" style="22" customWidth="1"/>
    <col min="12" max="12" width="11.6640625" style="22" customWidth="1"/>
    <col min="13" max="13" width="14.6640625" style="22" customWidth="1"/>
    <col min="14" max="14" width="11.6640625" customWidth="1"/>
    <col min="15" max="15" width="14.6640625" customWidth="1"/>
    <col min="16" max="16" width="11.6640625" style="22" customWidth="1"/>
    <col min="17" max="17" width="14.6640625" style="22" customWidth="1"/>
    <col min="18" max="18" width="11.6640625" style="22" customWidth="1"/>
    <col min="19" max="19" width="14.6640625" style="22" customWidth="1"/>
    <col min="20" max="20" width="11.6640625" style="22" customWidth="1"/>
    <col min="21" max="21" width="14.6640625" style="22" customWidth="1"/>
    <col min="22" max="22" width="11.6640625" style="22" customWidth="1"/>
    <col min="23" max="23" width="14.6640625" style="22" customWidth="1"/>
    <col min="24" max="24" width="7.5" customWidth="1"/>
    <col min="26" max="26" width="16" bestFit="1" customWidth="1"/>
    <col min="28" max="28" width="16" bestFit="1" customWidth="1"/>
    <col min="29" max="29" width="13.83203125" customWidth="1"/>
    <col min="30" max="30" width="16" bestFit="1" customWidth="1"/>
  </cols>
  <sheetData>
    <row r="1" spans="1:30" ht="27" x14ac:dyDescent="0.45">
      <c r="A1" s="217" t="s">
        <v>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</row>
    <row r="2" spans="1:30" s="8" customFormat="1" ht="37.5" customHeight="1" x14ac:dyDescent="0.35">
      <c r="A2" s="117"/>
      <c r="B2" s="121"/>
      <c r="C2" s="117"/>
      <c r="D2" s="221" t="s">
        <v>174</v>
      </c>
      <c r="E2" s="221"/>
      <c r="F2" s="221" t="s">
        <v>175</v>
      </c>
      <c r="G2" s="221"/>
      <c r="H2" s="221" t="s">
        <v>176</v>
      </c>
      <c r="I2" s="221"/>
      <c r="J2" s="221" t="s">
        <v>177</v>
      </c>
      <c r="K2" s="221"/>
      <c r="L2" s="221" t="s">
        <v>178</v>
      </c>
      <c r="M2" s="221"/>
      <c r="N2" s="221" t="s">
        <v>179</v>
      </c>
      <c r="O2" s="221"/>
      <c r="P2" s="221" t="s">
        <v>180</v>
      </c>
      <c r="Q2" s="221"/>
      <c r="R2" s="221" t="s">
        <v>181</v>
      </c>
      <c r="S2" s="221"/>
      <c r="T2" s="221" t="s">
        <v>182</v>
      </c>
      <c r="U2" s="221"/>
      <c r="V2" s="221" t="s">
        <v>183</v>
      </c>
      <c r="W2" s="221"/>
    </row>
    <row r="3" spans="1:30" ht="18" x14ac:dyDescent="0.35">
      <c r="A3" s="118"/>
      <c r="B3" s="122"/>
      <c r="C3" s="118"/>
      <c r="D3" s="120" t="s">
        <v>0</v>
      </c>
      <c r="E3" s="119" t="s">
        <v>61</v>
      </c>
      <c r="F3" s="120" t="s">
        <v>0</v>
      </c>
      <c r="G3" s="119" t="s">
        <v>61</v>
      </c>
      <c r="H3" s="120" t="s">
        <v>0</v>
      </c>
      <c r="I3" s="119" t="s">
        <v>61</v>
      </c>
      <c r="J3" s="120" t="s">
        <v>0</v>
      </c>
      <c r="K3" s="119" t="s">
        <v>61</v>
      </c>
      <c r="L3" s="120" t="s">
        <v>0</v>
      </c>
      <c r="M3" s="119" t="s">
        <v>61</v>
      </c>
      <c r="N3" s="120" t="s">
        <v>0</v>
      </c>
      <c r="O3" s="119" t="s">
        <v>61</v>
      </c>
      <c r="P3" s="120" t="s">
        <v>0</v>
      </c>
      <c r="Q3" s="119" t="s">
        <v>61</v>
      </c>
      <c r="R3" s="120" t="s">
        <v>0</v>
      </c>
      <c r="S3" s="119" t="s">
        <v>61</v>
      </c>
      <c r="T3" s="120" t="s">
        <v>0</v>
      </c>
      <c r="U3" s="119" t="s">
        <v>61</v>
      </c>
      <c r="V3" s="120" t="s">
        <v>0</v>
      </c>
      <c r="W3" s="119" t="s">
        <v>61</v>
      </c>
      <c r="Y3" s="222"/>
      <c r="Z3" s="222"/>
      <c r="AA3" s="222"/>
      <c r="AB3" s="222"/>
      <c r="AC3" s="222"/>
      <c r="AD3" s="222"/>
    </row>
    <row r="4" spans="1:30" s="10" customFormat="1" x14ac:dyDescent="0.2">
      <c r="A4" s="9" t="s">
        <v>64</v>
      </c>
      <c r="B4" s="228" t="s">
        <v>65</v>
      </c>
      <c r="C4" s="2" t="s">
        <v>7</v>
      </c>
      <c r="D4" s="46">
        <v>4987416.6900000004</v>
      </c>
      <c r="E4" s="5">
        <v>164.94849644486001</v>
      </c>
      <c r="F4" s="46">
        <v>1222050.68</v>
      </c>
      <c r="G4" s="5">
        <v>159.59331776193</v>
      </c>
      <c r="H4" s="46">
        <v>1037054</v>
      </c>
      <c r="I4" s="5">
        <v>154.43883398289</v>
      </c>
      <c r="J4" s="46">
        <v>1168943</v>
      </c>
      <c r="K4" s="5">
        <v>148.70254549398001</v>
      </c>
      <c r="L4" s="46">
        <v>1113721</v>
      </c>
      <c r="M4" s="5">
        <v>156.37791915974</v>
      </c>
      <c r="N4" s="46">
        <v>2467953.63</v>
      </c>
      <c r="O4" s="5">
        <v>175.66585436174</v>
      </c>
      <c r="P4" s="46">
        <v>3741513.77</v>
      </c>
      <c r="Q4" s="5">
        <v>156.13007451656</v>
      </c>
      <c r="R4" s="46">
        <v>3319718</v>
      </c>
      <c r="S4" s="5">
        <v>153.06950249363001</v>
      </c>
      <c r="T4" s="46">
        <v>2912236.01</v>
      </c>
      <c r="U4" s="5">
        <v>150.78953428349001</v>
      </c>
      <c r="V4" s="46">
        <v>12441421.41</v>
      </c>
      <c r="W4" s="5">
        <v>157.93856957736</v>
      </c>
      <c r="Z4" s="22"/>
      <c r="AB4" s="22"/>
    </row>
    <row r="5" spans="1:30" x14ac:dyDescent="0.2">
      <c r="A5" s="15" t="s">
        <v>1</v>
      </c>
      <c r="B5" s="229" t="s">
        <v>6</v>
      </c>
      <c r="C5" s="19" t="s">
        <v>7</v>
      </c>
      <c r="D5" s="47">
        <v>3168768</v>
      </c>
      <c r="E5" s="7">
        <v>162.6041358041</v>
      </c>
      <c r="F5" s="47">
        <v>678519</v>
      </c>
      <c r="G5" s="7">
        <v>162.42463608121</v>
      </c>
      <c r="H5" s="47">
        <v>579723</v>
      </c>
      <c r="I5" s="7">
        <v>162.23991423014999</v>
      </c>
      <c r="J5" s="47">
        <v>666885</v>
      </c>
      <c r="K5" s="7">
        <v>154.61244444606999</v>
      </c>
      <c r="L5" s="47">
        <v>688436</v>
      </c>
      <c r="M5" s="7">
        <v>159.68655430091999</v>
      </c>
      <c r="N5" s="47">
        <v>1696337</v>
      </c>
      <c r="O5" s="7">
        <v>173.71226386909001</v>
      </c>
      <c r="P5" s="47">
        <v>2150950</v>
      </c>
      <c r="Q5" s="7">
        <v>153.78713744996</v>
      </c>
      <c r="R5" s="47">
        <v>1935044</v>
      </c>
      <c r="S5" s="7">
        <v>158.70280081919</v>
      </c>
      <c r="T5" s="47">
        <v>1862036</v>
      </c>
      <c r="U5" s="7">
        <v>148.51894811366</v>
      </c>
      <c r="V5" s="47">
        <v>7644367</v>
      </c>
      <c r="W5" s="7">
        <v>158.16973654340001</v>
      </c>
    </row>
    <row r="6" spans="1:30" x14ac:dyDescent="0.2">
      <c r="A6" s="56"/>
      <c r="B6" s="230" t="s">
        <v>6</v>
      </c>
      <c r="C6" s="61" t="s">
        <v>8</v>
      </c>
      <c r="D6" s="65">
        <v>2191769</v>
      </c>
      <c r="E6" s="63">
        <v>160.63125865614001</v>
      </c>
      <c r="F6" s="65">
        <v>519723</v>
      </c>
      <c r="G6" s="63">
        <v>157.20060913431999</v>
      </c>
      <c r="H6" s="65">
        <v>415139</v>
      </c>
      <c r="I6" s="63">
        <v>151.72310445310001</v>
      </c>
      <c r="J6" s="65">
        <v>545985</v>
      </c>
      <c r="K6" s="63">
        <v>152.37123251189999</v>
      </c>
      <c r="L6" s="65">
        <v>448550</v>
      </c>
      <c r="M6" s="63">
        <v>150.03067284438001</v>
      </c>
      <c r="N6" s="65">
        <v>1161229</v>
      </c>
      <c r="O6" s="63">
        <v>169.85402218529001</v>
      </c>
      <c r="P6" s="65">
        <v>1550263</v>
      </c>
      <c r="Q6" s="63">
        <v>152.57280152233</v>
      </c>
      <c r="R6" s="65">
        <v>1409674</v>
      </c>
      <c r="S6" s="63">
        <v>151.4356110327</v>
      </c>
      <c r="T6" s="65">
        <v>1261000</v>
      </c>
      <c r="U6" s="63">
        <v>142.29411737672999</v>
      </c>
      <c r="V6" s="65">
        <v>5382166</v>
      </c>
      <c r="W6" s="63">
        <v>153.59524602057999</v>
      </c>
    </row>
    <row r="7" spans="1:30" x14ac:dyDescent="0.2">
      <c r="A7" s="58"/>
      <c r="B7" s="231" t="s">
        <v>6</v>
      </c>
      <c r="C7" s="62" t="s">
        <v>9</v>
      </c>
      <c r="D7" s="66">
        <v>976999</v>
      </c>
      <c r="E7" s="64">
        <v>167.03002669419001</v>
      </c>
      <c r="F7" s="66">
        <v>158796</v>
      </c>
      <c r="G7" s="64">
        <v>179.52233978231999</v>
      </c>
      <c r="H7" s="66">
        <v>164584</v>
      </c>
      <c r="I7" s="64">
        <v>188.76702436259001</v>
      </c>
      <c r="J7" s="66">
        <v>120900</v>
      </c>
      <c r="K7" s="64">
        <v>164.73376866339001</v>
      </c>
      <c r="L7" s="66">
        <v>239886</v>
      </c>
      <c r="M7" s="64">
        <v>177.7415705475</v>
      </c>
      <c r="N7" s="66">
        <v>535108</v>
      </c>
      <c r="O7" s="64">
        <v>182.08497018676999</v>
      </c>
      <c r="P7" s="66">
        <v>600687</v>
      </c>
      <c r="Q7" s="64">
        <v>156.92111580836001</v>
      </c>
      <c r="R7" s="66">
        <v>525370</v>
      </c>
      <c r="S7" s="64">
        <v>178.20214127463001</v>
      </c>
      <c r="T7" s="66">
        <v>601036</v>
      </c>
      <c r="U7" s="64">
        <v>161.57891716589</v>
      </c>
      <c r="V7" s="66">
        <v>2262201</v>
      </c>
      <c r="W7" s="64">
        <v>169.05323777039999</v>
      </c>
    </row>
    <row r="8" spans="1:30" x14ac:dyDescent="0.2">
      <c r="A8" s="15" t="s">
        <v>2</v>
      </c>
      <c r="B8" s="229" t="s">
        <v>10</v>
      </c>
      <c r="C8" s="19" t="s">
        <v>7</v>
      </c>
      <c r="D8" s="67">
        <v>1430940</v>
      </c>
      <c r="E8" s="7">
        <v>161.30898940598999</v>
      </c>
      <c r="F8" s="67">
        <v>488144</v>
      </c>
      <c r="G8" s="7">
        <v>152.20728086739999</v>
      </c>
      <c r="H8" s="67">
        <v>383021</v>
      </c>
      <c r="I8" s="7">
        <v>137.23264568463</v>
      </c>
      <c r="J8" s="67">
        <v>433558</v>
      </c>
      <c r="K8" s="7">
        <v>137.76394005399999</v>
      </c>
      <c r="L8" s="67">
        <v>329035</v>
      </c>
      <c r="M8" s="7">
        <v>145.56930668426</v>
      </c>
      <c r="N8" s="67">
        <v>601055</v>
      </c>
      <c r="O8" s="7">
        <v>168.95002965917999</v>
      </c>
      <c r="P8" s="67">
        <v>1318029</v>
      </c>
      <c r="Q8" s="7">
        <v>154.45357889358999</v>
      </c>
      <c r="R8" s="67">
        <v>1145614</v>
      </c>
      <c r="S8" s="7">
        <v>139.82810993018001</v>
      </c>
      <c r="T8" s="67">
        <v>768200.01</v>
      </c>
      <c r="U8" s="7">
        <v>151.49758996726999</v>
      </c>
      <c r="V8" s="67">
        <v>3832898.01</v>
      </c>
      <c r="W8" s="7">
        <v>151.76298590573001</v>
      </c>
    </row>
    <row r="9" spans="1:30" x14ac:dyDescent="0.2">
      <c r="A9" s="56"/>
      <c r="B9" s="230" t="s">
        <v>10</v>
      </c>
      <c r="C9" s="61" t="s">
        <v>8</v>
      </c>
      <c r="D9" s="65">
        <v>104717</v>
      </c>
      <c r="E9" s="63">
        <v>154.47773012405</v>
      </c>
      <c r="F9" s="65">
        <v>17152</v>
      </c>
      <c r="G9" s="63">
        <v>134.35669324489001</v>
      </c>
      <c r="H9" s="65">
        <v>28138</v>
      </c>
      <c r="I9" s="63">
        <v>127.53931871553</v>
      </c>
      <c r="J9" s="65">
        <v>10100</v>
      </c>
      <c r="K9" s="63">
        <v>116.00430367977</v>
      </c>
      <c r="L9" s="65">
        <v>19900</v>
      </c>
      <c r="M9" s="63">
        <v>156.97421785693001</v>
      </c>
      <c r="N9" s="65">
        <v>58791</v>
      </c>
      <c r="O9" s="63">
        <v>165.93671885493001</v>
      </c>
      <c r="P9" s="65">
        <v>63078</v>
      </c>
      <c r="Q9" s="63">
        <v>138.32627587648</v>
      </c>
      <c r="R9" s="65">
        <v>58138</v>
      </c>
      <c r="S9" s="63">
        <v>135.61064626468999</v>
      </c>
      <c r="T9" s="65">
        <v>59500</v>
      </c>
      <c r="U9" s="63">
        <v>142.25546542933</v>
      </c>
      <c r="V9" s="65">
        <v>239507</v>
      </c>
      <c r="W9" s="63">
        <v>145.42064496451999</v>
      </c>
    </row>
    <row r="10" spans="1:30" x14ac:dyDescent="0.2">
      <c r="A10" s="58"/>
      <c r="B10" s="231" t="s">
        <v>10</v>
      </c>
      <c r="C10" s="62" t="s">
        <v>9</v>
      </c>
      <c r="D10" s="66">
        <v>1326223</v>
      </c>
      <c r="E10" s="64">
        <v>161.84837756184001</v>
      </c>
      <c r="F10" s="66">
        <v>470992</v>
      </c>
      <c r="G10" s="64">
        <v>152.85734133317999</v>
      </c>
      <c r="H10" s="66">
        <v>354883</v>
      </c>
      <c r="I10" s="64">
        <v>138.00121119567001</v>
      </c>
      <c r="J10" s="66">
        <v>423458</v>
      </c>
      <c r="K10" s="64">
        <v>138.28293444631001</v>
      </c>
      <c r="L10" s="66">
        <v>309135</v>
      </c>
      <c r="M10" s="64">
        <v>144.83513639511</v>
      </c>
      <c r="N10" s="66">
        <v>542264</v>
      </c>
      <c r="O10" s="64">
        <v>169.27672579886999</v>
      </c>
      <c r="P10" s="66">
        <v>1254951</v>
      </c>
      <c r="Q10" s="64">
        <v>155.26419063835999</v>
      </c>
      <c r="R10" s="66">
        <v>1087476</v>
      </c>
      <c r="S10" s="64">
        <v>140.05358148319999</v>
      </c>
      <c r="T10" s="66">
        <v>708700.01</v>
      </c>
      <c r="U10" s="64">
        <v>152.27352675610999</v>
      </c>
      <c r="V10" s="66">
        <v>3593391.01</v>
      </c>
      <c r="W10" s="64">
        <v>152.18571614787999</v>
      </c>
    </row>
    <row r="11" spans="1:30" x14ac:dyDescent="0.2">
      <c r="A11" s="17" t="s">
        <v>3</v>
      </c>
      <c r="B11" s="232" t="s">
        <v>11</v>
      </c>
      <c r="C11" s="20" t="s">
        <v>7</v>
      </c>
      <c r="D11" s="67">
        <v>206861</v>
      </c>
      <c r="E11" s="7">
        <v>210.69613531502</v>
      </c>
      <c r="F11" s="67">
        <v>34844</v>
      </c>
      <c r="G11" s="7">
        <v>191.31866531310999</v>
      </c>
      <c r="H11" s="67">
        <v>39825</v>
      </c>
      <c r="I11" s="7">
        <v>176.98486348957999</v>
      </c>
      <c r="J11" s="67">
        <v>14500</v>
      </c>
      <c r="K11" s="7">
        <v>154.18857351776001</v>
      </c>
      <c r="L11" s="67">
        <v>53250</v>
      </c>
      <c r="M11" s="7">
        <v>180.25085412806001</v>
      </c>
      <c r="N11" s="67">
        <v>114452</v>
      </c>
      <c r="O11" s="7">
        <v>217.96368717454001</v>
      </c>
      <c r="P11" s="67">
        <v>127253</v>
      </c>
      <c r="Q11" s="7">
        <v>198.85378652818</v>
      </c>
      <c r="R11" s="67">
        <v>107575</v>
      </c>
      <c r="S11" s="7">
        <v>175.52883557331</v>
      </c>
      <c r="T11" s="67">
        <v>105500</v>
      </c>
      <c r="U11" s="7">
        <v>188.04209125897</v>
      </c>
      <c r="V11" s="67">
        <v>454780</v>
      </c>
      <c r="W11" s="7">
        <v>195.63761804870001</v>
      </c>
    </row>
    <row r="12" spans="1:30" s="22" customFormat="1" x14ac:dyDescent="0.2">
      <c r="A12" s="56"/>
      <c r="B12" s="230" t="s">
        <v>11</v>
      </c>
      <c r="C12" s="61" t="s">
        <v>8</v>
      </c>
      <c r="D12" s="168">
        <v>14922</v>
      </c>
      <c r="E12" s="164">
        <v>188.8234203726</v>
      </c>
      <c r="F12" s="168">
        <v>996</v>
      </c>
      <c r="G12" s="164">
        <v>218.25472912698001</v>
      </c>
      <c r="H12" s="168">
        <v>0</v>
      </c>
      <c r="I12" s="164">
        <v>0</v>
      </c>
      <c r="J12" s="168">
        <v>0</v>
      </c>
      <c r="K12" s="164">
        <v>0</v>
      </c>
      <c r="L12" s="168">
        <v>0</v>
      </c>
      <c r="M12" s="164">
        <v>0</v>
      </c>
      <c r="N12" s="168">
        <v>0</v>
      </c>
      <c r="O12" s="164">
        <v>0</v>
      </c>
      <c r="P12" s="168">
        <v>15918</v>
      </c>
      <c r="Q12" s="164">
        <v>190.96952814490001</v>
      </c>
      <c r="R12" s="168">
        <v>0</v>
      </c>
      <c r="S12" s="164">
        <v>0</v>
      </c>
      <c r="T12" s="168">
        <v>0</v>
      </c>
      <c r="U12" s="164">
        <v>0</v>
      </c>
      <c r="V12" s="168">
        <v>15918</v>
      </c>
      <c r="W12" s="164">
        <v>190.66495721890001</v>
      </c>
    </row>
    <row r="13" spans="1:30" s="22" customFormat="1" x14ac:dyDescent="0.2">
      <c r="A13" s="56"/>
      <c r="B13" s="230" t="s">
        <v>11</v>
      </c>
      <c r="C13" s="61" t="s">
        <v>9</v>
      </c>
      <c r="D13" s="168">
        <v>191939</v>
      </c>
      <c r="E13" s="164">
        <v>212.39659562986</v>
      </c>
      <c r="F13" s="168">
        <v>33848</v>
      </c>
      <c r="G13" s="164">
        <v>190.52605365042001</v>
      </c>
      <c r="H13" s="168">
        <v>39825</v>
      </c>
      <c r="I13" s="164">
        <v>176.98486348957999</v>
      </c>
      <c r="J13" s="168">
        <v>14500</v>
      </c>
      <c r="K13" s="164">
        <v>154.18857351776001</v>
      </c>
      <c r="L13" s="168">
        <v>53250</v>
      </c>
      <c r="M13" s="164">
        <v>180.25085412806001</v>
      </c>
      <c r="N13" s="168">
        <v>114452</v>
      </c>
      <c r="O13" s="164">
        <v>218.00604694108</v>
      </c>
      <c r="P13" s="168">
        <v>111335</v>
      </c>
      <c r="Q13" s="164">
        <v>199.98102975757001</v>
      </c>
      <c r="R13" s="168">
        <v>107575</v>
      </c>
      <c r="S13" s="164">
        <v>175.52883557331</v>
      </c>
      <c r="T13" s="168">
        <v>105500</v>
      </c>
      <c r="U13" s="164">
        <v>188.04209125897</v>
      </c>
      <c r="V13" s="168">
        <v>438862</v>
      </c>
      <c r="W13" s="164">
        <v>195.81798184208</v>
      </c>
    </row>
    <row r="14" spans="1:30" x14ac:dyDescent="0.2">
      <c r="A14" s="15" t="s">
        <v>4</v>
      </c>
      <c r="B14" s="229" t="s">
        <v>12</v>
      </c>
      <c r="C14" s="19" t="s">
        <v>7</v>
      </c>
      <c r="D14" s="167">
        <v>176447.69</v>
      </c>
      <c r="E14" s="166">
        <v>183.66095619443999</v>
      </c>
      <c r="F14" s="167">
        <v>15593.68</v>
      </c>
      <c r="G14" s="166">
        <v>205.00412040427</v>
      </c>
      <c r="H14" s="167">
        <v>34485</v>
      </c>
      <c r="I14" s="166">
        <v>188.36576392045001</v>
      </c>
      <c r="J14" s="167">
        <v>49300</v>
      </c>
      <c r="K14" s="166">
        <v>165.88605697584001</v>
      </c>
      <c r="L14" s="167">
        <v>43000</v>
      </c>
      <c r="M14" s="166">
        <v>156.54988373553999</v>
      </c>
      <c r="N14" s="167">
        <v>56109.61</v>
      </c>
      <c r="O14" s="166">
        <v>220.37449400734999</v>
      </c>
      <c r="P14" s="167">
        <v>135931.76</v>
      </c>
      <c r="Q14" s="166">
        <v>170.95484677947999</v>
      </c>
      <c r="R14" s="167">
        <v>126785</v>
      </c>
      <c r="S14" s="166">
        <v>168.83401804893001</v>
      </c>
      <c r="T14" s="167">
        <v>176500</v>
      </c>
      <c r="U14" s="166">
        <v>149.39486031774001</v>
      </c>
      <c r="V14" s="167">
        <v>495326.37</v>
      </c>
      <c r="W14" s="166">
        <v>168.32767038100999</v>
      </c>
    </row>
    <row r="15" spans="1:30" s="22" customFormat="1" x14ac:dyDescent="0.2">
      <c r="A15" s="56"/>
      <c r="B15" s="230" t="s">
        <v>12</v>
      </c>
      <c r="C15" s="61" t="s">
        <v>8</v>
      </c>
      <c r="D15" s="168">
        <v>40017</v>
      </c>
      <c r="E15" s="164">
        <v>146.83986152135</v>
      </c>
      <c r="F15" s="168">
        <v>0</v>
      </c>
      <c r="G15" s="164">
        <v>0</v>
      </c>
      <c r="H15" s="168">
        <v>0</v>
      </c>
      <c r="I15" s="164">
        <v>0</v>
      </c>
      <c r="J15" s="168">
        <v>25300</v>
      </c>
      <c r="K15" s="164">
        <v>147.19985102947001</v>
      </c>
      <c r="L15" s="168">
        <v>0</v>
      </c>
      <c r="M15" s="164">
        <v>0</v>
      </c>
      <c r="N15" s="168">
        <v>0</v>
      </c>
      <c r="O15" s="164">
        <v>0</v>
      </c>
      <c r="P15" s="168">
        <v>40017</v>
      </c>
      <c r="Q15" s="164">
        <v>147.61057371867</v>
      </c>
      <c r="R15" s="168">
        <v>25300</v>
      </c>
      <c r="S15" s="164">
        <v>147.19985102947001</v>
      </c>
      <c r="T15" s="168">
        <v>16000</v>
      </c>
      <c r="U15" s="164">
        <v>118.91123332303</v>
      </c>
      <c r="V15" s="168">
        <v>81317</v>
      </c>
      <c r="W15" s="164">
        <v>141.45660443343999</v>
      </c>
    </row>
    <row r="16" spans="1:30" s="22" customFormat="1" x14ac:dyDescent="0.2">
      <c r="A16" s="56"/>
      <c r="B16" s="230" t="s">
        <v>12</v>
      </c>
      <c r="C16" s="61" t="s">
        <v>9</v>
      </c>
      <c r="D16" s="168">
        <v>136430.69</v>
      </c>
      <c r="E16" s="164">
        <v>194.46109028108</v>
      </c>
      <c r="F16" s="168">
        <v>15593.68</v>
      </c>
      <c r="G16" s="164">
        <v>205.00412040427</v>
      </c>
      <c r="H16" s="168">
        <v>34485</v>
      </c>
      <c r="I16" s="164">
        <v>188.36576392045001</v>
      </c>
      <c r="J16" s="168">
        <v>24000</v>
      </c>
      <c r="K16" s="164">
        <v>185.58443241098001</v>
      </c>
      <c r="L16" s="168">
        <v>43000</v>
      </c>
      <c r="M16" s="164">
        <v>156.54988373553999</v>
      </c>
      <c r="N16" s="168">
        <v>56109.61</v>
      </c>
      <c r="O16" s="164">
        <v>220.92416081131</v>
      </c>
      <c r="P16" s="168">
        <v>95914.76</v>
      </c>
      <c r="Q16" s="164">
        <v>180.69440902282</v>
      </c>
      <c r="R16" s="168">
        <v>101485</v>
      </c>
      <c r="S16" s="164">
        <v>174.22737101333999</v>
      </c>
      <c r="T16" s="168">
        <v>160500</v>
      </c>
      <c r="U16" s="164">
        <v>152.4337265602</v>
      </c>
      <c r="V16" s="168">
        <v>414009.37</v>
      </c>
      <c r="W16" s="164">
        <v>173.60550858465999</v>
      </c>
    </row>
    <row r="17" spans="1:23" x14ac:dyDescent="0.2">
      <c r="A17" s="15" t="s">
        <v>5</v>
      </c>
      <c r="B17" s="229" t="s">
        <v>13</v>
      </c>
      <c r="C17" s="19" t="s">
        <v>7</v>
      </c>
      <c r="D17" s="167">
        <v>4400</v>
      </c>
      <c r="E17" s="166">
        <v>135.28699809091</v>
      </c>
      <c r="F17" s="167">
        <v>4950</v>
      </c>
      <c r="G17" s="166">
        <v>133.48963779112</v>
      </c>
      <c r="H17" s="167">
        <v>0</v>
      </c>
      <c r="I17" s="166">
        <v>0</v>
      </c>
      <c r="J17" s="167">
        <v>4700</v>
      </c>
      <c r="K17" s="166">
        <v>122.02220768187</v>
      </c>
      <c r="L17" s="167">
        <v>0</v>
      </c>
      <c r="M17" s="166">
        <v>0</v>
      </c>
      <c r="N17" s="167">
        <v>0</v>
      </c>
      <c r="O17" s="166">
        <v>0</v>
      </c>
      <c r="P17" s="167">
        <v>9350</v>
      </c>
      <c r="Q17" s="166">
        <v>134.33545440277999</v>
      </c>
      <c r="R17" s="167">
        <v>4700</v>
      </c>
      <c r="S17" s="166">
        <v>122.02220768187</v>
      </c>
      <c r="T17" s="167">
        <v>0</v>
      </c>
      <c r="U17" s="166">
        <v>0</v>
      </c>
      <c r="V17" s="167">
        <v>14050</v>
      </c>
      <c r="W17" s="166">
        <v>130.21643236803001</v>
      </c>
    </row>
    <row r="18" spans="1:23" s="22" customFormat="1" x14ac:dyDescent="0.2">
      <c r="A18" s="56"/>
      <c r="B18" s="230" t="s">
        <v>13</v>
      </c>
      <c r="C18" s="61" t="s">
        <v>8</v>
      </c>
      <c r="D18" s="168">
        <v>0</v>
      </c>
      <c r="E18" s="164">
        <v>0</v>
      </c>
      <c r="F18" s="168">
        <v>0</v>
      </c>
      <c r="G18" s="164">
        <v>0</v>
      </c>
      <c r="H18" s="168">
        <v>0</v>
      </c>
      <c r="I18" s="164">
        <v>0</v>
      </c>
      <c r="J18" s="168">
        <v>0</v>
      </c>
      <c r="K18" s="164">
        <v>0</v>
      </c>
      <c r="L18" s="168">
        <v>0</v>
      </c>
      <c r="M18" s="164">
        <v>0</v>
      </c>
      <c r="N18" s="168">
        <v>0</v>
      </c>
      <c r="O18" s="164">
        <v>0</v>
      </c>
      <c r="P18" s="168">
        <v>0</v>
      </c>
      <c r="Q18" s="164">
        <v>0</v>
      </c>
      <c r="R18" s="168">
        <v>0</v>
      </c>
      <c r="S18" s="164">
        <v>0</v>
      </c>
      <c r="T18" s="168">
        <v>0</v>
      </c>
      <c r="U18" s="164">
        <v>0</v>
      </c>
      <c r="V18" s="168">
        <v>0</v>
      </c>
      <c r="W18" s="164">
        <v>0</v>
      </c>
    </row>
    <row r="19" spans="1:23" s="22" customFormat="1" x14ac:dyDescent="0.2">
      <c r="A19" s="56"/>
      <c r="B19" s="230" t="s">
        <v>13</v>
      </c>
      <c r="C19" s="61" t="s">
        <v>9</v>
      </c>
      <c r="D19" s="168">
        <v>4400</v>
      </c>
      <c r="E19" s="164">
        <v>135.30398218182</v>
      </c>
      <c r="F19" s="168">
        <v>4950</v>
      </c>
      <c r="G19" s="164">
        <v>133.48963779112</v>
      </c>
      <c r="H19" s="168">
        <v>0</v>
      </c>
      <c r="I19" s="164">
        <v>0</v>
      </c>
      <c r="J19" s="168">
        <v>4700</v>
      </c>
      <c r="K19" s="164">
        <v>122.02220768187</v>
      </c>
      <c r="L19" s="168">
        <v>0</v>
      </c>
      <c r="M19" s="164">
        <v>0</v>
      </c>
      <c r="N19" s="168">
        <v>0</v>
      </c>
      <c r="O19" s="164">
        <v>0</v>
      </c>
      <c r="P19" s="168">
        <v>9350</v>
      </c>
      <c r="Q19" s="164">
        <v>134.34344691614999</v>
      </c>
      <c r="R19" s="168">
        <v>4700</v>
      </c>
      <c r="S19" s="164">
        <v>122.02220768187</v>
      </c>
      <c r="T19" s="168">
        <v>0</v>
      </c>
      <c r="U19" s="164">
        <v>0</v>
      </c>
      <c r="V19" s="168">
        <v>14050</v>
      </c>
      <c r="W19" s="164">
        <v>130.22175122924</v>
      </c>
    </row>
    <row r="20" spans="1:23" ht="7.5" customHeight="1" x14ac:dyDescent="0.2"/>
    <row r="21" spans="1:23" s="22" customFormat="1" ht="19" x14ac:dyDescent="0.35">
      <c r="A21" s="223" t="s">
        <v>71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</row>
    <row r="22" spans="1:23" x14ac:dyDescent="0.2">
      <c r="A22" s="9" t="s">
        <v>64</v>
      </c>
      <c r="B22" s="228" t="s">
        <v>65</v>
      </c>
      <c r="C22" s="2" t="s">
        <v>7</v>
      </c>
      <c r="D22" s="68">
        <v>1</v>
      </c>
      <c r="E22" s="23">
        <v>0.99999758206809497</v>
      </c>
      <c r="F22" s="68">
        <v>1</v>
      </c>
      <c r="G22" s="23">
        <v>1.0000000000000089</v>
      </c>
      <c r="H22" s="68">
        <v>1</v>
      </c>
      <c r="I22" s="23">
        <v>0.9999999999999698</v>
      </c>
      <c r="J22" s="68">
        <v>0.99999999999999989</v>
      </c>
      <c r="K22" s="23">
        <v>1.0000000000000073</v>
      </c>
      <c r="L22" s="68">
        <v>1</v>
      </c>
      <c r="M22" s="23">
        <v>1.000000000000036</v>
      </c>
      <c r="N22" s="68">
        <v>0.99999999189611999</v>
      </c>
      <c r="O22" s="23">
        <v>0.99999798062477319</v>
      </c>
      <c r="P22" s="68">
        <v>0.99999999732728495</v>
      </c>
      <c r="Q22" s="23">
        <v>0.9999980935412911</v>
      </c>
      <c r="R22" s="68">
        <v>1</v>
      </c>
      <c r="S22" s="23">
        <v>1.0000000000000211</v>
      </c>
      <c r="T22" s="68">
        <v>1</v>
      </c>
      <c r="U22" s="23">
        <v>0.99999999999998401</v>
      </c>
      <c r="V22" s="68">
        <v>0.99999999758869995</v>
      </c>
      <c r="W22" s="23">
        <v>0.99999898769854945</v>
      </c>
    </row>
    <row r="23" spans="1:23" x14ac:dyDescent="0.2">
      <c r="A23" s="15" t="s">
        <v>1</v>
      </c>
      <c r="B23" s="229" t="s">
        <v>6</v>
      </c>
      <c r="C23" s="19" t="s">
        <v>7</v>
      </c>
      <c r="D23" s="69">
        <v>0.63535256766364145</v>
      </c>
      <c r="E23" s="24">
        <v>0.62632250322086325</v>
      </c>
      <c r="F23" s="69">
        <v>0.55522983711281104</v>
      </c>
      <c r="G23" s="24">
        <v>0.56508007665462823</v>
      </c>
      <c r="H23" s="69">
        <v>0.55900946334520674</v>
      </c>
      <c r="I23" s="24">
        <v>0.58724638776420901</v>
      </c>
      <c r="J23" s="69">
        <v>0.57050258224738071</v>
      </c>
      <c r="K23" s="24">
        <v>0.59317611888246757</v>
      </c>
      <c r="L23" s="69">
        <v>0.61814044989723638</v>
      </c>
      <c r="M23" s="24">
        <v>0.63121903046477568</v>
      </c>
      <c r="N23" s="69">
        <v>0.68734557220996084</v>
      </c>
      <c r="O23" s="24">
        <v>0.67970156091412126</v>
      </c>
      <c r="P23" s="69">
        <v>0.5748876343170588</v>
      </c>
      <c r="Q23" s="24">
        <v>0.56626068943317254</v>
      </c>
      <c r="R23" s="69">
        <v>0.58289408919673302</v>
      </c>
      <c r="S23" s="24">
        <v>0.60434588882473139</v>
      </c>
      <c r="T23" s="69">
        <v>0.63938361918682551</v>
      </c>
      <c r="U23" s="24">
        <v>0.62975579183236152</v>
      </c>
      <c r="V23" s="69">
        <v>0.61442874958448979</v>
      </c>
      <c r="W23" s="24">
        <v>0.61532805891893094</v>
      </c>
    </row>
    <row r="24" spans="1:23" x14ac:dyDescent="0.2">
      <c r="A24" s="56"/>
      <c r="B24" s="230" t="s">
        <v>6</v>
      </c>
      <c r="C24" s="61" t="s">
        <v>8</v>
      </c>
      <c r="D24" s="70">
        <v>0.43945977170798611</v>
      </c>
      <c r="E24" s="60">
        <v>0.42795768242598886</v>
      </c>
      <c r="F24" s="70">
        <v>0.42528759936535532</v>
      </c>
      <c r="G24" s="60">
        <v>0.41891145954642506</v>
      </c>
      <c r="H24" s="70">
        <v>0.40030605927945895</v>
      </c>
      <c r="I24" s="60">
        <v>0.39326687775948233</v>
      </c>
      <c r="J24" s="70">
        <v>0.46707581122432829</v>
      </c>
      <c r="K24" s="60">
        <v>0.4785991846765501</v>
      </c>
      <c r="L24" s="70">
        <v>0.40274898291403322</v>
      </c>
      <c r="M24" s="60">
        <v>0.38640174532734567</v>
      </c>
      <c r="N24" s="70">
        <v>0.4705230219418669</v>
      </c>
      <c r="O24" s="60">
        <v>0.45495596226132706</v>
      </c>
      <c r="P24" s="70">
        <v>0.41434111840780424</v>
      </c>
      <c r="Q24" s="60">
        <v>0.40490075609788428</v>
      </c>
      <c r="R24" s="70">
        <v>0.42463667094614665</v>
      </c>
      <c r="S24" s="60">
        <v>0.42010402257822288</v>
      </c>
      <c r="T24" s="70">
        <v>0.43300062071548939</v>
      </c>
      <c r="U24" s="60">
        <v>0.40860555370143387</v>
      </c>
      <c r="V24" s="70">
        <v>0.43260057051632334</v>
      </c>
      <c r="W24" s="60">
        <v>0.42070401951153724</v>
      </c>
    </row>
    <row r="25" spans="1:23" s="22" customFormat="1" x14ac:dyDescent="0.2">
      <c r="A25" s="56"/>
      <c r="B25" s="230" t="s">
        <v>6</v>
      </c>
      <c r="C25" s="61" t="s">
        <v>9</v>
      </c>
      <c r="D25" s="70">
        <v>0.19589279595565534</v>
      </c>
      <c r="E25" s="60">
        <v>0.19836482079489862</v>
      </c>
      <c r="F25" s="70">
        <v>0.12994223774745578</v>
      </c>
      <c r="G25" s="60">
        <v>0.14616861710821832</v>
      </c>
      <c r="H25" s="70">
        <v>0.15870340406574779</v>
      </c>
      <c r="I25" s="60">
        <v>0.19397951000474381</v>
      </c>
      <c r="J25" s="70">
        <v>0.10342677102305245</v>
      </c>
      <c r="K25" s="60">
        <v>0.1145769342058955</v>
      </c>
      <c r="L25" s="70">
        <v>0.21539146698320316</v>
      </c>
      <c r="M25" s="60">
        <v>0.24481728513740747</v>
      </c>
      <c r="N25" s="70">
        <v>0.21682255026809399</v>
      </c>
      <c r="O25" s="60">
        <v>0.22474559865280286</v>
      </c>
      <c r="P25" s="70">
        <v>0.16054651590925456</v>
      </c>
      <c r="Q25" s="60">
        <v>0.16135993333528276</v>
      </c>
      <c r="R25" s="70">
        <v>0.15825741825058634</v>
      </c>
      <c r="S25" s="60">
        <v>0.18424186624649685</v>
      </c>
      <c r="T25" s="70">
        <v>0.20638299847133615</v>
      </c>
      <c r="U25" s="60">
        <v>0.22115023813094439</v>
      </c>
      <c r="V25" s="70">
        <v>0.18182817906816645</v>
      </c>
      <c r="W25" s="60">
        <v>0.19462403940738168</v>
      </c>
    </row>
    <row r="26" spans="1:23" x14ac:dyDescent="0.2">
      <c r="A26" s="15" t="s">
        <v>2</v>
      </c>
      <c r="B26" s="229" t="s">
        <v>10</v>
      </c>
      <c r="C26" s="19" t="s">
        <v>7</v>
      </c>
      <c r="D26" s="69">
        <v>0.28691005563443306</v>
      </c>
      <c r="E26" s="24">
        <v>0.28057952707848965</v>
      </c>
      <c r="F26" s="69">
        <v>0.39944660887550099</v>
      </c>
      <c r="G26" s="24">
        <v>0.38096007427666251</v>
      </c>
      <c r="H26" s="69">
        <v>0.36933563729564711</v>
      </c>
      <c r="I26" s="24">
        <v>0.32818757656067155</v>
      </c>
      <c r="J26" s="69">
        <v>0.37089746890994685</v>
      </c>
      <c r="K26" s="24">
        <v>0.3436141358801339</v>
      </c>
      <c r="L26" s="69">
        <v>0.29543754674644729</v>
      </c>
      <c r="M26" s="24">
        <v>0.27501733671521561</v>
      </c>
      <c r="N26" s="69">
        <v>0.24354387890180904</v>
      </c>
      <c r="O26" s="24">
        <v>0.23423303130408554</v>
      </c>
      <c r="P26" s="69">
        <v>0.35227158872650627</v>
      </c>
      <c r="Q26" s="24">
        <v>0.34848896210299801</v>
      </c>
      <c r="R26" s="69">
        <v>0.34509377001299507</v>
      </c>
      <c r="S26" s="24">
        <v>0.31524117360742987</v>
      </c>
      <c r="T26" s="69">
        <v>0.26378356951914761</v>
      </c>
      <c r="U26" s="24">
        <v>0.26502220624929801</v>
      </c>
      <c r="V26" s="69">
        <v>0.30807557140691688</v>
      </c>
      <c r="W26" s="24">
        <v>0.29602945453059082</v>
      </c>
    </row>
    <row r="27" spans="1:23" s="22" customFormat="1" x14ac:dyDescent="0.2">
      <c r="A27" s="56"/>
      <c r="B27" s="230" t="s">
        <v>10</v>
      </c>
      <c r="C27" s="61" t="s">
        <v>8</v>
      </c>
      <c r="D27" s="70">
        <v>2.0996240440459366E-2</v>
      </c>
      <c r="E27" s="60">
        <v>1.9663420002529016E-2</v>
      </c>
      <c r="F27" s="70">
        <v>1.4035424455555313E-2</v>
      </c>
      <c r="G27" s="60">
        <v>1.181599107394901E-2</v>
      </c>
      <c r="H27" s="70">
        <v>2.7132627616305419E-2</v>
      </c>
      <c r="I27" s="60">
        <v>2.2406779123501721E-2</v>
      </c>
      <c r="J27" s="70">
        <v>8.6402844278976824E-3</v>
      </c>
      <c r="K27" s="60">
        <v>6.7403700140022654E-3</v>
      </c>
      <c r="L27" s="70">
        <v>1.7868029784838393E-2</v>
      </c>
      <c r="M27" s="60">
        <v>1.7936163975006043E-2</v>
      </c>
      <c r="N27" s="70">
        <v>2.382176037886093E-2</v>
      </c>
      <c r="O27" s="60">
        <v>2.2502408159963381E-2</v>
      </c>
      <c r="P27" s="70">
        <v>1.6858951717823024E-2</v>
      </c>
      <c r="Q27" s="60">
        <v>1.4936494544877041E-2</v>
      </c>
      <c r="R27" s="70">
        <v>1.7512933327469383E-2</v>
      </c>
      <c r="S27" s="60">
        <v>1.5515436895258633E-2</v>
      </c>
      <c r="T27" s="70">
        <v>2.0431036425512781E-2</v>
      </c>
      <c r="U27" s="60">
        <v>1.9274723605490578E-2</v>
      </c>
      <c r="V27" s="70">
        <v>1.9250774658873964E-2</v>
      </c>
      <c r="W27" s="60">
        <v>1.7724993169504957E-2</v>
      </c>
    </row>
    <row r="28" spans="1:23" s="22" customFormat="1" x14ac:dyDescent="0.2">
      <c r="A28" s="56"/>
      <c r="B28" s="230" t="s">
        <v>10</v>
      </c>
      <c r="C28" s="61" t="s">
        <v>9</v>
      </c>
      <c r="D28" s="70">
        <v>0.26591381519397367</v>
      </c>
      <c r="E28" s="60">
        <v>0.26091610707594726</v>
      </c>
      <c r="F28" s="70">
        <v>0.38541118441994571</v>
      </c>
      <c r="G28" s="60">
        <v>0.36914408320269992</v>
      </c>
      <c r="H28" s="70">
        <v>0.3422030096793417</v>
      </c>
      <c r="I28" s="60">
        <v>0.30578079743715658</v>
      </c>
      <c r="J28" s="70">
        <v>0.36225718448204919</v>
      </c>
      <c r="K28" s="60">
        <v>0.33687376586612638</v>
      </c>
      <c r="L28" s="70">
        <v>0.27756951696160886</v>
      </c>
      <c r="M28" s="60">
        <v>0.25708117274020814</v>
      </c>
      <c r="N28" s="70">
        <v>0.2197221185229481</v>
      </c>
      <c r="O28" s="60">
        <v>0.21173062314412264</v>
      </c>
      <c r="P28" s="70">
        <v>0.33541263700868323</v>
      </c>
      <c r="Q28" s="60">
        <v>0.33355246755811679</v>
      </c>
      <c r="R28" s="70">
        <v>0.32758083668552568</v>
      </c>
      <c r="S28" s="60">
        <v>0.29972573671218639</v>
      </c>
      <c r="T28" s="70">
        <v>0.24335253309363483</v>
      </c>
      <c r="U28" s="60">
        <v>0.24574748264381391</v>
      </c>
      <c r="V28" s="70">
        <v>0.28882479674804296</v>
      </c>
      <c r="W28" s="60">
        <v>0.27830446136108106</v>
      </c>
    </row>
    <row r="29" spans="1:23" x14ac:dyDescent="0.2">
      <c r="A29" s="17" t="s">
        <v>3</v>
      </c>
      <c r="B29" s="232" t="s">
        <v>11</v>
      </c>
      <c r="C29" s="20" t="s">
        <v>7</v>
      </c>
      <c r="D29" s="69">
        <v>4.1476582539166182E-2</v>
      </c>
      <c r="E29" s="24">
        <v>5.2979904851682379E-2</v>
      </c>
      <c r="F29" s="69">
        <v>2.8512729112020133E-2</v>
      </c>
      <c r="G29" s="24">
        <v>3.4180737355704052E-2</v>
      </c>
      <c r="H29" s="69">
        <v>3.8402050423603784E-2</v>
      </c>
      <c r="I29" s="24">
        <v>4.4008242465068501E-2</v>
      </c>
      <c r="J29" s="69">
        <v>1.2404368733120435E-2</v>
      </c>
      <c r="K29" s="24">
        <v>1.286199852191214E-2</v>
      </c>
      <c r="L29" s="69">
        <v>4.7812692765962034E-2</v>
      </c>
      <c r="M29" s="24">
        <v>5.5111864613210527E-2</v>
      </c>
      <c r="N29" s="69">
        <v>4.6375263541722216E-2</v>
      </c>
      <c r="O29" s="24">
        <v>5.7541765711790718E-2</v>
      </c>
      <c r="P29" s="69">
        <v>3.4011100271856005E-2</v>
      </c>
      <c r="Q29" s="24">
        <v>4.3317958400966722E-2</v>
      </c>
      <c r="R29" s="69">
        <v>3.2404860894810948E-2</v>
      </c>
      <c r="S29" s="24">
        <v>3.7159508635745117E-2</v>
      </c>
      <c r="T29" s="69">
        <v>3.6226459544396614E-2</v>
      </c>
      <c r="U29" s="24">
        <v>4.51762069828388E-2</v>
      </c>
      <c r="V29" s="69">
        <v>3.6553701141773316E-2</v>
      </c>
      <c r="W29" s="24">
        <v>4.5278864063269891E-2</v>
      </c>
    </row>
    <row r="30" spans="1:23" s="22" customFormat="1" x14ac:dyDescent="0.2">
      <c r="A30" s="56"/>
      <c r="B30" s="230" t="s">
        <v>11</v>
      </c>
      <c r="C30" s="61" t="s">
        <v>8</v>
      </c>
      <c r="D30" s="70">
        <v>2.9919296757215607E-3</v>
      </c>
      <c r="E30" s="60">
        <v>3.424986629525797E-3</v>
      </c>
      <c r="F30" s="70">
        <v>8.1502348167753575E-4</v>
      </c>
      <c r="G30" s="60">
        <v>1.1146001080760259E-3</v>
      </c>
      <c r="H30" s="70">
        <v>0</v>
      </c>
      <c r="I30" s="60">
        <v>0</v>
      </c>
      <c r="J30" s="70">
        <v>0</v>
      </c>
      <c r="K30" s="60">
        <v>0</v>
      </c>
      <c r="L30" s="70">
        <v>0</v>
      </c>
      <c r="M30" s="60">
        <v>0</v>
      </c>
      <c r="N30" s="70">
        <v>0</v>
      </c>
      <c r="O30" s="60">
        <v>0</v>
      </c>
      <c r="P30" s="70">
        <v>4.2544277473018626E-3</v>
      </c>
      <c r="Q30" s="60">
        <v>5.2037767992138646E-3</v>
      </c>
      <c r="R30" s="70">
        <v>0</v>
      </c>
      <c r="S30" s="60">
        <v>0</v>
      </c>
      <c r="T30" s="70">
        <v>0</v>
      </c>
      <c r="U30" s="60">
        <v>0</v>
      </c>
      <c r="V30" s="70">
        <v>1.2794358036297719E-3</v>
      </c>
      <c r="W30" s="60">
        <v>1.544547183225648E-3</v>
      </c>
    </row>
    <row r="31" spans="1:23" s="22" customFormat="1" x14ac:dyDescent="0.2">
      <c r="A31" s="56"/>
      <c r="B31" s="230" t="s">
        <v>11</v>
      </c>
      <c r="C31" s="61" t="s">
        <v>9</v>
      </c>
      <c r="D31" s="70">
        <v>3.8484652863444622E-2</v>
      </c>
      <c r="E31" s="60">
        <v>4.9554918222155714E-2</v>
      </c>
      <c r="F31" s="70">
        <v>2.7697705630342601E-2</v>
      </c>
      <c r="G31" s="60">
        <v>3.3066137247627435E-2</v>
      </c>
      <c r="H31" s="70">
        <v>3.8402050423603784E-2</v>
      </c>
      <c r="I31" s="60">
        <v>4.4008242465068501E-2</v>
      </c>
      <c r="J31" s="70">
        <v>1.2404368733120435E-2</v>
      </c>
      <c r="K31" s="60">
        <v>1.286199852191214E-2</v>
      </c>
      <c r="L31" s="70">
        <v>4.7812692765962034E-2</v>
      </c>
      <c r="M31" s="60">
        <v>5.5111864613210527E-2</v>
      </c>
      <c r="N31" s="70">
        <v>4.6375263541722216E-2</v>
      </c>
      <c r="O31" s="60">
        <v>5.7552948564280719E-2</v>
      </c>
      <c r="P31" s="70">
        <v>2.9756672524554145E-2</v>
      </c>
      <c r="Q31" s="60">
        <v>3.8114181601751285E-2</v>
      </c>
      <c r="R31" s="70">
        <v>3.2404860894810948E-2</v>
      </c>
      <c r="S31" s="60">
        <v>3.7159508635745117E-2</v>
      </c>
      <c r="T31" s="70">
        <v>3.6226459544396614E-2</v>
      </c>
      <c r="U31" s="60">
        <v>4.51762069828388E-2</v>
      </c>
      <c r="V31" s="70">
        <v>3.5274265338143547E-2</v>
      </c>
      <c r="W31" s="60">
        <v>4.3734316880045053E-2</v>
      </c>
    </row>
    <row r="32" spans="1:23" x14ac:dyDescent="0.2">
      <c r="A32" s="15" t="s">
        <v>4</v>
      </c>
      <c r="B32" s="229" t="s">
        <v>12</v>
      </c>
      <c r="C32" s="19" t="s">
        <v>7</v>
      </c>
      <c r="D32" s="69">
        <v>3.537857391257998E-2</v>
      </c>
      <c r="E32" s="24">
        <v>3.9392069971078435E-2</v>
      </c>
      <c r="F32" s="69">
        <v>1.2760256391330677E-2</v>
      </c>
      <c r="G32" s="24">
        <v>1.6391069340007908E-2</v>
      </c>
      <c r="H32" s="69">
        <v>3.3252848935542409E-2</v>
      </c>
      <c r="I32" s="24">
        <v>4.055779321002069E-2</v>
      </c>
      <c r="J32" s="69">
        <v>4.2174853692609475E-2</v>
      </c>
      <c r="K32" s="24">
        <v>4.7048422468888823E-2</v>
      </c>
      <c r="L32" s="69">
        <v>3.8609310590354315E-2</v>
      </c>
      <c r="M32" s="24">
        <v>3.8651768206834164E-2</v>
      </c>
      <c r="N32" s="69">
        <v>2.2735277242627937E-2</v>
      </c>
      <c r="O32" s="24">
        <v>2.8521622694775612E-2</v>
      </c>
      <c r="P32" s="69">
        <v>3.6330685480812759E-2</v>
      </c>
      <c r="Q32" s="24">
        <v>3.9780335652802506E-2</v>
      </c>
      <c r="R32" s="69">
        <v>3.8191496988599631E-2</v>
      </c>
      <c r="S32" s="24">
        <v>4.2124811192596784E-2</v>
      </c>
      <c r="T32" s="69">
        <v>6.0606351749630354E-2</v>
      </c>
      <c r="U32" s="24">
        <v>6.0045794935485779E-2</v>
      </c>
      <c r="V32" s="69">
        <v>3.9812683267996467E-2</v>
      </c>
      <c r="W32" s="24">
        <v>4.2431536793400913E-2</v>
      </c>
    </row>
    <row r="33" spans="1:23" s="22" customFormat="1" x14ac:dyDescent="0.2">
      <c r="A33" s="56"/>
      <c r="B33" s="230" t="s">
        <v>12</v>
      </c>
      <c r="C33" s="61" t="s">
        <v>8</v>
      </c>
      <c r="D33" s="70">
        <v>8.0235926707780247E-3</v>
      </c>
      <c r="E33" s="60">
        <v>7.1427340174307933E-3</v>
      </c>
      <c r="F33" s="70">
        <v>0</v>
      </c>
      <c r="G33" s="60">
        <v>0</v>
      </c>
      <c r="H33" s="70">
        <v>0</v>
      </c>
      <c r="I33" s="60">
        <v>0</v>
      </c>
      <c r="J33" s="70">
        <v>2.1643484755030827E-2</v>
      </c>
      <c r="K33" s="60">
        <v>2.1424769301128875E-2</v>
      </c>
      <c r="L33" s="70">
        <v>0</v>
      </c>
      <c r="M33" s="60">
        <v>0</v>
      </c>
      <c r="N33" s="70">
        <v>0</v>
      </c>
      <c r="O33" s="60">
        <v>0</v>
      </c>
      <c r="P33" s="70">
        <v>1.0695403641398331E-2</v>
      </c>
      <c r="Q33" s="60">
        <v>1.0111790906063449E-2</v>
      </c>
      <c r="R33" s="70">
        <v>7.6211292645941616E-3</v>
      </c>
      <c r="S33" s="60">
        <v>7.3288870359481291E-3</v>
      </c>
      <c r="T33" s="70">
        <v>5.4940602152639415E-3</v>
      </c>
      <c r="U33" s="60">
        <v>4.3325651163547462E-3</v>
      </c>
      <c r="V33" s="70">
        <v>6.5359895240458699E-3</v>
      </c>
      <c r="W33" s="60">
        <v>5.8539145134602821E-3</v>
      </c>
    </row>
    <row r="34" spans="1:23" s="22" customFormat="1" x14ac:dyDescent="0.2">
      <c r="A34" s="56"/>
      <c r="B34" s="230" t="s">
        <v>12</v>
      </c>
      <c r="C34" s="61" t="s">
        <v>9</v>
      </c>
      <c r="D34" s="70">
        <v>2.7354981241801954E-2</v>
      </c>
      <c r="E34" s="60">
        <v>3.2249335953647366E-2</v>
      </c>
      <c r="F34" s="70">
        <v>1.2760256391330677E-2</v>
      </c>
      <c r="G34" s="60">
        <v>1.6391069340007908E-2</v>
      </c>
      <c r="H34" s="70">
        <v>3.3252848935542409E-2</v>
      </c>
      <c r="I34" s="60">
        <v>4.055779321002069E-2</v>
      </c>
      <c r="J34" s="70">
        <v>2.0531368937578651E-2</v>
      </c>
      <c r="K34" s="60">
        <v>2.56236531677611E-2</v>
      </c>
      <c r="L34" s="70">
        <v>3.8609310590354315E-2</v>
      </c>
      <c r="M34" s="60">
        <v>3.8651768206834164E-2</v>
      </c>
      <c r="N34" s="70">
        <v>2.2735277242627937E-2</v>
      </c>
      <c r="O34" s="60">
        <v>2.8592762457392E-2</v>
      </c>
      <c r="P34" s="70">
        <v>2.5635281839414423E-2</v>
      </c>
      <c r="Q34" s="60">
        <v>2.9668544746740053E-2</v>
      </c>
      <c r="R34" s="70">
        <v>3.0570367724005471E-2</v>
      </c>
      <c r="S34" s="60">
        <v>3.4795924156650247E-2</v>
      </c>
      <c r="T34" s="70">
        <v>5.5112291534366413E-2</v>
      </c>
      <c r="U34" s="60">
        <v>5.5713229819129823E-2</v>
      </c>
      <c r="V34" s="70">
        <v>3.3276693743950592E-2</v>
      </c>
      <c r="W34" s="60">
        <v>3.6577622279938854E-2</v>
      </c>
    </row>
    <row r="35" spans="1:23" x14ac:dyDescent="0.2">
      <c r="A35" s="15" t="s">
        <v>5</v>
      </c>
      <c r="B35" s="229" t="s">
        <v>13</v>
      </c>
      <c r="C35" s="19" t="s">
        <v>7</v>
      </c>
      <c r="D35" s="69">
        <v>8.8222025017925651E-4</v>
      </c>
      <c r="E35" s="24">
        <v>7.2357694598120361E-4</v>
      </c>
      <c r="F35" s="69">
        <v>4.0505685083371502E-3</v>
      </c>
      <c r="G35" s="24">
        <v>3.3880423730060848E-3</v>
      </c>
      <c r="H35" s="69">
        <v>0</v>
      </c>
      <c r="I35" s="24">
        <v>0</v>
      </c>
      <c r="J35" s="69">
        <v>4.0207264169424854E-3</v>
      </c>
      <c r="K35" s="24">
        <v>3.2993242466047689E-3</v>
      </c>
      <c r="L35" s="69">
        <v>0</v>
      </c>
      <c r="M35" s="24">
        <v>0</v>
      </c>
      <c r="N35" s="69">
        <v>0</v>
      </c>
      <c r="O35" s="24">
        <v>0</v>
      </c>
      <c r="P35" s="69">
        <v>2.4989885310511633E-3</v>
      </c>
      <c r="Q35" s="24">
        <v>2.1501479513512129E-3</v>
      </c>
      <c r="R35" s="69">
        <v>1.4157829068613659E-3</v>
      </c>
      <c r="S35" s="24">
        <v>1.1286177395178278E-3</v>
      </c>
      <c r="T35" s="69">
        <v>0</v>
      </c>
      <c r="U35" s="24">
        <v>0</v>
      </c>
      <c r="V35" s="69">
        <v>1.129292187523451E-3</v>
      </c>
      <c r="W35" s="24">
        <v>9.3107339235692086E-4</v>
      </c>
    </row>
    <row r="36" spans="1:23" s="22" customFormat="1" x14ac:dyDescent="0.2">
      <c r="A36" s="56"/>
      <c r="B36" s="230" t="s">
        <v>13</v>
      </c>
      <c r="C36" s="61" t="s">
        <v>8</v>
      </c>
      <c r="D36" s="70">
        <v>0</v>
      </c>
      <c r="E36" s="60">
        <v>0</v>
      </c>
      <c r="F36" s="70">
        <v>0</v>
      </c>
      <c r="G36" s="60">
        <v>0</v>
      </c>
      <c r="H36" s="70">
        <v>0</v>
      </c>
      <c r="I36" s="60">
        <v>0</v>
      </c>
      <c r="J36" s="70">
        <v>0</v>
      </c>
      <c r="K36" s="60">
        <v>0</v>
      </c>
      <c r="L36" s="70">
        <v>0</v>
      </c>
      <c r="M36" s="60">
        <v>0</v>
      </c>
      <c r="N36" s="70">
        <v>0</v>
      </c>
      <c r="O36" s="60">
        <v>0</v>
      </c>
      <c r="P36" s="70">
        <v>0</v>
      </c>
      <c r="Q36" s="60">
        <v>0</v>
      </c>
      <c r="R36" s="70">
        <v>0</v>
      </c>
      <c r="S36" s="60">
        <v>0</v>
      </c>
      <c r="T36" s="70">
        <v>0</v>
      </c>
      <c r="U36" s="60">
        <v>0</v>
      </c>
      <c r="V36" s="70">
        <v>0</v>
      </c>
      <c r="W36" s="60">
        <v>0</v>
      </c>
    </row>
    <row r="37" spans="1:23" s="22" customFormat="1" x14ac:dyDescent="0.2">
      <c r="A37" s="56"/>
      <c r="B37" s="230" t="s">
        <v>13</v>
      </c>
      <c r="C37" s="61" t="s">
        <v>9</v>
      </c>
      <c r="D37" s="70">
        <v>8.8222025017925651E-4</v>
      </c>
      <c r="E37" s="60">
        <v>7.2366778469301141E-4</v>
      </c>
      <c r="F37" s="70">
        <v>4.0505685083371502E-3</v>
      </c>
      <c r="G37" s="60">
        <v>3.3880423730060848E-3</v>
      </c>
      <c r="H37" s="70">
        <v>0</v>
      </c>
      <c r="I37" s="60">
        <v>0</v>
      </c>
      <c r="J37" s="70">
        <v>4.0207264169424854E-3</v>
      </c>
      <c r="K37" s="60">
        <v>3.2993242466047689E-3</v>
      </c>
      <c r="L37" s="70">
        <v>0</v>
      </c>
      <c r="M37" s="60">
        <v>0</v>
      </c>
      <c r="N37" s="70">
        <v>0</v>
      </c>
      <c r="O37" s="60">
        <v>0</v>
      </c>
      <c r="P37" s="70">
        <v>2.4989885310511633E-3</v>
      </c>
      <c r="Q37" s="60">
        <v>2.1502758780130543E-3</v>
      </c>
      <c r="R37" s="70">
        <v>1.4157829068613659E-3</v>
      </c>
      <c r="S37" s="60">
        <v>1.1286177395178278E-3</v>
      </c>
      <c r="T37" s="70">
        <v>0</v>
      </c>
      <c r="U37" s="60">
        <v>0</v>
      </c>
      <c r="V37" s="70">
        <v>1.129292187523451E-3</v>
      </c>
      <c r="W37" s="60">
        <v>9.3111142327252953E-4</v>
      </c>
    </row>
  </sheetData>
  <mergeCells count="15">
    <mergeCell ref="Y3:Z3"/>
    <mergeCell ref="AA3:AB3"/>
    <mergeCell ref="AC3:AD3"/>
    <mergeCell ref="H2:I2"/>
    <mergeCell ref="A21:W21"/>
    <mergeCell ref="D2:E2"/>
    <mergeCell ref="V2:W2"/>
    <mergeCell ref="R2:S2"/>
    <mergeCell ref="L2:M2"/>
    <mergeCell ref="A1:W1"/>
    <mergeCell ref="F2:G2"/>
    <mergeCell ref="N2:O2"/>
    <mergeCell ref="J2:K2"/>
    <mergeCell ref="P2:Q2"/>
    <mergeCell ref="T2:U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C13"/>
  <sheetViews>
    <sheetView showGridLines="0" zoomScaleNormal="100" workbookViewId="0">
      <selection sqref="A1:V1"/>
    </sheetView>
  </sheetViews>
  <sheetFormatPr baseColWidth="10" defaultColWidth="9.1640625" defaultRowHeight="15" x14ac:dyDescent="0.2"/>
  <cols>
    <col min="1" max="1" width="12.33203125" style="22" customWidth="1"/>
    <col min="2" max="2" width="9.1640625" style="22" customWidth="1"/>
    <col min="3" max="3" width="11.6640625" style="22" customWidth="1"/>
    <col min="4" max="4" width="14.33203125" style="22" customWidth="1"/>
    <col min="5" max="5" width="11.6640625" style="22" customWidth="1"/>
    <col min="6" max="6" width="14.33203125" style="22" customWidth="1"/>
    <col min="7" max="7" width="11.6640625" style="22" customWidth="1"/>
    <col min="8" max="8" width="14.33203125" style="22" customWidth="1"/>
    <col min="9" max="9" width="11.6640625" style="22" customWidth="1"/>
    <col min="10" max="10" width="14.33203125" style="22" customWidth="1"/>
    <col min="11" max="11" width="11.6640625" style="22" customWidth="1"/>
    <col min="12" max="12" width="14.33203125" style="22" customWidth="1"/>
    <col min="13" max="13" width="11.6640625" style="22" customWidth="1"/>
    <col min="14" max="14" width="14.33203125" style="22" customWidth="1"/>
    <col min="15" max="15" width="11.6640625" style="22" customWidth="1"/>
    <col min="16" max="16" width="14.33203125" style="22" customWidth="1"/>
    <col min="17" max="17" width="11.6640625" style="22" customWidth="1"/>
    <col min="18" max="18" width="14.33203125" style="22" customWidth="1"/>
    <col min="19" max="19" width="11.6640625" style="22" customWidth="1"/>
    <col min="20" max="20" width="14.33203125" style="22" customWidth="1"/>
    <col min="21" max="21" width="11.6640625" style="22" customWidth="1"/>
    <col min="22" max="22" width="14.33203125" style="22" customWidth="1"/>
    <col min="23" max="24" width="9.1640625" style="22"/>
    <col min="25" max="25" width="16" style="22" bestFit="1" customWidth="1"/>
    <col min="26" max="26" width="9.1640625" style="22"/>
    <col min="27" max="27" width="16" style="22" bestFit="1" customWidth="1"/>
    <col min="28" max="28" width="13.83203125" style="22" customWidth="1"/>
    <col min="29" max="29" width="16" style="22" bestFit="1" customWidth="1"/>
    <col min="30" max="16384" width="9.1640625" style="22"/>
  </cols>
  <sheetData>
    <row r="1" spans="1:29" ht="27" x14ac:dyDescent="0.45">
      <c r="A1" s="217" t="s">
        <v>62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29" s="8" customFormat="1" ht="37.5" customHeight="1" x14ac:dyDescent="0.35">
      <c r="A2" s="117"/>
      <c r="B2" s="117"/>
      <c r="C2" s="221" t="s">
        <v>174</v>
      </c>
      <c r="D2" s="221"/>
      <c r="E2" s="221" t="s">
        <v>175</v>
      </c>
      <c r="F2" s="221"/>
      <c r="G2" s="221" t="s">
        <v>176</v>
      </c>
      <c r="H2" s="221"/>
      <c r="I2" s="221" t="s">
        <v>177</v>
      </c>
      <c r="J2" s="221"/>
      <c r="K2" s="221" t="s">
        <v>178</v>
      </c>
      <c r="L2" s="221"/>
      <c r="M2" s="221" t="s">
        <v>179</v>
      </c>
      <c r="N2" s="221"/>
      <c r="O2" s="221" t="s">
        <v>180</v>
      </c>
      <c r="P2" s="221"/>
      <c r="Q2" s="221" t="s">
        <v>181</v>
      </c>
      <c r="R2" s="221"/>
      <c r="S2" s="221" t="s">
        <v>182</v>
      </c>
      <c r="T2" s="221"/>
      <c r="U2" s="221" t="s">
        <v>183</v>
      </c>
      <c r="V2" s="221"/>
    </row>
    <row r="3" spans="1:29" ht="18" x14ac:dyDescent="0.35">
      <c r="A3" s="118"/>
      <c r="B3" s="118"/>
      <c r="C3" s="120" t="s">
        <v>0</v>
      </c>
      <c r="D3" s="119" t="s">
        <v>61</v>
      </c>
      <c r="E3" s="120" t="s">
        <v>0</v>
      </c>
      <c r="F3" s="119" t="s">
        <v>61</v>
      </c>
      <c r="G3" s="120" t="s">
        <v>0</v>
      </c>
      <c r="H3" s="119" t="s">
        <v>61</v>
      </c>
      <c r="I3" s="120" t="s">
        <v>0</v>
      </c>
      <c r="J3" s="119" t="s">
        <v>61</v>
      </c>
      <c r="K3" s="120" t="s">
        <v>0</v>
      </c>
      <c r="L3" s="119" t="s">
        <v>61</v>
      </c>
      <c r="M3" s="120" t="s">
        <v>0</v>
      </c>
      <c r="N3" s="119" t="s">
        <v>61</v>
      </c>
      <c r="O3" s="120" t="s">
        <v>0</v>
      </c>
      <c r="P3" s="119" t="s">
        <v>61</v>
      </c>
      <c r="Q3" s="120" t="s">
        <v>0</v>
      </c>
      <c r="R3" s="119" t="s">
        <v>61</v>
      </c>
      <c r="S3" s="120" t="s">
        <v>0</v>
      </c>
      <c r="T3" s="119" t="s">
        <v>61</v>
      </c>
      <c r="U3" s="120" t="s">
        <v>0</v>
      </c>
      <c r="V3" s="119" t="s">
        <v>61</v>
      </c>
      <c r="X3" s="222"/>
      <c r="Y3" s="222"/>
      <c r="Z3" s="222"/>
      <c r="AA3" s="222"/>
      <c r="AB3" s="222"/>
      <c r="AC3" s="222"/>
    </row>
    <row r="4" spans="1:29" x14ac:dyDescent="0.2">
      <c r="A4" s="9" t="s">
        <v>17</v>
      </c>
      <c r="B4" s="2" t="s">
        <v>7</v>
      </c>
      <c r="C4" s="46">
        <v>1067147</v>
      </c>
      <c r="D4" s="5">
        <v>156.51229233450999</v>
      </c>
      <c r="E4" s="46">
        <v>403747</v>
      </c>
      <c r="F4" s="5">
        <v>154.44742454371001</v>
      </c>
      <c r="G4" s="46">
        <v>292096</v>
      </c>
      <c r="H4" s="5">
        <v>139.23910553885</v>
      </c>
      <c r="I4" s="46">
        <v>327458</v>
      </c>
      <c r="J4" s="5">
        <v>134.17828513063</v>
      </c>
      <c r="K4" s="46">
        <v>247285</v>
      </c>
      <c r="L4" s="5">
        <v>142.92788493975999</v>
      </c>
      <c r="M4" s="46">
        <v>429708</v>
      </c>
      <c r="N4" s="5">
        <v>164.52935607971</v>
      </c>
      <c r="O4" s="46">
        <v>1041186</v>
      </c>
      <c r="P4" s="5">
        <v>152.40286269969999</v>
      </c>
      <c r="Q4" s="46">
        <v>866839</v>
      </c>
      <c r="R4" s="5">
        <v>138.37963069394999</v>
      </c>
      <c r="S4" s="46">
        <v>576200.01</v>
      </c>
      <c r="T4" s="5">
        <v>147.04032260132001</v>
      </c>
      <c r="U4" s="46">
        <v>2913933.01</v>
      </c>
      <c r="V4" s="5">
        <v>148.9590879749</v>
      </c>
    </row>
    <row r="5" spans="1:29" x14ac:dyDescent="0.2">
      <c r="A5" s="71"/>
      <c r="B5" s="73" t="s">
        <v>8</v>
      </c>
      <c r="C5" s="163">
        <v>44484</v>
      </c>
      <c r="D5" s="169">
        <v>152.89307681189001</v>
      </c>
      <c r="E5" s="163">
        <v>14952</v>
      </c>
      <c r="F5" s="169">
        <v>132.00146087639001</v>
      </c>
      <c r="G5" s="163">
        <v>6208</v>
      </c>
      <c r="H5" s="169">
        <v>138.84761203280999</v>
      </c>
      <c r="I5" s="163">
        <v>0</v>
      </c>
      <c r="J5" s="169">
        <v>0</v>
      </c>
      <c r="K5" s="163">
        <v>8400</v>
      </c>
      <c r="L5" s="169">
        <v>152.21231655736</v>
      </c>
      <c r="M5" s="163">
        <v>27258</v>
      </c>
      <c r="N5" s="169">
        <v>161.18087490278</v>
      </c>
      <c r="O5" s="163">
        <v>32178</v>
      </c>
      <c r="P5" s="169">
        <v>136.16486990563999</v>
      </c>
      <c r="Q5" s="163">
        <v>14608</v>
      </c>
      <c r="R5" s="169">
        <v>146.53268309019001</v>
      </c>
      <c r="S5" s="163">
        <v>12000</v>
      </c>
      <c r="T5" s="169">
        <v>138.98594331058001</v>
      </c>
      <c r="U5" s="163">
        <v>86044</v>
      </c>
      <c r="V5" s="169">
        <v>146.24334324569</v>
      </c>
    </row>
    <row r="6" spans="1:29" x14ac:dyDescent="0.2">
      <c r="A6" s="71"/>
      <c r="B6" s="73" t="s">
        <v>9</v>
      </c>
      <c r="C6" s="163">
        <v>1022663</v>
      </c>
      <c r="D6" s="169">
        <v>156.66972169620001</v>
      </c>
      <c r="E6" s="163">
        <v>388795</v>
      </c>
      <c r="F6" s="169">
        <v>155.31063535854</v>
      </c>
      <c r="G6" s="163">
        <v>285888</v>
      </c>
      <c r="H6" s="169">
        <v>139.24760674102001</v>
      </c>
      <c r="I6" s="163">
        <v>327458</v>
      </c>
      <c r="J6" s="169">
        <v>134.17828513063</v>
      </c>
      <c r="K6" s="163">
        <v>238885</v>
      </c>
      <c r="L6" s="169">
        <v>142.60141309938999</v>
      </c>
      <c r="M6" s="163">
        <v>402450</v>
      </c>
      <c r="N6" s="169">
        <v>164.75614922151999</v>
      </c>
      <c r="O6" s="163">
        <v>1009008</v>
      </c>
      <c r="P6" s="169">
        <v>152.92070411634</v>
      </c>
      <c r="Q6" s="163">
        <v>852231</v>
      </c>
      <c r="R6" s="169">
        <v>138.23988009886</v>
      </c>
      <c r="S6" s="163">
        <v>564200.01</v>
      </c>
      <c r="T6" s="169">
        <v>147.21163162254999</v>
      </c>
      <c r="U6" s="163">
        <v>2827889.01</v>
      </c>
      <c r="V6" s="169">
        <v>149.04171976795999</v>
      </c>
    </row>
    <row r="7" spans="1:29" x14ac:dyDescent="0.2">
      <c r="A7" s="9" t="s">
        <v>18</v>
      </c>
      <c r="B7" s="2" t="s">
        <v>7</v>
      </c>
      <c r="C7" s="170">
        <v>1166740</v>
      </c>
      <c r="D7" s="171">
        <v>132.52315642585</v>
      </c>
      <c r="E7" s="170">
        <v>207509</v>
      </c>
      <c r="F7" s="171">
        <v>148.2249320116</v>
      </c>
      <c r="G7" s="170">
        <v>270334</v>
      </c>
      <c r="H7" s="171">
        <v>148.90162987361001</v>
      </c>
      <c r="I7" s="170">
        <v>255740</v>
      </c>
      <c r="J7" s="171">
        <v>148.9508213382</v>
      </c>
      <c r="K7" s="170">
        <v>275550</v>
      </c>
      <c r="L7" s="171">
        <v>149.85048657359999</v>
      </c>
      <c r="M7" s="170">
        <v>669209</v>
      </c>
      <c r="N7" s="171">
        <v>155.91580174578999</v>
      </c>
      <c r="O7" s="170">
        <v>705040</v>
      </c>
      <c r="P7" s="171">
        <v>114.94073694343</v>
      </c>
      <c r="Q7" s="170">
        <v>801624</v>
      </c>
      <c r="R7" s="171">
        <v>149.24348302275999</v>
      </c>
      <c r="S7" s="170">
        <v>638500</v>
      </c>
      <c r="T7" s="171">
        <v>144.16576318093999</v>
      </c>
      <c r="U7" s="170">
        <v>2814373</v>
      </c>
      <c r="V7" s="171">
        <v>141.08473630565999</v>
      </c>
    </row>
    <row r="8" spans="1:29" x14ac:dyDescent="0.2">
      <c r="A8" s="71"/>
      <c r="B8" s="73" t="s">
        <v>8</v>
      </c>
      <c r="C8" s="163">
        <v>540236</v>
      </c>
      <c r="D8" s="169">
        <v>128.98067844978999</v>
      </c>
      <c r="E8" s="163">
        <v>124962</v>
      </c>
      <c r="F8" s="169">
        <v>146.17667429399</v>
      </c>
      <c r="G8" s="163">
        <v>219125</v>
      </c>
      <c r="H8" s="169">
        <v>146.67481861484001</v>
      </c>
      <c r="I8" s="163">
        <v>180890</v>
      </c>
      <c r="J8" s="169">
        <v>147.42261210861</v>
      </c>
      <c r="K8" s="163">
        <v>127000</v>
      </c>
      <c r="L8" s="169">
        <v>143.29907603261</v>
      </c>
      <c r="M8" s="163">
        <v>337411</v>
      </c>
      <c r="N8" s="169">
        <v>155.45776053003999</v>
      </c>
      <c r="O8" s="163">
        <v>327787</v>
      </c>
      <c r="P8" s="169">
        <v>108.28183222009</v>
      </c>
      <c r="Q8" s="163">
        <v>527015</v>
      </c>
      <c r="R8" s="169">
        <v>146.11800155488001</v>
      </c>
      <c r="S8" s="163">
        <v>241500</v>
      </c>
      <c r="T8" s="169">
        <v>137.42073796481</v>
      </c>
      <c r="U8" s="163">
        <v>1433713</v>
      </c>
      <c r="V8" s="169">
        <v>138.20061768574001</v>
      </c>
    </row>
    <row r="9" spans="1:29" x14ac:dyDescent="0.2">
      <c r="A9" s="71"/>
      <c r="B9" s="73" t="s">
        <v>9</v>
      </c>
      <c r="C9" s="163">
        <v>626504</v>
      </c>
      <c r="D9" s="169">
        <v>135.57784423611</v>
      </c>
      <c r="E9" s="163">
        <v>82547</v>
      </c>
      <c r="F9" s="169">
        <v>151.32564289035</v>
      </c>
      <c r="G9" s="163">
        <v>51209</v>
      </c>
      <c r="H9" s="169">
        <v>158.43022869565999</v>
      </c>
      <c r="I9" s="163">
        <v>74850</v>
      </c>
      <c r="J9" s="169">
        <v>152.64404468544001</v>
      </c>
      <c r="K9" s="163">
        <v>148550</v>
      </c>
      <c r="L9" s="169">
        <v>155.45149053660001</v>
      </c>
      <c r="M9" s="163">
        <v>331798</v>
      </c>
      <c r="N9" s="169">
        <v>156.38159160785</v>
      </c>
      <c r="O9" s="163">
        <v>377253</v>
      </c>
      <c r="P9" s="169">
        <v>120.72651572464</v>
      </c>
      <c r="Q9" s="163">
        <v>274609</v>
      </c>
      <c r="R9" s="169">
        <v>155.24174096695</v>
      </c>
      <c r="S9" s="163">
        <v>397000</v>
      </c>
      <c r="T9" s="169">
        <v>148.26884527086</v>
      </c>
      <c r="U9" s="163">
        <v>1380660</v>
      </c>
      <c r="V9" s="169">
        <v>144.07967956389999</v>
      </c>
    </row>
    <row r="10" spans="1:29" x14ac:dyDescent="0.2">
      <c r="A10" s="9" t="s">
        <v>19</v>
      </c>
      <c r="B10" s="2" t="s">
        <v>7</v>
      </c>
      <c r="C10" s="170">
        <v>593914</v>
      </c>
      <c r="D10" s="171">
        <v>167.91840312015</v>
      </c>
      <c r="E10" s="170">
        <v>170192</v>
      </c>
      <c r="F10" s="171">
        <v>153.95588442158001</v>
      </c>
      <c r="G10" s="170">
        <v>111391</v>
      </c>
      <c r="H10" s="171">
        <v>147.05133690896</v>
      </c>
      <c r="I10" s="170">
        <v>183175</v>
      </c>
      <c r="J10" s="171">
        <v>146.44542928934999</v>
      </c>
      <c r="K10" s="170">
        <v>162500</v>
      </c>
      <c r="L10" s="171">
        <v>140.28874997156001</v>
      </c>
      <c r="M10" s="170">
        <v>303173</v>
      </c>
      <c r="N10" s="171">
        <v>172.42750321235999</v>
      </c>
      <c r="O10" s="170">
        <v>460933</v>
      </c>
      <c r="P10" s="171">
        <v>159.79716557673001</v>
      </c>
      <c r="Q10" s="170">
        <v>457066</v>
      </c>
      <c r="R10" s="171">
        <v>144.40421919389999</v>
      </c>
      <c r="S10" s="170">
        <v>445000</v>
      </c>
      <c r="T10" s="171">
        <v>137.99395942506001</v>
      </c>
      <c r="U10" s="170">
        <v>1666172</v>
      </c>
      <c r="V10" s="171">
        <v>152.04956099755</v>
      </c>
    </row>
    <row r="11" spans="1:29" x14ac:dyDescent="0.2">
      <c r="A11" s="71"/>
      <c r="B11" s="73" t="s">
        <v>8</v>
      </c>
      <c r="C11" s="163">
        <v>553217</v>
      </c>
      <c r="D11" s="169">
        <v>164.64623177198001</v>
      </c>
      <c r="E11" s="163">
        <v>152702</v>
      </c>
      <c r="F11" s="169">
        <v>147.7980943979</v>
      </c>
      <c r="G11" s="163">
        <v>111391</v>
      </c>
      <c r="H11" s="169">
        <v>147.05133690896</v>
      </c>
      <c r="I11" s="163">
        <v>183175</v>
      </c>
      <c r="J11" s="169">
        <v>146.44542928934999</v>
      </c>
      <c r="K11" s="163">
        <v>162500</v>
      </c>
      <c r="L11" s="169">
        <v>140.28874997156001</v>
      </c>
      <c r="M11" s="163">
        <v>292967</v>
      </c>
      <c r="N11" s="169">
        <v>171.92051124905001</v>
      </c>
      <c r="O11" s="163">
        <v>412952</v>
      </c>
      <c r="P11" s="169">
        <v>153.25539673822999</v>
      </c>
      <c r="Q11" s="163">
        <v>457066</v>
      </c>
      <c r="R11" s="169">
        <v>144.40421919389999</v>
      </c>
      <c r="S11" s="163">
        <v>435000</v>
      </c>
      <c r="T11" s="169">
        <v>138.4006554437</v>
      </c>
      <c r="U11" s="163">
        <v>1597985</v>
      </c>
      <c r="V11" s="169">
        <v>150.1019740367</v>
      </c>
    </row>
    <row r="12" spans="1:29" x14ac:dyDescent="0.2">
      <c r="A12" s="71"/>
      <c r="B12" s="73" t="s">
        <v>9</v>
      </c>
      <c r="C12" s="163">
        <v>40697</v>
      </c>
      <c r="D12" s="169">
        <v>212.39885172126</v>
      </c>
      <c r="E12" s="163">
        <v>17490</v>
      </c>
      <c r="F12" s="169">
        <v>207.71842599947001</v>
      </c>
      <c r="G12" s="163">
        <v>0</v>
      </c>
      <c r="H12" s="169">
        <v>0</v>
      </c>
      <c r="I12" s="163">
        <v>0</v>
      </c>
      <c r="J12" s="169">
        <v>0</v>
      </c>
      <c r="K12" s="163">
        <v>0</v>
      </c>
      <c r="L12" s="169">
        <v>0</v>
      </c>
      <c r="M12" s="163">
        <v>10206</v>
      </c>
      <c r="N12" s="169">
        <v>186.98089479718001</v>
      </c>
      <c r="O12" s="163">
        <v>47981</v>
      </c>
      <c r="P12" s="169">
        <v>216.09937948210001</v>
      </c>
      <c r="Q12" s="163">
        <v>0</v>
      </c>
      <c r="R12" s="169">
        <v>0</v>
      </c>
      <c r="S12" s="163">
        <v>10000</v>
      </c>
      <c r="T12" s="169">
        <v>120.30268261444</v>
      </c>
      <c r="U12" s="163">
        <v>68187</v>
      </c>
      <c r="V12" s="169">
        <v>197.69190850711999</v>
      </c>
    </row>
    <row r="13" spans="1:29" ht="7.5" customHeight="1" x14ac:dyDescent="0.2"/>
  </sheetData>
  <mergeCells count="14">
    <mergeCell ref="A1:V1"/>
    <mergeCell ref="U2:V2"/>
    <mergeCell ref="X3:Y3"/>
    <mergeCell ref="Z3:AA3"/>
    <mergeCell ref="AB3:AC3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U25"/>
  <sheetViews>
    <sheetView zoomScale="98" zoomScaleNormal="98" workbookViewId="0">
      <selection sqref="A1:U1"/>
    </sheetView>
  </sheetViews>
  <sheetFormatPr baseColWidth="10" defaultColWidth="8.83203125" defaultRowHeight="15" x14ac:dyDescent="0.2"/>
  <cols>
    <col min="1" max="1" width="10.1640625" bestFit="1" customWidth="1"/>
    <col min="2" max="2" width="11.6640625" customWidth="1"/>
    <col min="3" max="3" width="14.33203125" customWidth="1"/>
    <col min="4" max="4" width="11.6640625" style="22" customWidth="1"/>
    <col min="5" max="5" width="14.33203125" style="22" customWidth="1"/>
    <col min="6" max="6" width="11.6640625" style="22" customWidth="1"/>
    <col min="7" max="7" width="14.33203125" style="22" customWidth="1"/>
    <col min="8" max="8" width="11.6640625" style="22" customWidth="1"/>
    <col min="9" max="9" width="14.33203125" style="22" customWidth="1"/>
    <col min="10" max="10" width="11.6640625" style="22" customWidth="1"/>
    <col min="11" max="11" width="14.33203125" style="22" customWidth="1"/>
    <col min="12" max="12" width="11.6640625" style="22" customWidth="1"/>
    <col min="13" max="13" width="14.33203125" style="22" customWidth="1"/>
    <col min="14" max="14" width="11.6640625" style="22" customWidth="1"/>
    <col min="15" max="15" width="14.33203125" style="22" customWidth="1"/>
    <col min="16" max="16" width="11.6640625" style="22" customWidth="1"/>
    <col min="17" max="17" width="14.33203125" style="22" customWidth="1"/>
    <col min="18" max="18" width="11.6640625" style="22" customWidth="1"/>
    <col min="19" max="19" width="14.33203125" style="22" customWidth="1"/>
    <col min="20" max="20" width="11.6640625" style="22" customWidth="1"/>
    <col min="21" max="21" width="14.33203125" style="22" customWidth="1"/>
  </cols>
  <sheetData>
    <row r="1" spans="1:21" ht="27" x14ac:dyDescent="0.45">
      <c r="A1" s="224" t="s">
        <v>63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</row>
    <row r="2" spans="1:21" s="8" customFormat="1" ht="37.5" customHeight="1" x14ac:dyDescent="0.35">
      <c r="A2" s="121"/>
      <c r="B2" s="221" t="s">
        <v>174</v>
      </c>
      <c r="C2" s="221"/>
      <c r="D2" s="225" t="s">
        <v>184</v>
      </c>
      <c r="E2" s="225"/>
      <c r="F2" s="225" t="s">
        <v>185</v>
      </c>
      <c r="G2" s="225"/>
      <c r="H2" s="225" t="s">
        <v>186</v>
      </c>
      <c r="I2" s="225"/>
      <c r="J2" s="225" t="s">
        <v>187</v>
      </c>
      <c r="K2" s="225"/>
      <c r="L2" s="225" t="s">
        <v>179</v>
      </c>
      <c r="M2" s="225"/>
      <c r="N2" s="225" t="s">
        <v>180</v>
      </c>
      <c r="O2" s="225"/>
      <c r="P2" s="225" t="s">
        <v>181</v>
      </c>
      <c r="Q2" s="225"/>
      <c r="R2" s="225" t="s">
        <v>182</v>
      </c>
      <c r="S2" s="225"/>
      <c r="T2" s="225" t="s">
        <v>183</v>
      </c>
      <c r="U2" s="225"/>
    </row>
    <row r="3" spans="1:21" ht="18" x14ac:dyDescent="0.35">
      <c r="A3" s="122"/>
      <c r="B3" s="123" t="s">
        <v>0</v>
      </c>
      <c r="C3" s="124" t="s">
        <v>61</v>
      </c>
      <c r="D3" s="123" t="s">
        <v>0</v>
      </c>
      <c r="E3" s="124" t="s">
        <v>61</v>
      </c>
      <c r="F3" s="123" t="s">
        <v>0</v>
      </c>
      <c r="G3" s="124" t="s">
        <v>61</v>
      </c>
      <c r="H3" s="123" t="s">
        <v>0</v>
      </c>
      <c r="I3" s="124" t="s">
        <v>61</v>
      </c>
      <c r="J3" s="123" t="s">
        <v>0</v>
      </c>
      <c r="K3" s="124" t="s">
        <v>61</v>
      </c>
      <c r="L3" s="123" t="s">
        <v>0</v>
      </c>
      <c r="M3" s="124" t="s">
        <v>61</v>
      </c>
      <c r="N3" s="123" t="s">
        <v>0</v>
      </c>
      <c r="O3" s="124" t="s">
        <v>61</v>
      </c>
      <c r="P3" s="123" t="s">
        <v>0</v>
      </c>
      <c r="Q3" s="124" t="s">
        <v>61</v>
      </c>
      <c r="R3" s="123" t="s">
        <v>0</v>
      </c>
      <c r="S3" s="124" t="s">
        <v>61</v>
      </c>
      <c r="T3" s="123" t="s">
        <v>0</v>
      </c>
      <c r="U3" s="124" t="s">
        <v>61</v>
      </c>
    </row>
    <row r="4" spans="1:21" x14ac:dyDescent="0.2">
      <c r="A4" s="4" t="s">
        <v>7</v>
      </c>
      <c r="B4" s="170">
        <v>4987416.6900000004</v>
      </c>
      <c r="C4" s="171">
        <v>164.94849644486001</v>
      </c>
      <c r="D4" s="170">
        <v>1222050.68</v>
      </c>
      <c r="E4" s="171">
        <v>159.59331776193</v>
      </c>
      <c r="F4" s="170">
        <v>1037054</v>
      </c>
      <c r="G4" s="171">
        <v>154.43883398289</v>
      </c>
      <c r="H4" s="170">
        <v>1168943</v>
      </c>
      <c r="I4" s="171">
        <v>148.70254549398001</v>
      </c>
      <c r="J4" s="170">
        <v>1113721</v>
      </c>
      <c r="K4" s="171">
        <v>156.37791915974</v>
      </c>
      <c r="L4" s="170">
        <v>2467953.63</v>
      </c>
      <c r="M4" s="171">
        <v>175.66585436174</v>
      </c>
      <c r="N4" s="170">
        <v>3741513.77</v>
      </c>
      <c r="O4" s="171">
        <v>156.13007451656</v>
      </c>
      <c r="P4" s="170">
        <v>3319718</v>
      </c>
      <c r="Q4" s="171">
        <v>153.06950249363001</v>
      </c>
      <c r="R4" s="170">
        <v>2912236.01</v>
      </c>
      <c r="S4" s="171">
        <v>150.78953428349001</v>
      </c>
      <c r="T4" s="170">
        <v>12441421.41</v>
      </c>
      <c r="U4" s="171">
        <v>157.93856957736</v>
      </c>
    </row>
    <row r="5" spans="1:21" x14ac:dyDescent="0.2">
      <c r="A5" s="6" t="s">
        <v>8</v>
      </c>
      <c r="B5" s="165">
        <v>2351425</v>
      </c>
      <c r="C5" s="166">
        <v>160.30223624343</v>
      </c>
      <c r="D5" s="165">
        <v>537871</v>
      </c>
      <c r="E5" s="166">
        <v>156.58520331801</v>
      </c>
      <c r="F5" s="165">
        <v>443277</v>
      </c>
      <c r="G5" s="166">
        <v>150.18798450985</v>
      </c>
      <c r="H5" s="165">
        <v>581385</v>
      </c>
      <c r="I5" s="166">
        <v>151.51441313626</v>
      </c>
      <c r="J5" s="165">
        <v>468450</v>
      </c>
      <c r="K5" s="166">
        <v>150.32563825317001</v>
      </c>
      <c r="L5" s="165">
        <v>1220020.02</v>
      </c>
      <c r="M5" s="166">
        <v>169.63671439309999</v>
      </c>
      <c r="N5" s="165">
        <v>1669276.01</v>
      </c>
      <c r="O5" s="166">
        <v>152.28226880584</v>
      </c>
      <c r="P5" s="165">
        <v>1493112</v>
      </c>
      <c r="Q5" s="166">
        <v>150.74765424864</v>
      </c>
      <c r="R5" s="165">
        <v>1336500</v>
      </c>
      <c r="S5" s="166">
        <v>142.01246684494001</v>
      </c>
      <c r="T5" s="165">
        <v>5718908.0300000003</v>
      </c>
      <c r="U5" s="166">
        <v>153.18380967587001</v>
      </c>
    </row>
    <row r="6" spans="1:21" x14ac:dyDescent="0.2">
      <c r="A6" s="77" t="s">
        <v>40</v>
      </c>
      <c r="B6" s="172">
        <v>0</v>
      </c>
      <c r="C6" s="173">
        <v>0</v>
      </c>
      <c r="D6" s="172">
        <v>0</v>
      </c>
      <c r="E6" s="173">
        <v>0</v>
      </c>
      <c r="F6" s="172">
        <v>0</v>
      </c>
      <c r="G6" s="173">
        <v>0</v>
      </c>
      <c r="H6" s="172">
        <v>0</v>
      </c>
      <c r="I6" s="173">
        <v>0</v>
      </c>
      <c r="J6" s="172">
        <v>0</v>
      </c>
      <c r="K6" s="173">
        <v>0</v>
      </c>
      <c r="L6" s="172">
        <v>0</v>
      </c>
      <c r="M6" s="173">
        <v>0</v>
      </c>
      <c r="N6" s="172">
        <v>0</v>
      </c>
      <c r="O6" s="173">
        <v>0</v>
      </c>
      <c r="P6" s="172">
        <v>0</v>
      </c>
      <c r="Q6" s="173">
        <v>0</v>
      </c>
      <c r="R6" s="172">
        <v>0</v>
      </c>
      <c r="S6" s="173">
        <v>0</v>
      </c>
      <c r="T6" s="172">
        <v>0</v>
      </c>
      <c r="U6" s="173">
        <v>0</v>
      </c>
    </row>
    <row r="7" spans="1:21" s="22" customFormat="1" x14ac:dyDescent="0.2">
      <c r="A7" s="77" t="s">
        <v>20</v>
      </c>
      <c r="B7" s="172">
        <v>1586044</v>
      </c>
      <c r="C7" s="173">
        <v>166.13281463415001</v>
      </c>
      <c r="D7" s="172">
        <v>355338</v>
      </c>
      <c r="E7" s="173">
        <v>159.59333670775999</v>
      </c>
      <c r="F7" s="172">
        <v>274797</v>
      </c>
      <c r="G7" s="173">
        <v>150.52197703441001</v>
      </c>
      <c r="H7" s="172">
        <v>318531</v>
      </c>
      <c r="I7" s="173">
        <v>154.16025633704999</v>
      </c>
      <c r="J7" s="172">
        <v>255450</v>
      </c>
      <c r="K7" s="173">
        <v>150.81137054899</v>
      </c>
      <c r="L7" s="172">
        <v>818101.02</v>
      </c>
      <c r="M7" s="173">
        <v>171.66593956624001</v>
      </c>
      <c r="N7" s="172">
        <v>1123281.01</v>
      </c>
      <c r="O7" s="173">
        <v>160.03426486686999</v>
      </c>
      <c r="P7" s="172">
        <v>848778</v>
      </c>
      <c r="Q7" s="173">
        <v>151.97445379257999</v>
      </c>
      <c r="R7" s="172">
        <v>906000</v>
      </c>
      <c r="S7" s="173">
        <v>143.95122433271999</v>
      </c>
      <c r="T7" s="172">
        <v>3696160.03</v>
      </c>
      <c r="U7" s="173">
        <v>156.81569748462999</v>
      </c>
    </row>
    <row r="8" spans="1:21" s="22" customFormat="1" x14ac:dyDescent="0.2">
      <c r="A8" s="77" t="s">
        <v>21</v>
      </c>
      <c r="B8" s="172">
        <v>54724</v>
      </c>
      <c r="C8" s="173">
        <v>117.40621284994</v>
      </c>
      <c r="D8" s="172">
        <v>31283</v>
      </c>
      <c r="E8" s="173">
        <v>149.65091976087001</v>
      </c>
      <c r="F8" s="172">
        <v>14835</v>
      </c>
      <c r="G8" s="173">
        <v>130.44416130140999</v>
      </c>
      <c r="H8" s="172">
        <v>72540</v>
      </c>
      <c r="I8" s="173">
        <v>146.55687922812999</v>
      </c>
      <c r="J8" s="172">
        <v>30000</v>
      </c>
      <c r="K8" s="173">
        <v>142.38082755212</v>
      </c>
      <c r="L8" s="172">
        <v>37455</v>
      </c>
      <c r="M8" s="173">
        <v>131.02021707649001</v>
      </c>
      <c r="N8" s="172">
        <v>48552</v>
      </c>
      <c r="O8" s="173">
        <v>127.67970597049001</v>
      </c>
      <c r="P8" s="172">
        <v>117375</v>
      </c>
      <c r="Q8" s="173">
        <v>143.45303496212</v>
      </c>
      <c r="R8" s="172">
        <v>35000</v>
      </c>
      <c r="S8" s="173">
        <v>142.48980638014999</v>
      </c>
      <c r="T8" s="172">
        <v>238382</v>
      </c>
      <c r="U8" s="173">
        <v>138.14554168043</v>
      </c>
    </row>
    <row r="9" spans="1:21" s="22" customFormat="1" x14ac:dyDescent="0.2">
      <c r="A9" s="77" t="s">
        <v>22</v>
      </c>
      <c r="B9" s="172">
        <v>175559</v>
      </c>
      <c r="C9" s="173">
        <v>189.50699380493</v>
      </c>
      <c r="D9" s="172">
        <v>2200</v>
      </c>
      <c r="E9" s="173">
        <v>150.36370886936001</v>
      </c>
      <c r="F9" s="172">
        <v>43062</v>
      </c>
      <c r="G9" s="173">
        <v>173.69841569600001</v>
      </c>
      <c r="H9" s="172">
        <v>39164</v>
      </c>
      <c r="I9" s="173">
        <v>153.21859899115</v>
      </c>
      <c r="J9" s="172">
        <v>41500</v>
      </c>
      <c r="K9" s="173">
        <v>157.59366281735001</v>
      </c>
      <c r="L9" s="172">
        <v>103263</v>
      </c>
      <c r="M9" s="173">
        <v>193.98930365087</v>
      </c>
      <c r="N9" s="172">
        <v>74496</v>
      </c>
      <c r="O9" s="173">
        <v>182.13784662281</v>
      </c>
      <c r="P9" s="172">
        <v>123726</v>
      </c>
      <c r="Q9" s="173">
        <v>161.81393882053999</v>
      </c>
      <c r="R9" s="172">
        <v>95500</v>
      </c>
      <c r="S9" s="173">
        <v>128.59178334414</v>
      </c>
      <c r="T9" s="172">
        <v>396985</v>
      </c>
      <c r="U9" s="173">
        <v>166.00517699356001</v>
      </c>
    </row>
    <row r="10" spans="1:21" s="22" customFormat="1" x14ac:dyDescent="0.2">
      <c r="A10" s="77" t="s">
        <v>23</v>
      </c>
      <c r="B10" s="172">
        <v>438776</v>
      </c>
      <c r="C10" s="173">
        <v>129.65673897843001</v>
      </c>
      <c r="D10" s="172">
        <v>120581</v>
      </c>
      <c r="E10" s="173">
        <v>149.59150223149999</v>
      </c>
      <c r="F10" s="172">
        <v>89384</v>
      </c>
      <c r="G10" s="173">
        <v>142.42388932618999</v>
      </c>
      <c r="H10" s="172">
        <v>125850</v>
      </c>
      <c r="I10" s="173">
        <v>148.01224480559</v>
      </c>
      <c r="J10" s="172">
        <v>105400</v>
      </c>
      <c r="K10" s="173">
        <v>144.27079021499</v>
      </c>
      <c r="L10" s="172">
        <v>234929</v>
      </c>
      <c r="M10" s="173">
        <v>155.46654878154999</v>
      </c>
      <c r="N10" s="172">
        <v>324428</v>
      </c>
      <c r="O10" s="173">
        <v>118.37621103566001</v>
      </c>
      <c r="P10" s="172">
        <v>320634</v>
      </c>
      <c r="Q10" s="173">
        <v>145.22445910594001</v>
      </c>
      <c r="R10" s="172">
        <v>184000</v>
      </c>
      <c r="S10" s="173">
        <v>137.04955524132001</v>
      </c>
      <c r="T10" s="172">
        <v>1063991</v>
      </c>
      <c r="U10" s="173">
        <v>137.88572987737001</v>
      </c>
    </row>
    <row r="11" spans="1:21" s="22" customFormat="1" x14ac:dyDescent="0.2">
      <c r="A11" s="77" t="s">
        <v>24</v>
      </c>
      <c r="B11" s="172">
        <v>96322</v>
      </c>
      <c r="C11" s="173">
        <v>175.03655224871</v>
      </c>
      <c r="D11" s="172">
        <v>28469</v>
      </c>
      <c r="E11" s="173">
        <v>156.761389646</v>
      </c>
      <c r="F11" s="172">
        <v>21199</v>
      </c>
      <c r="G11" s="173">
        <v>144.65466547052</v>
      </c>
      <c r="H11" s="172">
        <v>25300</v>
      </c>
      <c r="I11" s="173">
        <v>147.19985102947001</v>
      </c>
      <c r="J11" s="172">
        <v>36100</v>
      </c>
      <c r="K11" s="173">
        <v>162.81378146307</v>
      </c>
      <c r="L11" s="172">
        <v>26272</v>
      </c>
      <c r="M11" s="173">
        <v>192.49493361754</v>
      </c>
      <c r="N11" s="172">
        <v>98519</v>
      </c>
      <c r="O11" s="173">
        <v>165.09996946307001</v>
      </c>
      <c r="P11" s="172">
        <v>82599</v>
      </c>
      <c r="Q11" s="173">
        <v>153.37071871539001</v>
      </c>
      <c r="R11" s="172">
        <v>83000</v>
      </c>
      <c r="S11" s="173">
        <v>144.68834473096999</v>
      </c>
      <c r="T11" s="172">
        <v>290390</v>
      </c>
      <c r="U11" s="173">
        <v>158.40804227203</v>
      </c>
    </row>
    <row r="12" spans="1:21" x14ac:dyDescent="0.2">
      <c r="A12" s="6" t="s">
        <v>9</v>
      </c>
      <c r="B12" s="165">
        <v>2635991.69</v>
      </c>
      <c r="C12" s="166">
        <v>169.09317278643999</v>
      </c>
      <c r="D12" s="165">
        <v>684179.68</v>
      </c>
      <c r="E12" s="166">
        <v>161.95816075766001</v>
      </c>
      <c r="F12" s="165">
        <v>593777</v>
      </c>
      <c r="G12" s="166">
        <v>157.61225397365999</v>
      </c>
      <c r="H12" s="165">
        <v>587558</v>
      </c>
      <c r="I12" s="166">
        <v>145.92021988662</v>
      </c>
      <c r="J12" s="165">
        <v>645271</v>
      </c>
      <c r="K12" s="166">
        <v>160.77171802980001</v>
      </c>
      <c r="L12" s="165">
        <v>1247933.6100000001</v>
      </c>
      <c r="M12" s="166">
        <v>181.56013544062</v>
      </c>
      <c r="N12" s="165">
        <v>2072237.76</v>
      </c>
      <c r="O12" s="166">
        <v>159.22964633597999</v>
      </c>
      <c r="P12" s="165">
        <v>1826606</v>
      </c>
      <c r="Q12" s="166">
        <v>154.96743750357999</v>
      </c>
      <c r="R12" s="165">
        <v>1575736.01</v>
      </c>
      <c r="S12" s="166">
        <v>158.23402406931999</v>
      </c>
      <c r="T12" s="165">
        <v>6722513.3799999999</v>
      </c>
      <c r="U12" s="166">
        <v>161.98349043424</v>
      </c>
    </row>
    <row r="13" spans="1:21" s="22" customFormat="1" x14ac:dyDescent="0.2">
      <c r="A13" s="77" t="s">
        <v>42</v>
      </c>
      <c r="B13" s="172">
        <v>16042</v>
      </c>
      <c r="C13" s="173">
        <v>159.57873121805</v>
      </c>
      <c r="D13" s="172">
        <v>20868</v>
      </c>
      <c r="E13" s="173">
        <v>149.90833682425</v>
      </c>
      <c r="F13" s="172">
        <v>14577</v>
      </c>
      <c r="G13" s="173">
        <v>118.23341131809001</v>
      </c>
      <c r="H13" s="172">
        <v>17990</v>
      </c>
      <c r="I13" s="173">
        <v>133.11169904124</v>
      </c>
      <c r="J13" s="172">
        <v>10000</v>
      </c>
      <c r="K13" s="173">
        <v>131.70138612164001</v>
      </c>
      <c r="L13" s="172">
        <v>8096</v>
      </c>
      <c r="M13" s="173">
        <v>164.43719388586999</v>
      </c>
      <c r="N13" s="172">
        <v>28814</v>
      </c>
      <c r="O13" s="173">
        <v>151.21002489583</v>
      </c>
      <c r="P13" s="172">
        <v>42567</v>
      </c>
      <c r="Q13" s="173">
        <v>127.68533755614</v>
      </c>
      <c r="R13" s="172">
        <v>55000</v>
      </c>
      <c r="S13" s="173">
        <v>145.26966608293</v>
      </c>
      <c r="T13" s="172">
        <v>134477</v>
      </c>
      <c r="U13" s="173">
        <v>142.13034628495001</v>
      </c>
    </row>
    <row r="14" spans="1:21" s="22" customFormat="1" x14ac:dyDescent="0.2">
      <c r="A14" s="77" t="s">
        <v>25</v>
      </c>
      <c r="B14" s="172">
        <v>253786</v>
      </c>
      <c r="C14" s="173">
        <v>200.48420635810999</v>
      </c>
      <c r="D14" s="172">
        <v>33848</v>
      </c>
      <c r="E14" s="173">
        <v>190.52605365042001</v>
      </c>
      <c r="F14" s="172">
        <v>39825</v>
      </c>
      <c r="G14" s="173">
        <v>176.98486348957999</v>
      </c>
      <c r="H14" s="172">
        <v>23300</v>
      </c>
      <c r="I14" s="173">
        <v>166.86267689296</v>
      </c>
      <c r="J14" s="172">
        <v>95750</v>
      </c>
      <c r="K14" s="173">
        <v>164.72604006281</v>
      </c>
      <c r="L14" s="172">
        <v>114452</v>
      </c>
      <c r="M14" s="173">
        <v>214.50174470083999</v>
      </c>
      <c r="N14" s="172">
        <v>173182</v>
      </c>
      <c r="O14" s="173">
        <v>189.27404103347999</v>
      </c>
      <c r="P14" s="172">
        <v>158875</v>
      </c>
      <c r="Q14" s="173">
        <v>168.11229517602999</v>
      </c>
      <c r="R14" s="172">
        <v>215500</v>
      </c>
      <c r="S14" s="173">
        <v>164.19434021341999</v>
      </c>
      <c r="T14" s="172">
        <v>662009</v>
      </c>
      <c r="U14" s="173">
        <v>180.39291289219</v>
      </c>
    </row>
    <row r="15" spans="1:21" s="22" customFormat="1" x14ac:dyDescent="0.2">
      <c r="A15" s="77" t="s">
        <v>26</v>
      </c>
      <c r="B15" s="172">
        <v>243904</v>
      </c>
      <c r="C15" s="173">
        <v>122.16265040221001</v>
      </c>
      <c r="D15" s="172">
        <v>38017</v>
      </c>
      <c r="E15" s="173">
        <v>153.80404127065</v>
      </c>
      <c r="F15" s="172">
        <v>0</v>
      </c>
      <c r="G15" s="173">
        <v>0</v>
      </c>
      <c r="H15" s="172">
        <v>0</v>
      </c>
      <c r="I15" s="173">
        <v>0</v>
      </c>
      <c r="J15" s="172">
        <v>0</v>
      </c>
      <c r="K15" s="173">
        <v>0</v>
      </c>
      <c r="L15" s="172">
        <v>158728</v>
      </c>
      <c r="M15" s="173">
        <v>159.25404042701999</v>
      </c>
      <c r="N15" s="172">
        <v>123193</v>
      </c>
      <c r="O15" s="173">
        <v>84.136696011839007</v>
      </c>
      <c r="P15" s="172">
        <v>0</v>
      </c>
      <c r="Q15" s="173">
        <v>0</v>
      </c>
      <c r="R15" s="172">
        <v>105000</v>
      </c>
      <c r="S15" s="173">
        <v>152.46729449137001</v>
      </c>
      <c r="T15" s="172">
        <v>386921</v>
      </c>
      <c r="U15" s="173">
        <v>133.49545060175001</v>
      </c>
    </row>
    <row r="16" spans="1:21" s="22" customFormat="1" x14ac:dyDescent="0.2">
      <c r="A16" s="77" t="s">
        <v>27</v>
      </c>
      <c r="B16" s="172">
        <v>8424</v>
      </c>
      <c r="C16" s="173">
        <v>222.48682250712</v>
      </c>
      <c r="D16" s="172">
        <v>4024</v>
      </c>
      <c r="E16" s="173">
        <v>232.98918609662999</v>
      </c>
      <c r="F16" s="172">
        <v>0</v>
      </c>
      <c r="G16" s="173">
        <v>0</v>
      </c>
      <c r="H16" s="172">
        <v>0</v>
      </c>
      <c r="I16" s="173">
        <v>0</v>
      </c>
      <c r="J16" s="172">
        <v>0</v>
      </c>
      <c r="K16" s="173">
        <v>0</v>
      </c>
      <c r="L16" s="172">
        <v>4969</v>
      </c>
      <c r="M16" s="173">
        <v>214.45991243711001</v>
      </c>
      <c r="N16" s="172">
        <v>7479</v>
      </c>
      <c r="O16" s="173">
        <v>233.47054054724001</v>
      </c>
      <c r="P16" s="172">
        <v>0</v>
      </c>
      <c r="Q16" s="173">
        <v>0</v>
      </c>
      <c r="R16" s="172">
        <v>9600</v>
      </c>
      <c r="S16" s="173">
        <v>183.10719008046999</v>
      </c>
      <c r="T16" s="172">
        <v>22048</v>
      </c>
      <c r="U16" s="173">
        <v>207.25718897067</v>
      </c>
    </row>
    <row r="17" spans="1:21" s="22" customFormat="1" x14ac:dyDescent="0.2">
      <c r="A17" s="77" t="s">
        <v>28</v>
      </c>
      <c r="B17" s="172">
        <v>20582</v>
      </c>
      <c r="C17" s="173">
        <v>190.52565096686001</v>
      </c>
      <c r="D17" s="172">
        <v>0</v>
      </c>
      <c r="E17" s="173">
        <v>0</v>
      </c>
      <c r="F17" s="172">
        <v>6533</v>
      </c>
      <c r="G17" s="173">
        <v>198.22626099103999</v>
      </c>
      <c r="H17" s="172">
        <v>10000</v>
      </c>
      <c r="I17" s="173">
        <v>192.70024267801</v>
      </c>
      <c r="J17" s="172">
        <v>0</v>
      </c>
      <c r="K17" s="173">
        <v>0</v>
      </c>
      <c r="L17" s="172">
        <v>0</v>
      </c>
      <c r="M17" s="173">
        <v>0</v>
      </c>
      <c r="N17" s="172">
        <v>20582</v>
      </c>
      <c r="O17" s="173">
        <v>190.58474580702</v>
      </c>
      <c r="P17" s="172">
        <v>16533</v>
      </c>
      <c r="Q17" s="173">
        <v>194.88384381749</v>
      </c>
      <c r="R17" s="172">
        <v>9000</v>
      </c>
      <c r="S17" s="173">
        <v>165.09552893678</v>
      </c>
      <c r="T17" s="172">
        <v>46115</v>
      </c>
      <c r="U17" s="173">
        <v>187.12508508003</v>
      </c>
    </row>
    <row r="18" spans="1:21" s="22" customFormat="1" x14ac:dyDescent="0.2">
      <c r="A18" s="77" t="s">
        <v>29</v>
      </c>
      <c r="B18" s="172">
        <v>1697383</v>
      </c>
      <c r="C18" s="173">
        <v>158.24922354436001</v>
      </c>
      <c r="D18" s="172">
        <v>496650</v>
      </c>
      <c r="E18" s="173">
        <v>153.64746543813999</v>
      </c>
      <c r="F18" s="172">
        <v>423562</v>
      </c>
      <c r="G18" s="173">
        <v>145.434903701</v>
      </c>
      <c r="H18" s="172">
        <v>464018</v>
      </c>
      <c r="I18" s="173">
        <v>138.02754777570999</v>
      </c>
      <c r="J18" s="172">
        <v>435185</v>
      </c>
      <c r="K18" s="173">
        <v>149.4792233979</v>
      </c>
      <c r="L18" s="172">
        <v>728419</v>
      </c>
      <c r="M18" s="173">
        <v>166.48483890961</v>
      </c>
      <c r="N18" s="172">
        <v>1465614</v>
      </c>
      <c r="O18" s="173">
        <v>152.59668346750999</v>
      </c>
      <c r="P18" s="172">
        <v>1322765</v>
      </c>
      <c r="Q18" s="173">
        <v>144.16701468484999</v>
      </c>
      <c r="R18" s="172">
        <v>886700.01</v>
      </c>
      <c r="S18" s="173">
        <v>151.59429638642001</v>
      </c>
      <c r="T18" s="172">
        <v>4403498.01</v>
      </c>
      <c r="U18" s="173">
        <v>152.16000990508999</v>
      </c>
    </row>
    <row r="19" spans="1:21" s="22" customFormat="1" x14ac:dyDescent="0.2">
      <c r="A19" s="77" t="s">
        <v>30</v>
      </c>
      <c r="B19" s="172">
        <v>13029</v>
      </c>
      <c r="C19" s="173">
        <v>270.42979177220002</v>
      </c>
      <c r="D19" s="172">
        <v>0</v>
      </c>
      <c r="E19" s="173">
        <v>0</v>
      </c>
      <c r="F19" s="172">
        <v>0</v>
      </c>
      <c r="G19" s="173">
        <v>0</v>
      </c>
      <c r="H19" s="172">
        <v>0</v>
      </c>
      <c r="I19" s="173">
        <v>0</v>
      </c>
      <c r="J19" s="172">
        <v>6600</v>
      </c>
      <c r="K19" s="173">
        <v>234.19976219163999</v>
      </c>
      <c r="L19" s="172">
        <v>6020</v>
      </c>
      <c r="M19" s="173">
        <v>261.93198119600999</v>
      </c>
      <c r="N19" s="172">
        <v>7009</v>
      </c>
      <c r="O19" s="173">
        <v>277.72852478241998</v>
      </c>
      <c r="P19" s="172">
        <v>6600</v>
      </c>
      <c r="Q19" s="173">
        <v>234.19976219163999</v>
      </c>
      <c r="R19" s="172">
        <v>6500</v>
      </c>
      <c r="S19" s="173">
        <v>228.11543514893</v>
      </c>
      <c r="T19" s="172">
        <v>26129</v>
      </c>
      <c r="U19" s="173">
        <v>250.75198116778</v>
      </c>
    </row>
    <row r="20" spans="1:21" s="22" customFormat="1" x14ac:dyDescent="0.2">
      <c r="A20" s="77" t="s">
        <v>31</v>
      </c>
      <c r="B20" s="172">
        <v>122716</v>
      </c>
      <c r="C20" s="173">
        <v>217.15250749860999</v>
      </c>
      <c r="D20" s="172">
        <v>15011</v>
      </c>
      <c r="E20" s="173">
        <v>202.42890140540001</v>
      </c>
      <c r="F20" s="172">
        <v>29940</v>
      </c>
      <c r="G20" s="173">
        <v>204.46493456497001</v>
      </c>
      <c r="H20" s="172">
        <v>20000</v>
      </c>
      <c r="I20" s="173">
        <v>174.64586679224001</v>
      </c>
      <c r="J20" s="172">
        <v>21700</v>
      </c>
      <c r="K20" s="173">
        <v>186.73800517781001</v>
      </c>
      <c r="L20" s="172">
        <v>72803</v>
      </c>
      <c r="M20" s="173">
        <v>221.70927674820999</v>
      </c>
      <c r="N20" s="172">
        <v>64924</v>
      </c>
      <c r="O20" s="173">
        <v>208.63851386384999</v>
      </c>
      <c r="P20" s="172">
        <v>71640</v>
      </c>
      <c r="Q20" s="173">
        <v>190.77068940646001</v>
      </c>
      <c r="R20" s="172">
        <v>50900</v>
      </c>
      <c r="S20" s="173">
        <v>154.78916527550001</v>
      </c>
      <c r="T20" s="172">
        <v>260267</v>
      </c>
      <c r="U20" s="173">
        <v>196.845270629</v>
      </c>
    </row>
    <row r="21" spans="1:21" s="22" customFormat="1" x14ac:dyDescent="0.2">
      <c r="A21" s="77" t="s">
        <v>32</v>
      </c>
      <c r="B21" s="172">
        <v>40089</v>
      </c>
      <c r="C21" s="173">
        <v>238.13988328719</v>
      </c>
      <c r="D21" s="172">
        <v>15281</v>
      </c>
      <c r="E21" s="173">
        <v>224.71002532181001</v>
      </c>
      <c r="F21" s="172">
        <v>6810</v>
      </c>
      <c r="G21" s="173">
        <v>220.44828782613001</v>
      </c>
      <c r="H21" s="172">
        <v>8400</v>
      </c>
      <c r="I21" s="173">
        <v>197.5918091332</v>
      </c>
      <c r="J21" s="172">
        <v>13500</v>
      </c>
      <c r="K21" s="173">
        <v>189.54024404348999</v>
      </c>
      <c r="L21" s="172">
        <v>32079</v>
      </c>
      <c r="M21" s="173">
        <v>236.34786256741</v>
      </c>
      <c r="N21" s="172">
        <v>23291</v>
      </c>
      <c r="O21" s="173">
        <v>231.79685692940001</v>
      </c>
      <c r="P21" s="172">
        <v>28710</v>
      </c>
      <c r="Q21" s="173">
        <v>199.22735393248999</v>
      </c>
      <c r="R21" s="172">
        <v>41000</v>
      </c>
      <c r="S21" s="173">
        <v>190.07219288703999</v>
      </c>
      <c r="T21" s="172">
        <v>125080</v>
      </c>
      <c r="U21" s="173">
        <v>211.81132809253</v>
      </c>
    </row>
    <row r="22" spans="1:21" s="22" customFormat="1" x14ac:dyDescent="0.2">
      <c r="A22" s="77" t="s">
        <v>33</v>
      </c>
      <c r="B22" s="172">
        <v>74301</v>
      </c>
      <c r="C22" s="173">
        <v>222.21304403843999</v>
      </c>
      <c r="D22" s="172">
        <v>17490</v>
      </c>
      <c r="E22" s="173">
        <v>207.71842599947001</v>
      </c>
      <c r="F22" s="172">
        <v>33509</v>
      </c>
      <c r="G22" s="173">
        <v>201.39697112759001</v>
      </c>
      <c r="H22" s="172">
        <v>0</v>
      </c>
      <c r="I22" s="173">
        <v>0</v>
      </c>
      <c r="J22" s="172">
        <v>20500</v>
      </c>
      <c r="K22" s="173">
        <v>227.93861536237</v>
      </c>
      <c r="L22" s="172">
        <v>30839</v>
      </c>
      <c r="M22" s="173">
        <v>201.63321344076999</v>
      </c>
      <c r="N22" s="172">
        <v>60952</v>
      </c>
      <c r="O22" s="173">
        <v>228.46633394361001</v>
      </c>
      <c r="P22" s="172">
        <v>54009</v>
      </c>
      <c r="Q22" s="173">
        <v>211.47128664562001</v>
      </c>
      <c r="R22" s="172">
        <v>39500</v>
      </c>
      <c r="S22" s="173">
        <v>197.14730387858</v>
      </c>
      <c r="T22" s="172">
        <v>185300</v>
      </c>
      <c r="U22" s="173">
        <v>212.37084662427</v>
      </c>
    </row>
    <row r="23" spans="1:21" s="22" customFormat="1" x14ac:dyDescent="0.2">
      <c r="A23" s="77" t="s">
        <v>34</v>
      </c>
      <c r="B23" s="172">
        <v>145663.69</v>
      </c>
      <c r="C23" s="173">
        <v>218.32043082528</v>
      </c>
      <c r="D23" s="172">
        <v>42990.68</v>
      </c>
      <c r="E23" s="173">
        <v>186.83327933856</v>
      </c>
      <c r="F23" s="172">
        <v>38985</v>
      </c>
      <c r="G23" s="173">
        <v>192.83173464449001</v>
      </c>
      <c r="H23" s="172">
        <v>43850</v>
      </c>
      <c r="I23" s="173">
        <v>189.89863388034999</v>
      </c>
      <c r="J23" s="172">
        <v>42000</v>
      </c>
      <c r="K23" s="173">
        <v>208.12839533387</v>
      </c>
      <c r="L23" s="172">
        <v>91492.61</v>
      </c>
      <c r="M23" s="173">
        <v>235.35719849723</v>
      </c>
      <c r="N23" s="172">
        <v>97161.76</v>
      </c>
      <c r="O23" s="173">
        <v>188.34575360713001</v>
      </c>
      <c r="P23" s="172">
        <v>124835</v>
      </c>
      <c r="Q23" s="173">
        <v>196.94791424512999</v>
      </c>
      <c r="R23" s="172">
        <v>157000</v>
      </c>
      <c r="S23" s="173">
        <v>174.00232753339</v>
      </c>
      <c r="T23" s="172">
        <v>470489.37</v>
      </c>
      <c r="U23" s="173">
        <v>194.98380500994</v>
      </c>
    </row>
    <row r="24" spans="1:21" s="22" customFormat="1" x14ac:dyDescent="0.2">
      <c r="A24" s="77" t="s">
        <v>35</v>
      </c>
      <c r="B24" s="172">
        <v>72</v>
      </c>
      <c r="C24" s="173">
        <v>787.57052638889002</v>
      </c>
      <c r="D24" s="172">
        <v>0</v>
      </c>
      <c r="E24" s="173">
        <v>0</v>
      </c>
      <c r="F24" s="172">
        <v>36</v>
      </c>
      <c r="G24" s="173">
        <v>828.34990000000005</v>
      </c>
      <c r="H24" s="172">
        <v>0</v>
      </c>
      <c r="I24" s="173">
        <v>0</v>
      </c>
      <c r="J24" s="172">
        <v>36</v>
      </c>
      <c r="K24" s="173">
        <v>828.29380000000003</v>
      </c>
      <c r="L24" s="172">
        <v>36</v>
      </c>
      <c r="M24" s="173">
        <v>805.07504166667002</v>
      </c>
      <c r="N24" s="172">
        <v>36</v>
      </c>
      <c r="O24" s="173">
        <v>770.06601111111002</v>
      </c>
      <c r="P24" s="172">
        <v>72</v>
      </c>
      <c r="Q24" s="173">
        <v>828.32185000000004</v>
      </c>
      <c r="R24" s="172">
        <v>36</v>
      </c>
      <c r="S24" s="173">
        <v>826.56330000000003</v>
      </c>
      <c r="T24" s="172">
        <v>180</v>
      </c>
      <c r="U24" s="173">
        <v>811.66961055555998</v>
      </c>
    </row>
    <row r="25" spans="1:21" x14ac:dyDescent="0.2">
      <c r="B25" s="80"/>
      <c r="C25" s="81"/>
      <c r="D25" s="80"/>
      <c r="E25" s="81"/>
      <c r="F25" s="80"/>
      <c r="G25" s="81"/>
      <c r="H25" s="80"/>
      <c r="I25" s="81"/>
      <c r="J25" s="80"/>
      <c r="K25" s="81"/>
      <c r="L25" s="80"/>
      <c r="M25" s="81"/>
      <c r="N25" s="80"/>
      <c r="O25" s="81"/>
      <c r="P25" s="80"/>
      <c r="Q25" s="81"/>
      <c r="R25" s="80"/>
      <c r="S25" s="81"/>
      <c r="T25" s="80"/>
      <c r="U25" s="81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topLeftCell="A39" zoomScale="80" zoomScaleNormal="80" workbookViewId="0">
      <selection activeCell="O19" sqref="O19"/>
    </sheetView>
  </sheetViews>
  <sheetFormatPr baseColWidth="10" defaultColWidth="9.1640625" defaultRowHeight="15" outlineLevelCol="1" x14ac:dyDescent="0.2"/>
  <cols>
    <col min="1" max="1" width="14" style="99" customWidth="1"/>
    <col min="2" max="2" width="4.5" style="99" hidden="1" customWidth="1" outlineLevel="1"/>
    <col min="3" max="3" width="8.5" style="99" customWidth="1" collapsed="1"/>
    <col min="4" max="4" width="11.6640625" style="99" customWidth="1"/>
    <col min="5" max="5" width="14.6640625" style="99" customWidth="1"/>
    <col min="6" max="6" width="11.6640625" style="99" customWidth="1"/>
    <col min="7" max="7" width="14.6640625" style="99" customWidth="1"/>
    <col min="8" max="8" width="11.6640625" style="99" customWidth="1"/>
    <col min="9" max="9" width="14.6640625" style="99" customWidth="1"/>
    <col min="10" max="10" width="11.6640625" style="99" customWidth="1"/>
    <col min="11" max="11" width="14.6640625" style="99" customWidth="1"/>
    <col min="12" max="12" width="11.6640625" style="99" customWidth="1"/>
    <col min="13" max="13" width="14.6640625" style="99" customWidth="1"/>
    <col min="14" max="14" width="11.6640625" style="99" customWidth="1"/>
    <col min="15" max="15" width="14.6640625" style="99" customWidth="1"/>
    <col min="16" max="16" width="11.6640625" style="99" customWidth="1"/>
    <col min="17" max="17" width="14.6640625" style="99" customWidth="1"/>
    <col min="18" max="18" width="11.6640625" style="99" customWidth="1"/>
    <col min="19" max="19" width="14.6640625" style="99" customWidth="1"/>
    <col min="20" max="20" width="11.6640625" style="99" customWidth="1"/>
    <col min="21" max="21" width="14.6640625" style="99" customWidth="1"/>
    <col min="22" max="25" width="9.1640625" style="99"/>
    <col min="26" max="26" width="16" style="99" bestFit="1" customWidth="1"/>
    <col min="27" max="27" width="9.1640625" style="99"/>
    <col min="28" max="28" width="16" style="99" bestFit="1" customWidth="1"/>
    <col min="29" max="29" width="13.83203125" style="99" customWidth="1"/>
    <col min="30" max="30" width="16" style="99" bestFit="1" customWidth="1"/>
    <col min="31" max="16384" width="9.1640625" style="99"/>
  </cols>
  <sheetData>
    <row r="1" spans="1:30" ht="27" x14ac:dyDescent="0.45">
      <c r="A1" s="217" t="s">
        <v>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</row>
    <row r="2" spans="1:30" s="8" customFormat="1" ht="37.5" customHeight="1" x14ac:dyDescent="0.35">
      <c r="A2" s="117"/>
      <c r="B2" s="117"/>
      <c r="C2" s="117"/>
      <c r="D2" s="221" t="str">
        <f ca="1">CONCATENATE(#REF!," YTD","
 Actual")</f>
        <v>May-20 YTD
 Actual</v>
      </c>
      <c r="E2" s="221"/>
      <c r="F2" s="221" t="str">
        <f ca="1">CONCATENATE(#REF!,"
 Forecast")</f>
        <v>Jun-20
 Forecast</v>
      </c>
      <c r="G2" s="221"/>
      <c r="H2" s="221" t="str">
        <f ca="1">CONCATENATE(#REF!,"
 Forecast")</f>
        <v>Jul-20
 Forecast</v>
      </c>
      <c r="I2" s="221"/>
      <c r="J2" s="221" t="str">
        <f ca="1">CONCATENATE(#REF!,"
 Forecast")</f>
        <v>Aug-20
 Forecast</v>
      </c>
      <c r="K2" s="221"/>
      <c r="L2" s="221" t="str">
        <f ca="1">CONCATENATE("Qtr 1 ",#REF!," 
Actual")</f>
        <v>Qtr 1 2020 
Actual</v>
      </c>
      <c r="M2" s="221"/>
      <c r="N2" s="221" t="str">
        <f ca="1">CONCATENATE("Qtr 2 ",#REF!," 
Actual")</f>
        <v>Qtr 2 2020 
Actual</v>
      </c>
      <c r="O2" s="221"/>
      <c r="P2" s="221" t="str">
        <f ca="1">CONCATENATE("Qtr 3 ",#REF!," 
Actual")</f>
        <v>Qtr 3 2020 
Actual</v>
      </c>
      <c r="Q2" s="221"/>
      <c r="R2" s="221" t="str">
        <f ca="1">CONCATENATE("Qtr 4 ",#REF!," 
Forecast")</f>
        <v>Qtr 4 2020 
Forecast</v>
      </c>
      <c r="S2" s="221"/>
      <c r="T2" s="221" t="str">
        <f ca="1">CONCATENATE(#REF!," 
Forecast")</f>
        <v>2020 
Forecast</v>
      </c>
      <c r="U2" s="221"/>
    </row>
    <row r="3" spans="1:30" ht="18" x14ac:dyDescent="0.35">
      <c r="A3" s="118"/>
      <c r="B3" s="118"/>
      <c r="C3" s="118"/>
      <c r="D3" s="120" t="s">
        <v>0</v>
      </c>
      <c r="E3" s="119" t="s">
        <v>61</v>
      </c>
      <c r="F3" s="120" t="s">
        <v>0</v>
      </c>
      <c r="G3" s="119" t="s">
        <v>61</v>
      </c>
      <c r="H3" s="120" t="s">
        <v>0</v>
      </c>
      <c r="I3" s="119" t="s">
        <v>61</v>
      </c>
      <c r="J3" s="120" t="s">
        <v>0</v>
      </c>
      <c r="K3" s="119" t="s">
        <v>61</v>
      </c>
      <c r="L3" s="120" t="s">
        <v>0</v>
      </c>
      <c r="M3" s="119" t="s">
        <v>61</v>
      </c>
      <c r="N3" s="120" t="s">
        <v>0</v>
      </c>
      <c r="O3" s="119" t="s">
        <v>61</v>
      </c>
      <c r="P3" s="120" t="s">
        <v>0</v>
      </c>
      <c r="Q3" s="119" t="s">
        <v>61</v>
      </c>
      <c r="R3" s="120" t="s">
        <v>0</v>
      </c>
      <c r="S3" s="119" t="s">
        <v>61</v>
      </c>
      <c r="T3" s="120" t="s">
        <v>0</v>
      </c>
      <c r="U3" s="119" t="s">
        <v>61</v>
      </c>
      <c r="Y3" s="222"/>
      <c r="Z3" s="222"/>
      <c r="AA3" s="222"/>
      <c r="AB3" s="222"/>
      <c r="AC3" s="222"/>
      <c r="AD3" s="222"/>
    </row>
    <row r="4" spans="1:30" x14ac:dyDescent="0.2">
      <c r="A4" s="9" t="s">
        <v>64</v>
      </c>
      <c r="B4" s="21" t="s">
        <v>65</v>
      </c>
      <c r="C4" s="2" t="s">
        <v>7</v>
      </c>
      <c r="D4" s="46">
        <f ca="1">_xll.DBGET(#REF!,#REF!,#REF!,#REF!,#REF!,#REF!,$C4,$B4,#REF!,#REF!,#REF!)</f>
        <v>4987416.72</v>
      </c>
      <c r="E4" s="5">
        <f ca="1">_xll.DBGET(#REF!,#REF!,#REF!,#REF!,#REF!,#REF!,$C4,$B4,#REF!,#REF!,#REF!)</f>
        <v>164.94849545266999</v>
      </c>
      <c r="F4" s="46">
        <f ca="1">_xll.DBGET(#REF!,#REF!,#REF!,#REF!,#REF!,#REF!,$C4,$B4,#REF!,#REF!,#REF!)</f>
        <v>1222050.68</v>
      </c>
      <c r="G4" s="5">
        <f ca="1">_xll.DBGET(#REF!,#REF!,#REF!,#REF!,#REF!,#REF!,$C4,$B4,#REF!,#REF!,#REF!)</f>
        <v>159.59331776193</v>
      </c>
      <c r="H4" s="46">
        <f ca="1">_xll.DBGET(#REF!,#REF!,#REF!,#REF!,#REF!,#REF!,$C4,$B4,#REF!,#REF!,#REF!)</f>
        <v>1037054</v>
      </c>
      <c r="I4" s="5">
        <f ca="1">_xll.DBGET(#REF!,#REF!,#REF!,#REF!,#REF!,#REF!,$C4,$B4,#REF!,#REF!,#REF!)</f>
        <v>154.43883398289</v>
      </c>
      <c r="J4" s="46">
        <f ca="1">_xll.DBGET(#REF!,#REF!,#REF!,#REF!,#REF!,#REF!,$C4,$B4,#REF!,#REF!,#REF!)</f>
        <v>1168943</v>
      </c>
      <c r="K4" s="5">
        <f ca="1">_xll.DBGET(#REF!,#REF!,#REF!,#REF!,#REF!,#REF!,$C4,$B4,#REF!,#REF!,#REF!)</f>
        <v>148.70254549398001</v>
      </c>
      <c r="L4" s="46">
        <f ca="1">_xll.DBGET(#REF!,#REF!,#REF!,#REF!,#REF!,#REF!,$C4,$B4,#REF!,#REF!,#REF!)</f>
        <v>0</v>
      </c>
      <c r="M4" s="5">
        <f ca="1">_xll.DBGET(#REF!,#REF!,#REF!,#REF!,#REF!,#REF!,$C4,$B4,#REF!,#REF!,#REF!)</f>
        <v>0</v>
      </c>
      <c r="N4" s="46">
        <f ca="1">_xll.DBGET(#REF!,#REF!,#REF!,#REF!,#REF!,#REF!,$C4,$B4,#REF!,#REF!,#REF!)</f>
        <v>0</v>
      </c>
      <c r="O4" s="5">
        <f ca="1">IFERROR((_xll.DBGET(#REF!,#REF!,#REF!,#REF!,#REF!,#REF!,$C4,$B4,#REF!,#REF!,#REF!))/N4,0)</f>
        <v>0</v>
      </c>
      <c r="P4" s="46">
        <f ca="1">_xll.DBGET(#REF!,#REF!,#REF!,#REF!,#REF!,#REF!,$C4,$B4,#REF!,#REF!,#REF!)</f>
        <v>0</v>
      </c>
      <c r="Q4" s="5">
        <f ca="1">IFERROR((_xll.DBGET(#REF!,#REF!,#REF!,#REF!,#REF!,#REF!,$C4,$B4,#REF!,#REF!,#REF!))/P4,0)</f>
        <v>0</v>
      </c>
      <c r="R4" s="46">
        <f ca="1">_xll.DBGET(#REF!,#REF!,#REF!,#REF!,#REF!,#REF!,$C4,$B4,#REF!,#REF!,#REF!)</f>
        <v>0</v>
      </c>
      <c r="S4" s="5">
        <f ca="1">IFERROR((_xll.DBGET(#REF!,#REF!,#REF!,#REF!,#REF!,#REF!,$C4,$B4,#REF!,#REF!,#REF!))/R4,0)</f>
        <v>0</v>
      </c>
      <c r="T4" s="46">
        <f ca="1">_xll.DBGET(#REF!,#REF!,#REF!,#REF!,#REF!,#REF!,$C4,$B4,#REF!,#REF!,#REF!)</f>
        <v>0</v>
      </c>
      <c r="U4" s="5">
        <f ca="1">_xll.DBGET(#REF!,#REF!,#REF!,#REF!,#REF!,#REF!,$C4,$B4,#REF!,#REF!,#REF!)</f>
        <v>0</v>
      </c>
    </row>
    <row r="5" spans="1:30" x14ac:dyDescent="0.2">
      <c r="A5" s="15" t="s">
        <v>1</v>
      </c>
      <c r="B5" s="16" t="s">
        <v>6</v>
      </c>
      <c r="C5" s="19" t="s">
        <v>7</v>
      </c>
      <c r="D5" s="47">
        <f ca="1">_xll.DBGET(#REF!,#REF!,#REF!,#REF!,#REF!,#REF!,$C5,$B5,#REF!,#REF!,#REF!)</f>
        <v>3168768</v>
      </c>
      <c r="E5" s="7">
        <f ca="1">_xll.DBGET(#REF!,#REF!,#REF!,#REF!,#REF!,#REF!,$C5,$B5,#REF!,#REF!,#REF!)</f>
        <v>162.6041358041</v>
      </c>
      <c r="F5" s="47">
        <f ca="1">_xll.DBGET(#REF!,#REF!,#REF!,#REF!,#REF!,#REF!,$C5,$B5,#REF!,#REF!,#REF!)</f>
        <v>678519</v>
      </c>
      <c r="G5" s="7">
        <f ca="1">_xll.DBGET(#REF!,#REF!,#REF!,#REF!,#REF!,#REF!,$C5,$B5,#REF!,#REF!,#REF!)</f>
        <v>162.42463608121</v>
      </c>
      <c r="H5" s="47">
        <f ca="1">_xll.DBGET(#REF!,#REF!,#REF!,#REF!,#REF!,#REF!,$C5,$B5,#REF!,#REF!,#REF!)</f>
        <v>579723</v>
      </c>
      <c r="I5" s="7">
        <f ca="1">_xll.DBGET(#REF!,#REF!,#REF!,#REF!,#REF!,#REF!,$C5,$B5,#REF!,#REF!,#REF!)</f>
        <v>162.23991423014999</v>
      </c>
      <c r="J5" s="47">
        <f ca="1">_xll.DBGET(#REF!,#REF!,#REF!,#REF!,#REF!,#REF!,$C5,$B5,#REF!,#REF!,#REF!)</f>
        <v>666885</v>
      </c>
      <c r="K5" s="7">
        <f ca="1">_xll.DBGET(#REF!,#REF!,#REF!,#REF!,#REF!,#REF!,$C5,$B5,#REF!,#REF!,#REF!)</f>
        <v>154.61244444606999</v>
      </c>
      <c r="L5" s="47">
        <f ca="1">_xll.DBGET(#REF!,#REF!,#REF!,#REF!,#REF!,#REF!,$C5,$B5,#REF!,#REF!,#REF!)</f>
        <v>0</v>
      </c>
      <c r="M5" s="7">
        <f ca="1">_xll.DBGET(#REF!,#REF!,#REF!,#REF!,#REF!,#REF!,$C5,$B5,#REF!,#REF!,#REF!)</f>
        <v>0</v>
      </c>
      <c r="N5" s="47">
        <f ca="1">_xll.DBGET(#REF!,#REF!,#REF!,#REF!,#REF!,#REF!,$C5,$B5,#REF!,#REF!,#REF!)</f>
        <v>0</v>
      </c>
      <c r="O5" s="7">
        <f ca="1">IFERROR((_xll.DBGET(#REF!,#REF!,#REF!,#REF!,#REF!,#REF!,$C5,$B5,#REF!,#REF!,#REF!))/N5,0)</f>
        <v>0</v>
      </c>
      <c r="P5" s="47">
        <f ca="1">_xll.DBGET(#REF!,#REF!,#REF!,#REF!,#REF!,#REF!,$C5,$B5,#REF!,#REF!,#REF!)</f>
        <v>0</v>
      </c>
      <c r="Q5" s="7">
        <f ca="1">IFERROR((_xll.DBGET(#REF!,#REF!,#REF!,#REF!,#REF!,#REF!,$C5,$B5,#REF!,#REF!,#REF!))/P5,0)</f>
        <v>0</v>
      </c>
      <c r="R5" s="47">
        <f ca="1">_xll.DBGET(#REF!,#REF!,#REF!,#REF!,#REF!,#REF!,$C5,$B5,#REF!,#REF!,#REF!)</f>
        <v>0</v>
      </c>
      <c r="S5" s="7">
        <f ca="1">IFERROR((_xll.DBGET(#REF!,#REF!,#REF!,#REF!,#REF!,#REF!,$C5,$B5,#REF!,#REF!,#REF!))/R5,0)</f>
        <v>0</v>
      </c>
      <c r="T5" s="47">
        <f ca="1">_xll.DBGET(#REF!,#REF!,#REF!,#REF!,#REF!,#REF!,$C5,$B5,#REF!,#REF!,#REF!)</f>
        <v>0</v>
      </c>
      <c r="U5" s="7">
        <f ca="1">_xll.DBGET(#REF!,#REF!,#REF!,#REF!,#REF!,#REF!,$C5,$B5,#REF!,#REF!,#REF!)</f>
        <v>0</v>
      </c>
    </row>
    <row r="6" spans="1:30" x14ac:dyDescent="0.2">
      <c r="A6" s="56"/>
      <c r="B6" s="57" t="s">
        <v>6</v>
      </c>
      <c r="C6" s="61" t="s">
        <v>8</v>
      </c>
      <c r="D6" s="65">
        <f ca="1">_xll.DBGET(#REF!,#REF!,#REF!,#REF!,#REF!,#REF!,$C6,$B6,#REF!,#REF!,#REF!)</f>
        <v>2191769</v>
      </c>
      <c r="E6" s="63">
        <f ca="1">_xll.DBGET(#REF!,#REF!,#REF!,#REF!,#REF!,#REF!,$C6,$B6,#REF!,#REF!,#REF!)</f>
        <v>160.63125865614001</v>
      </c>
      <c r="F6" s="65">
        <f ca="1">_xll.DBGET(#REF!,#REF!,#REF!,#REF!,#REF!,#REF!,$C6,$B6,#REF!,#REF!,#REF!)</f>
        <v>519723</v>
      </c>
      <c r="G6" s="63">
        <f ca="1">_xll.DBGET(#REF!,#REF!,#REF!,#REF!,#REF!,#REF!,$C6,$B6,#REF!,#REF!,#REF!)</f>
        <v>157.20060913431999</v>
      </c>
      <c r="H6" s="65">
        <f ca="1">_xll.DBGET(#REF!,#REF!,#REF!,#REF!,#REF!,#REF!,$C6,$B6,#REF!,#REF!,#REF!)</f>
        <v>415139</v>
      </c>
      <c r="I6" s="63">
        <f ca="1">_xll.DBGET(#REF!,#REF!,#REF!,#REF!,#REF!,#REF!,$C6,$B6,#REF!,#REF!,#REF!)</f>
        <v>151.72310445310001</v>
      </c>
      <c r="J6" s="65">
        <f ca="1">_xll.DBGET(#REF!,#REF!,#REF!,#REF!,#REF!,#REF!,$C6,$B6,#REF!,#REF!,#REF!)</f>
        <v>545985</v>
      </c>
      <c r="K6" s="63">
        <f ca="1">_xll.DBGET(#REF!,#REF!,#REF!,#REF!,#REF!,#REF!,$C6,$B6,#REF!,#REF!,#REF!)</f>
        <v>152.37123251189999</v>
      </c>
      <c r="L6" s="65">
        <f ca="1">_xll.DBGET(#REF!,#REF!,#REF!,#REF!,#REF!,#REF!,$C6,$B6,#REF!,#REF!,#REF!)</f>
        <v>0</v>
      </c>
      <c r="M6" s="63">
        <f ca="1">_xll.DBGET(#REF!,#REF!,#REF!,#REF!,#REF!,#REF!,$C6,$B6,#REF!,#REF!,#REF!)</f>
        <v>0</v>
      </c>
      <c r="N6" s="65">
        <f ca="1">_xll.DBGET(#REF!,#REF!,#REF!,#REF!,#REF!,#REF!,$C6,$B6,#REF!,#REF!,#REF!)</f>
        <v>0</v>
      </c>
      <c r="O6" s="63">
        <f ca="1">IFERROR((_xll.DBGET(#REF!,#REF!,#REF!,#REF!,#REF!,#REF!,$C6,$B6,#REF!,#REF!,#REF!))/N6,0)</f>
        <v>0</v>
      </c>
      <c r="P6" s="65">
        <f ca="1">_xll.DBGET(#REF!,#REF!,#REF!,#REF!,#REF!,#REF!,$C6,$B6,#REF!,#REF!,#REF!)</f>
        <v>0</v>
      </c>
      <c r="Q6" s="63">
        <f ca="1">IFERROR((_xll.DBGET(#REF!,#REF!,#REF!,#REF!,#REF!,#REF!,$C6,$B6,#REF!,#REF!,#REF!))/P6,0)</f>
        <v>0</v>
      </c>
      <c r="R6" s="65">
        <f ca="1">_xll.DBGET(#REF!,#REF!,#REF!,#REF!,#REF!,#REF!,$C6,$B6,#REF!,#REF!,#REF!)</f>
        <v>0</v>
      </c>
      <c r="S6" s="63">
        <f ca="1">IFERROR((_xll.DBGET(#REF!,#REF!,#REF!,#REF!,#REF!,#REF!,$C6,$B6,#REF!,#REF!,#REF!))/R6,0)</f>
        <v>0</v>
      </c>
      <c r="T6" s="65">
        <f ca="1">_xll.DBGET(#REF!,#REF!,#REF!,#REF!,#REF!,#REF!,$C6,$B6,#REF!,#REF!,#REF!)</f>
        <v>0</v>
      </c>
      <c r="U6" s="63">
        <f ca="1">_xll.DBGET(#REF!,#REF!,#REF!,#REF!,#REF!,#REF!,$C6,$B6,#REF!,#REF!,#REF!)</f>
        <v>0</v>
      </c>
    </row>
    <row r="7" spans="1:30" x14ac:dyDescent="0.2">
      <c r="A7" s="58"/>
      <c r="B7" s="59" t="s">
        <v>6</v>
      </c>
      <c r="C7" s="62" t="s">
        <v>9</v>
      </c>
      <c r="D7" s="66">
        <f ca="1">_xll.DBGET(#REF!,#REF!,#REF!,#REF!,#REF!,#REF!,$C7,$B7,#REF!,#REF!,#REF!)</f>
        <v>976999</v>
      </c>
      <c r="E7" s="64">
        <f ca="1">_xll.DBGET(#REF!,#REF!,#REF!,#REF!,#REF!,#REF!,$C7,$B7,#REF!,#REF!,#REF!)</f>
        <v>167.03002669419001</v>
      </c>
      <c r="F7" s="66">
        <f ca="1">_xll.DBGET(#REF!,#REF!,#REF!,#REF!,#REF!,#REF!,$C7,$B7,#REF!,#REF!,#REF!)</f>
        <v>158796</v>
      </c>
      <c r="G7" s="64">
        <f ca="1">_xll.DBGET(#REF!,#REF!,#REF!,#REF!,#REF!,#REF!,$C7,$B7,#REF!,#REF!,#REF!)</f>
        <v>179.52233978231999</v>
      </c>
      <c r="H7" s="66">
        <f ca="1">_xll.DBGET(#REF!,#REF!,#REF!,#REF!,#REF!,#REF!,$C7,$B7,#REF!,#REF!,#REF!)</f>
        <v>164584</v>
      </c>
      <c r="I7" s="64">
        <f ca="1">_xll.DBGET(#REF!,#REF!,#REF!,#REF!,#REF!,#REF!,$C7,$B7,#REF!,#REF!,#REF!)</f>
        <v>188.76702436259001</v>
      </c>
      <c r="J7" s="66">
        <f ca="1">_xll.DBGET(#REF!,#REF!,#REF!,#REF!,#REF!,#REF!,$C7,$B7,#REF!,#REF!,#REF!)</f>
        <v>120900</v>
      </c>
      <c r="K7" s="64">
        <f ca="1">_xll.DBGET(#REF!,#REF!,#REF!,#REF!,#REF!,#REF!,$C7,$B7,#REF!,#REF!,#REF!)</f>
        <v>164.73376866339001</v>
      </c>
      <c r="L7" s="66">
        <f ca="1">_xll.DBGET(#REF!,#REF!,#REF!,#REF!,#REF!,#REF!,$C7,$B7,#REF!,#REF!,#REF!)</f>
        <v>0</v>
      </c>
      <c r="M7" s="64">
        <f ca="1">_xll.DBGET(#REF!,#REF!,#REF!,#REF!,#REF!,#REF!,$C7,$B7,#REF!,#REF!,#REF!)</f>
        <v>0</v>
      </c>
      <c r="N7" s="66">
        <f ca="1">_xll.DBGET(#REF!,#REF!,#REF!,#REF!,#REF!,#REF!,$C7,$B7,#REF!,#REF!,#REF!)</f>
        <v>0</v>
      </c>
      <c r="O7" s="64">
        <f ca="1">IFERROR((_xll.DBGET(#REF!,#REF!,#REF!,#REF!,#REF!,#REF!,$C7,$B7,#REF!,#REF!,#REF!))/N7,0)</f>
        <v>0</v>
      </c>
      <c r="P7" s="66">
        <f ca="1">_xll.DBGET(#REF!,#REF!,#REF!,#REF!,#REF!,#REF!,$C7,$B7,#REF!,#REF!,#REF!)</f>
        <v>0</v>
      </c>
      <c r="Q7" s="64">
        <f ca="1">IFERROR((_xll.DBGET(#REF!,#REF!,#REF!,#REF!,#REF!,#REF!,$C7,$B7,#REF!,#REF!,#REF!))/P7,0)</f>
        <v>0</v>
      </c>
      <c r="R7" s="66">
        <f ca="1">_xll.DBGET(#REF!,#REF!,#REF!,#REF!,#REF!,#REF!,$C7,$B7,#REF!,#REF!,#REF!)</f>
        <v>0</v>
      </c>
      <c r="S7" s="64">
        <f ca="1">IFERROR((_xll.DBGET(#REF!,#REF!,#REF!,#REF!,#REF!,#REF!,$C7,$B7,#REF!,#REF!,#REF!))/R7,0)</f>
        <v>0</v>
      </c>
      <c r="T7" s="66">
        <f ca="1">_xll.DBGET(#REF!,#REF!,#REF!,#REF!,#REF!,#REF!,$C7,$B7,#REF!,#REF!,#REF!)</f>
        <v>0</v>
      </c>
      <c r="U7" s="64">
        <f ca="1">_xll.DBGET(#REF!,#REF!,#REF!,#REF!,#REF!,#REF!,$C7,$B7,#REF!,#REF!,#REF!)</f>
        <v>0</v>
      </c>
    </row>
    <row r="8" spans="1:30" x14ac:dyDescent="0.2">
      <c r="A8" s="15" t="s">
        <v>2</v>
      </c>
      <c r="B8" s="16" t="s">
        <v>10</v>
      </c>
      <c r="C8" s="19" t="s">
        <v>7</v>
      </c>
      <c r="D8" s="67">
        <f ca="1">_xll.DBGET(#REF!,#REF!,#REF!,#REF!,#REF!,#REF!,$C8,$B8,#REF!,#REF!,#REF!)</f>
        <v>1430940</v>
      </c>
      <c r="E8" s="7">
        <f ca="1">_xll.DBGET(#REF!,#REF!,#REF!,#REF!,#REF!,#REF!,$C8,$B8,#REF!,#REF!,#REF!)</f>
        <v>161.30898940597999</v>
      </c>
      <c r="F8" s="67">
        <f ca="1">_xll.DBGET(#REF!,#REF!,#REF!,#REF!,#REF!,#REF!,$C8,$B8,#REF!,#REF!,#REF!)</f>
        <v>488144</v>
      </c>
      <c r="G8" s="7">
        <f ca="1">_xll.DBGET(#REF!,#REF!,#REF!,#REF!,#REF!,#REF!,$C8,$B8,#REF!,#REF!,#REF!)</f>
        <v>152.20728086739999</v>
      </c>
      <c r="H8" s="67">
        <f ca="1">_xll.DBGET(#REF!,#REF!,#REF!,#REF!,#REF!,#REF!,$C8,$B8,#REF!,#REF!,#REF!)</f>
        <v>383021</v>
      </c>
      <c r="I8" s="7">
        <f ca="1">_xll.DBGET(#REF!,#REF!,#REF!,#REF!,#REF!,#REF!,$C8,$B8,#REF!,#REF!,#REF!)</f>
        <v>137.23264568463</v>
      </c>
      <c r="J8" s="67">
        <f ca="1">_xll.DBGET(#REF!,#REF!,#REF!,#REF!,#REF!,#REF!,$C8,$B8,#REF!,#REF!,#REF!)</f>
        <v>433558</v>
      </c>
      <c r="K8" s="7">
        <f ca="1">_xll.DBGET(#REF!,#REF!,#REF!,#REF!,#REF!,#REF!,$C8,$B8,#REF!,#REF!,#REF!)</f>
        <v>137.76394005399999</v>
      </c>
      <c r="L8" s="67">
        <f ca="1">_xll.DBGET(#REF!,#REF!,#REF!,#REF!,#REF!,#REF!,$C8,$B8,#REF!,#REF!,#REF!)</f>
        <v>0</v>
      </c>
      <c r="M8" s="7">
        <f ca="1">_xll.DBGET(#REF!,#REF!,#REF!,#REF!,#REF!,#REF!,$C8,$B8,#REF!,#REF!,#REF!)</f>
        <v>0</v>
      </c>
      <c r="N8" s="67">
        <f ca="1">_xll.DBGET(#REF!,#REF!,#REF!,#REF!,#REF!,#REF!,$C8,$B8,#REF!,#REF!,#REF!)</f>
        <v>0</v>
      </c>
      <c r="O8" s="7">
        <f ca="1">IFERROR((_xll.DBGET(#REF!,#REF!,#REF!,#REF!,#REF!,#REF!,$C8,$B8,#REF!,#REF!,#REF!))/N8,0)</f>
        <v>0</v>
      </c>
      <c r="P8" s="67">
        <f ca="1">_xll.DBGET(#REF!,#REF!,#REF!,#REF!,#REF!,#REF!,$C8,$B8,#REF!,#REF!,#REF!)</f>
        <v>0</v>
      </c>
      <c r="Q8" s="7">
        <f ca="1">IFERROR((_xll.DBGET(#REF!,#REF!,#REF!,#REF!,#REF!,#REF!,$C8,$B8,#REF!,#REF!,#REF!))/P8,0)</f>
        <v>0</v>
      </c>
      <c r="R8" s="67">
        <f ca="1">_xll.DBGET(#REF!,#REF!,#REF!,#REF!,#REF!,#REF!,$C8,$B8,#REF!,#REF!,#REF!)</f>
        <v>0</v>
      </c>
      <c r="S8" s="7">
        <f ca="1">IFERROR((_xll.DBGET(#REF!,#REF!,#REF!,#REF!,#REF!,#REF!,$C8,$B8,#REF!,#REF!,#REF!))/R8,0)</f>
        <v>0</v>
      </c>
      <c r="T8" s="67">
        <f ca="1">_xll.DBGET(#REF!,#REF!,#REF!,#REF!,#REF!,#REF!,$C8,$B8,#REF!,#REF!,#REF!)</f>
        <v>0</v>
      </c>
      <c r="U8" s="7">
        <f ca="1">_xll.DBGET(#REF!,#REF!,#REF!,#REF!,#REF!,#REF!,$C8,$B8,#REF!,#REF!,#REF!)</f>
        <v>0</v>
      </c>
    </row>
    <row r="9" spans="1:30" x14ac:dyDescent="0.2">
      <c r="A9" s="56"/>
      <c r="B9" s="57" t="s">
        <v>10</v>
      </c>
      <c r="C9" s="61" t="s">
        <v>8</v>
      </c>
      <c r="D9" s="65">
        <f ca="1">_xll.DBGET(#REF!,#REF!,#REF!,#REF!,#REF!,#REF!,$C9,$B9,#REF!,#REF!,#REF!)</f>
        <v>104717</v>
      </c>
      <c r="E9" s="63">
        <f ca="1">_xll.DBGET(#REF!,#REF!,#REF!,#REF!,#REF!,#REF!,$C9,$B9,#REF!,#REF!,#REF!)</f>
        <v>154.47773012405</v>
      </c>
      <c r="F9" s="65">
        <f ca="1">_xll.DBGET(#REF!,#REF!,#REF!,#REF!,#REF!,#REF!,$C9,$B9,#REF!,#REF!,#REF!)</f>
        <v>17152</v>
      </c>
      <c r="G9" s="63">
        <f ca="1">_xll.DBGET(#REF!,#REF!,#REF!,#REF!,#REF!,#REF!,$C9,$B9,#REF!,#REF!,#REF!)</f>
        <v>134.35669324489001</v>
      </c>
      <c r="H9" s="65">
        <f ca="1">_xll.DBGET(#REF!,#REF!,#REF!,#REF!,#REF!,#REF!,$C9,$B9,#REF!,#REF!,#REF!)</f>
        <v>28138</v>
      </c>
      <c r="I9" s="63">
        <f ca="1">_xll.DBGET(#REF!,#REF!,#REF!,#REF!,#REF!,#REF!,$C9,$B9,#REF!,#REF!,#REF!)</f>
        <v>127.53931871553</v>
      </c>
      <c r="J9" s="65">
        <f ca="1">_xll.DBGET(#REF!,#REF!,#REF!,#REF!,#REF!,#REF!,$C9,$B9,#REF!,#REF!,#REF!)</f>
        <v>10100</v>
      </c>
      <c r="K9" s="63">
        <f ca="1">_xll.DBGET(#REF!,#REF!,#REF!,#REF!,#REF!,#REF!,$C9,$B9,#REF!,#REF!,#REF!)</f>
        <v>116.00430367977</v>
      </c>
      <c r="L9" s="65">
        <f ca="1">_xll.DBGET(#REF!,#REF!,#REF!,#REF!,#REF!,#REF!,$C9,$B9,#REF!,#REF!,#REF!)</f>
        <v>0</v>
      </c>
      <c r="M9" s="63">
        <f ca="1">_xll.DBGET(#REF!,#REF!,#REF!,#REF!,#REF!,#REF!,$C9,$B9,#REF!,#REF!,#REF!)</f>
        <v>0</v>
      </c>
      <c r="N9" s="65">
        <f ca="1">_xll.DBGET(#REF!,#REF!,#REF!,#REF!,#REF!,#REF!,$C9,$B9,#REF!,#REF!,#REF!)</f>
        <v>0</v>
      </c>
      <c r="O9" s="63">
        <f ca="1">IFERROR((_xll.DBGET(#REF!,#REF!,#REF!,#REF!,#REF!,#REF!,$C9,$B9,#REF!,#REF!,#REF!))/N9,0)</f>
        <v>0</v>
      </c>
      <c r="P9" s="65">
        <f ca="1">_xll.DBGET(#REF!,#REF!,#REF!,#REF!,#REF!,#REF!,$C9,$B9,#REF!,#REF!,#REF!)</f>
        <v>0</v>
      </c>
      <c r="Q9" s="63">
        <f ca="1">IFERROR((_xll.DBGET(#REF!,#REF!,#REF!,#REF!,#REF!,#REF!,$C9,$B9,#REF!,#REF!,#REF!))/P9,0)</f>
        <v>0</v>
      </c>
      <c r="R9" s="65">
        <f ca="1">_xll.DBGET(#REF!,#REF!,#REF!,#REF!,#REF!,#REF!,$C9,$B9,#REF!,#REF!,#REF!)</f>
        <v>0</v>
      </c>
      <c r="S9" s="63">
        <f ca="1">IFERROR((_xll.DBGET(#REF!,#REF!,#REF!,#REF!,#REF!,#REF!,$C9,$B9,#REF!,#REF!,#REF!))/R9,0)</f>
        <v>0</v>
      </c>
      <c r="T9" s="65">
        <f ca="1">_xll.DBGET(#REF!,#REF!,#REF!,#REF!,#REF!,#REF!,$C9,$B9,#REF!,#REF!,#REF!)</f>
        <v>0</v>
      </c>
      <c r="U9" s="63">
        <f ca="1">_xll.DBGET(#REF!,#REF!,#REF!,#REF!,#REF!,#REF!,$C9,$B9,#REF!,#REF!,#REF!)</f>
        <v>0</v>
      </c>
    </row>
    <row r="10" spans="1:30" x14ac:dyDescent="0.2">
      <c r="A10" s="58"/>
      <c r="B10" s="59" t="s">
        <v>10</v>
      </c>
      <c r="C10" s="62" t="s">
        <v>9</v>
      </c>
      <c r="D10" s="66">
        <f ca="1">_xll.DBGET(#REF!,#REF!,#REF!,#REF!,#REF!,#REF!,$C10,$B10,#REF!,#REF!,#REF!)</f>
        <v>1326223</v>
      </c>
      <c r="E10" s="64">
        <f ca="1">_xll.DBGET(#REF!,#REF!,#REF!,#REF!,#REF!,#REF!,$C10,$B10,#REF!,#REF!,#REF!)</f>
        <v>161.84837756184001</v>
      </c>
      <c r="F10" s="66">
        <f ca="1">_xll.DBGET(#REF!,#REF!,#REF!,#REF!,#REF!,#REF!,$C10,$B10,#REF!,#REF!,#REF!)</f>
        <v>470992</v>
      </c>
      <c r="G10" s="64">
        <f ca="1">_xll.DBGET(#REF!,#REF!,#REF!,#REF!,#REF!,#REF!,$C10,$B10,#REF!,#REF!,#REF!)</f>
        <v>152.85734133317999</v>
      </c>
      <c r="H10" s="66">
        <f ca="1">_xll.DBGET(#REF!,#REF!,#REF!,#REF!,#REF!,#REF!,$C10,$B10,#REF!,#REF!,#REF!)</f>
        <v>354883</v>
      </c>
      <c r="I10" s="64">
        <f ca="1">_xll.DBGET(#REF!,#REF!,#REF!,#REF!,#REF!,#REF!,$C10,$B10,#REF!,#REF!,#REF!)</f>
        <v>138.00121119567001</v>
      </c>
      <c r="J10" s="66">
        <f ca="1">_xll.DBGET(#REF!,#REF!,#REF!,#REF!,#REF!,#REF!,$C10,$B10,#REF!,#REF!,#REF!)</f>
        <v>423458</v>
      </c>
      <c r="K10" s="64">
        <f ca="1">_xll.DBGET(#REF!,#REF!,#REF!,#REF!,#REF!,#REF!,$C10,$B10,#REF!,#REF!,#REF!)</f>
        <v>138.28293444631001</v>
      </c>
      <c r="L10" s="66">
        <f ca="1">_xll.DBGET(#REF!,#REF!,#REF!,#REF!,#REF!,#REF!,$C10,$B10,#REF!,#REF!,#REF!)</f>
        <v>0</v>
      </c>
      <c r="M10" s="64">
        <f ca="1">_xll.DBGET(#REF!,#REF!,#REF!,#REF!,#REF!,#REF!,$C10,$B10,#REF!,#REF!,#REF!)</f>
        <v>0</v>
      </c>
      <c r="N10" s="66">
        <f ca="1">_xll.DBGET(#REF!,#REF!,#REF!,#REF!,#REF!,#REF!,$C10,$B10,#REF!,#REF!,#REF!)</f>
        <v>0</v>
      </c>
      <c r="O10" s="64">
        <f ca="1">IFERROR((_xll.DBGET(#REF!,#REF!,#REF!,#REF!,#REF!,#REF!,$C10,$B10,#REF!,#REF!,#REF!))/N10,0)</f>
        <v>0</v>
      </c>
      <c r="P10" s="66">
        <f ca="1">_xll.DBGET(#REF!,#REF!,#REF!,#REF!,#REF!,#REF!,$C10,$B10,#REF!,#REF!,#REF!)</f>
        <v>0</v>
      </c>
      <c r="Q10" s="64">
        <f ca="1">IFERROR((_xll.DBGET(#REF!,#REF!,#REF!,#REF!,#REF!,#REF!,$C10,$B10,#REF!,#REF!,#REF!))/P10,0)</f>
        <v>0</v>
      </c>
      <c r="R10" s="66">
        <f ca="1">_xll.DBGET(#REF!,#REF!,#REF!,#REF!,#REF!,#REF!,$C10,$B10,#REF!,#REF!,#REF!)</f>
        <v>0</v>
      </c>
      <c r="S10" s="64">
        <f ca="1">IFERROR((_xll.DBGET(#REF!,#REF!,#REF!,#REF!,#REF!,#REF!,$C10,$B10,#REF!,#REF!,#REF!))/R10,0)</f>
        <v>0</v>
      </c>
      <c r="T10" s="66">
        <f ca="1">_xll.DBGET(#REF!,#REF!,#REF!,#REF!,#REF!,#REF!,$C10,$B10,#REF!,#REF!,#REF!)</f>
        <v>0</v>
      </c>
      <c r="U10" s="64">
        <f ca="1">_xll.DBGET(#REF!,#REF!,#REF!,#REF!,#REF!,#REF!,$C10,$B10,#REF!,#REF!,#REF!)</f>
        <v>0</v>
      </c>
    </row>
    <row r="11" spans="1:30" x14ac:dyDescent="0.2">
      <c r="A11" s="17" t="s">
        <v>3</v>
      </c>
      <c r="B11" s="18" t="s">
        <v>11</v>
      </c>
      <c r="C11" s="20" t="s">
        <v>7</v>
      </c>
      <c r="D11" s="67">
        <f ca="1">_xll.DBGET(#REF!,#REF!,#REF!,#REF!,#REF!,#REF!,$C11,$B11,#REF!,#REF!,#REF!)</f>
        <v>206861</v>
      </c>
      <c r="E11" s="7">
        <f ca="1">_xll.DBGET(#REF!,#REF!,#REF!,#REF!,#REF!,#REF!,$C11,$B11,#REF!,#REF!,#REF!)</f>
        <v>210.69613531502</v>
      </c>
      <c r="F11" s="67">
        <f ca="1">_xll.DBGET(#REF!,#REF!,#REF!,#REF!,#REF!,#REF!,$C11,$B11,#REF!,#REF!,#REF!)</f>
        <v>34844</v>
      </c>
      <c r="G11" s="7">
        <f ca="1">_xll.DBGET(#REF!,#REF!,#REF!,#REF!,#REF!,#REF!,$C11,$B11,#REF!,#REF!,#REF!)</f>
        <v>191.31866531310999</v>
      </c>
      <c r="H11" s="67">
        <f ca="1">_xll.DBGET(#REF!,#REF!,#REF!,#REF!,#REF!,#REF!,$C11,$B11,#REF!,#REF!,#REF!)</f>
        <v>39825</v>
      </c>
      <c r="I11" s="7">
        <f ca="1">_xll.DBGET(#REF!,#REF!,#REF!,#REF!,#REF!,#REF!,$C11,$B11,#REF!,#REF!,#REF!)</f>
        <v>176.98486348957999</v>
      </c>
      <c r="J11" s="67">
        <f ca="1">_xll.DBGET(#REF!,#REF!,#REF!,#REF!,#REF!,#REF!,$C11,$B11,#REF!,#REF!,#REF!)</f>
        <v>14500</v>
      </c>
      <c r="K11" s="7">
        <f ca="1">_xll.DBGET(#REF!,#REF!,#REF!,#REF!,#REF!,#REF!,$C11,$B11,#REF!,#REF!,#REF!)</f>
        <v>154.18857351776001</v>
      </c>
      <c r="L11" s="67">
        <f ca="1">_xll.DBGET(#REF!,#REF!,#REF!,#REF!,#REF!,#REF!,$C11,$B11,#REF!,#REF!,#REF!)</f>
        <v>0</v>
      </c>
      <c r="M11" s="7">
        <f ca="1">_xll.DBGET(#REF!,#REF!,#REF!,#REF!,#REF!,#REF!,$C11,$B11,#REF!,#REF!,#REF!)</f>
        <v>0</v>
      </c>
      <c r="N11" s="67">
        <f ca="1">_xll.DBGET(#REF!,#REF!,#REF!,#REF!,#REF!,#REF!,$C11,$B11,#REF!,#REF!,#REF!)</f>
        <v>0</v>
      </c>
      <c r="O11" s="7">
        <f ca="1">IFERROR((_xll.DBGET(#REF!,#REF!,#REF!,#REF!,#REF!,#REF!,$C11,$B11,#REF!,#REF!,#REF!))/N11,0)</f>
        <v>0</v>
      </c>
      <c r="P11" s="67">
        <f ca="1">_xll.DBGET(#REF!,#REF!,#REF!,#REF!,#REF!,#REF!,$C11,$B11,#REF!,#REF!,#REF!)</f>
        <v>0</v>
      </c>
      <c r="Q11" s="7">
        <f ca="1">IFERROR((_xll.DBGET(#REF!,#REF!,#REF!,#REF!,#REF!,#REF!,$C11,$B11,#REF!,#REF!,#REF!))/P11,0)</f>
        <v>0</v>
      </c>
      <c r="R11" s="67">
        <f ca="1">_xll.DBGET(#REF!,#REF!,#REF!,#REF!,#REF!,#REF!,$C11,$B11,#REF!,#REF!,#REF!)</f>
        <v>0</v>
      </c>
      <c r="S11" s="7">
        <f ca="1">IFERROR((_xll.DBGET(#REF!,#REF!,#REF!,#REF!,#REF!,#REF!,$C11,$B11,#REF!,#REF!,#REF!))/R11,0)</f>
        <v>0</v>
      </c>
      <c r="T11" s="67">
        <f ca="1">_xll.DBGET(#REF!,#REF!,#REF!,#REF!,#REF!,#REF!,$C11,$B11,#REF!,#REF!,#REF!)</f>
        <v>0</v>
      </c>
      <c r="U11" s="7">
        <f ca="1">_xll.DBGET(#REF!,#REF!,#REF!,#REF!,#REF!,#REF!,$C11,$B11,#REF!,#REF!,#REF!)</f>
        <v>0</v>
      </c>
    </row>
    <row r="12" spans="1:30" x14ac:dyDescent="0.2">
      <c r="A12" s="56"/>
      <c r="B12" s="57" t="s">
        <v>11</v>
      </c>
      <c r="C12" s="61" t="s">
        <v>8</v>
      </c>
      <c r="D12" s="168">
        <f ca="1">_xll.DBGET(#REF!,#REF!,#REF!,#REF!,#REF!,#REF!,$C12,$B12,#REF!,#REF!,#REF!)</f>
        <v>14922</v>
      </c>
      <c r="E12" s="164">
        <f ca="1">_xll.DBGET(#REF!,#REF!,#REF!,#REF!,#REF!,#REF!,$C12,$B12,#REF!,#REF!,#REF!)</f>
        <v>188.8234203726</v>
      </c>
      <c r="F12" s="168">
        <f ca="1">_xll.DBGET(#REF!,#REF!,#REF!,#REF!,#REF!,#REF!,$C12,$B12,#REF!,#REF!,#REF!)</f>
        <v>996</v>
      </c>
      <c r="G12" s="164">
        <f ca="1">_xll.DBGET(#REF!,#REF!,#REF!,#REF!,#REF!,#REF!,$C12,$B12,#REF!,#REF!,#REF!)</f>
        <v>218.25472912698001</v>
      </c>
      <c r="H12" s="168">
        <f ca="1">_xll.DBGET(#REF!,#REF!,#REF!,#REF!,#REF!,#REF!,$C12,$B12,#REF!,#REF!,#REF!)</f>
        <v>0</v>
      </c>
      <c r="I12" s="164">
        <f ca="1">_xll.DBGET(#REF!,#REF!,#REF!,#REF!,#REF!,#REF!,$C12,$B12,#REF!,#REF!,#REF!)</f>
        <v>0</v>
      </c>
      <c r="J12" s="168">
        <f ca="1">_xll.DBGET(#REF!,#REF!,#REF!,#REF!,#REF!,#REF!,$C12,$B12,#REF!,#REF!,#REF!)</f>
        <v>0</v>
      </c>
      <c r="K12" s="164">
        <f ca="1">_xll.DBGET(#REF!,#REF!,#REF!,#REF!,#REF!,#REF!,$C12,$B12,#REF!,#REF!,#REF!)</f>
        <v>0</v>
      </c>
      <c r="L12" s="168">
        <f ca="1">_xll.DBGET(#REF!,#REF!,#REF!,#REF!,#REF!,#REF!,$C12,$B12,#REF!,#REF!,#REF!)</f>
        <v>0</v>
      </c>
      <c r="M12" s="164">
        <f ca="1">_xll.DBGET(#REF!,#REF!,#REF!,#REF!,#REF!,#REF!,$C12,$B12,#REF!,#REF!,#REF!)</f>
        <v>0</v>
      </c>
      <c r="N12" s="168">
        <f ca="1">_xll.DBGET(#REF!,#REF!,#REF!,#REF!,#REF!,#REF!,$C12,$B12,#REF!,#REF!,#REF!)</f>
        <v>0</v>
      </c>
      <c r="O12" s="164">
        <f ca="1">IFERROR((_xll.DBGET(#REF!,#REF!,#REF!,#REF!,#REF!,#REF!,$C12,$B12,#REF!,#REF!,#REF!))/N12,0)</f>
        <v>0</v>
      </c>
      <c r="P12" s="168">
        <f ca="1">_xll.DBGET(#REF!,#REF!,#REF!,#REF!,#REF!,#REF!,$C12,$B12,#REF!,#REF!,#REF!)</f>
        <v>0</v>
      </c>
      <c r="Q12" s="164">
        <f ca="1">IFERROR((_xll.DBGET(#REF!,#REF!,#REF!,#REF!,#REF!,#REF!,$C12,$B12,#REF!,#REF!,#REF!))/P12,0)</f>
        <v>0</v>
      </c>
      <c r="R12" s="168">
        <f ca="1">_xll.DBGET(#REF!,#REF!,#REF!,#REF!,#REF!,#REF!,$C12,$B12,#REF!,#REF!,#REF!)</f>
        <v>0</v>
      </c>
      <c r="S12" s="164">
        <f ca="1">IFERROR((_xll.DBGET(#REF!,#REF!,#REF!,#REF!,#REF!,#REF!,$C12,$B12,#REF!,#REF!,#REF!))/R12,0)</f>
        <v>0</v>
      </c>
      <c r="T12" s="168">
        <f ca="1">_xll.DBGET(#REF!,#REF!,#REF!,#REF!,#REF!,#REF!,$C12,$B12,#REF!,#REF!,#REF!)</f>
        <v>0</v>
      </c>
      <c r="U12" s="164">
        <f ca="1">_xll.DBGET(#REF!,#REF!,#REF!,#REF!,#REF!,#REF!,$C12,$B12,#REF!,#REF!,#REF!)</f>
        <v>0</v>
      </c>
    </row>
    <row r="13" spans="1:30" x14ac:dyDescent="0.2">
      <c r="A13" s="56"/>
      <c r="B13" s="57" t="s">
        <v>11</v>
      </c>
      <c r="C13" s="61" t="s">
        <v>9</v>
      </c>
      <c r="D13" s="168">
        <f ca="1">_xll.DBGET(#REF!,#REF!,#REF!,#REF!,#REF!,#REF!,$C13,$B13,#REF!,#REF!,#REF!)</f>
        <v>191939</v>
      </c>
      <c r="E13" s="164">
        <f ca="1">_xll.DBGET(#REF!,#REF!,#REF!,#REF!,#REF!,#REF!,$C13,$B13,#REF!,#REF!,#REF!)</f>
        <v>212.39659562986</v>
      </c>
      <c r="F13" s="168">
        <f ca="1">_xll.DBGET(#REF!,#REF!,#REF!,#REF!,#REF!,#REF!,$C13,$B13,#REF!,#REF!,#REF!)</f>
        <v>33848</v>
      </c>
      <c r="G13" s="164">
        <f ca="1">_xll.DBGET(#REF!,#REF!,#REF!,#REF!,#REF!,#REF!,$C13,$B13,#REF!,#REF!,#REF!)</f>
        <v>190.52605365042001</v>
      </c>
      <c r="H13" s="168">
        <f ca="1">_xll.DBGET(#REF!,#REF!,#REF!,#REF!,#REF!,#REF!,$C13,$B13,#REF!,#REF!,#REF!)</f>
        <v>39825</v>
      </c>
      <c r="I13" s="164">
        <f ca="1">_xll.DBGET(#REF!,#REF!,#REF!,#REF!,#REF!,#REF!,$C13,$B13,#REF!,#REF!,#REF!)</f>
        <v>176.98486348957999</v>
      </c>
      <c r="J13" s="168">
        <f ca="1">_xll.DBGET(#REF!,#REF!,#REF!,#REF!,#REF!,#REF!,$C13,$B13,#REF!,#REF!,#REF!)</f>
        <v>14500</v>
      </c>
      <c r="K13" s="164">
        <f ca="1">_xll.DBGET(#REF!,#REF!,#REF!,#REF!,#REF!,#REF!,$C13,$B13,#REF!,#REF!,#REF!)</f>
        <v>154.18857351776001</v>
      </c>
      <c r="L13" s="168">
        <f ca="1">_xll.DBGET(#REF!,#REF!,#REF!,#REF!,#REF!,#REF!,$C13,$B13,#REF!,#REF!,#REF!)</f>
        <v>0</v>
      </c>
      <c r="M13" s="164">
        <f ca="1">_xll.DBGET(#REF!,#REF!,#REF!,#REF!,#REF!,#REF!,$C13,$B13,#REF!,#REF!,#REF!)</f>
        <v>0</v>
      </c>
      <c r="N13" s="168">
        <f ca="1">_xll.DBGET(#REF!,#REF!,#REF!,#REF!,#REF!,#REF!,$C13,$B13,#REF!,#REF!,#REF!)</f>
        <v>0</v>
      </c>
      <c r="O13" s="164">
        <f ca="1">IFERROR((_xll.DBGET(#REF!,#REF!,#REF!,#REF!,#REF!,#REF!,$C13,$B13,#REF!,#REF!,#REF!))/N13,0)</f>
        <v>0</v>
      </c>
      <c r="P13" s="168">
        <f ca="1">_xll.DBGET(#REF!,#REF!,#REF!,#REF!,#REF!,#REF!,$C13,$B13,#REF!,#REF!,#REF!)</f>
        <v>0</v>
      </c>
      <c r="Q13" s="164">
        <f ca="1">IFERROR((_xll.DBGET(#REF!,#REF!,#REF!,#REF!,#REF!,#REF!,$C13,$B13,#REF!,#REF!,#REF!))/P13,0)</f>
        <v>0</v>
      </c>
      <c r="R13" s="168">
        <f ca="1">_xll.DBGET(#REF!,#REF!,#REF!,#REF!,#REF!,#REF!,$C13,$B13,#REF!,#REF!,#REF!)</f>
        <v>0</v>
      </c>
      <c r="S13" s="164">
        <f ca="1">IFERROR((_xll.DBGET(#REF!,#REF!,#REF!,#REF!,#REF!,#REF!,$C13,$B13,#REF!,#REF!,#REF!))/R13,0)</f>
        <v>0</v>
      </c>
      <c r="T13" s="168">
        <f ca="1">_xll.DBGET(#REF!,#REF!,#REF!,#REF!,#REF!,#REF!,$C13,$B13,#REF!,#REF!,#REF!)</f>
        <v>0</v>
      </c>
      <c r="U13" s="164">
        <f ca="1">_xll.DBGET(#REF!,#REF!,#REF!,#REF!,#REF!,#REF!,$C13,$B13,#REF!,#REF!,#REF!)</f>
        <v>0</v>
      </c>
    </row>
    <row r="14" spans="1:30" x14ac:dyDescent="0.2">
      <c r="A14" s="15" t="s">
        <v>4</v>
      </c>
      <c r="B14" s="16" t="s">
        <v>12</v>
      </c>
      <c r="C14" s="19" t="s">
        <v>7</v>
      </c>
      <c r="D14" s="167">
        <f ca="1">_xll.DBGET(#REF!,#REF!,#REF!,#REF!,#REF!,#REF!,$C14,$B14,#REF!,#REF!,#REF!)</f>
        <v>176447.69</v>
      </c>
      <c r="E14" s="166">
        <f ca="1">_xll.DBGET(#REF!,#REF!,#REF!,#REF!,#REF!,#REF!,$C14,$B14,#REF!,#REF!,#REF!)</f>
        <v>183.66095619443999</v>
      </c>
      <c r="F14" s="167">
        <f ca="1">_xll.DBGET(#REF!,#REF!,#REF!,#REF!,#REF!,#REF!,$C14,$B14,#REF!,#REF!,#REF!)</f>
        <v>15593.68</v>
      </c>
      <c r="G14" s="166">
        <f ca="1">_xll.DBGET(#REF!,#REF!,#REF!,#REF!,#REF!,#REF!,$C14,$B14,#REF!,#REF!,#REF!)</f>
        <v>205.00412040427</v>
      </c>
      <c r="H14" s="167">
        <f ca="1">_xll.DBGET(#REF!,#REF!,#REF!,#REF!,#REF!,#REF!,$C14,$B14,#REF!,#REF!,#REF!)</f>
        <v>34485</v>
      </c>
      <c r="I14" s="166">
        <f ca="1">_xll.DBGET(#REF!,#REF!,#REF!,#REF!,#REF!,#REF!,$C14,$B14,#REF!,#REF!,#REF!)</f>
        <v>188.36576392045001</v>
      </c>
      <c r="J14" s="167">
        <f ca="1">_xll.DBGET(#REF!,#REF!,#REF!,#REF!,#REF!,#REF!,$C14,$B14,#REF!,#REF!,#REF!)</f>
        <v>49300</v>
      </c>
      <c r="K14" s="166">
        <f ca="1">_xll.DBGET(#REF!,#REF!,#REF!,#REF!,#REF!,#REF!,$C14,$B14,#REF!,#REF!,#REF!)</f>
        <v>165.88605697584001</v>
      </c>
      <c r="L14" s="167">
        <f ca="1">_xll.DBGET(#REF!,#REF!,#REF!,#REF!,#REF!,#REF!,$C14,$B14,#REF!,#REF!,#REF!)</f>
        <v>0</v>
      </c>
      <c r="M14" s="166">
        <f ca="1">_xll.DBGET(#REF!,#REF!,#REF!,#REF!,#REF!,#REF!,$C14,$B14,#REF!,#REF!,#REF!)</f>
        <v>0</v>
      </c>
      <c r="N14" s="167">
        <f ca="1">_xll.DBGET(#REF!,#REF!,#REF!,#REF!,#REF!,#REF!,$C14,$B14,#REF!,#REF!,#REF!)</f>
        <v>0</v>
      </c>
      <c r="O14" s="166">
        <f ca="1">IFERROR((_xll.DBGET(#REF!,#REF!,#REF!,#REF!,#REF!,#REF!,$C14,$B14,#REF!,#REF!,#REF!))/N14,0)</f>
        <v>0</v>
      </c>
      <c r="P14" s="167">
        <f ca="1">_xll.DBGET(#REF!,#REF!,#REF!,#REF!,#REF!,#REF!,$C14,$B14,#REF!,#REF!,#REF!)</f>
        <v>0</v>
      </c>
      <c r="Q14" s="166">
        <f ca="1">IFERROR((_xll.DBGET(#REF!,#REF!,#REF!,#REF!,#REF!,#REF!,$C14,$B14,#REF!,#REF!,#REF!))/P14,0)</f>
        <v>0</v>
      </c>
      <c r="R14" s="167">
        <f ca="1">_xll.DBGET(#REF!,#REF!,#REF!,#REF!,#REF!,#REF!,$C14,$B14,#REF!,#REF!,#REF!)</f>
        <v>0</v>
      </c>
      <c r="S14" s="166">
        <f ca="1">IFERROR((_xll.DBGET(#REF!,#REF!,#REF!,#REF!,#REF!,#REF!,$C14,$B14,#REF!,#REF!,#REF!))/R14,0)</f>
        <v>0</v>
      </c>
      <c r="T14" s="167">
        <f ca="1">_xll.DBGET(#REF!,#REF!,#REF!,#REF!,#REF!,#REF!,$C14,$B14,#REF!,#REF!,#REF!)</f>
        <v>0</v>
      </c>
      <c r="U14" s="166">
        <f ca="1">_xll.DBGET(#REF!,#REF!,#REF!,#REF!,#REF!,#REF!,$C14,$B14,#REF!,#REF!,#REF!)</f>
        <v>0</v>
      </c>
    </row>
    <row r="15" spans="1:30" x14ac:dyDescent="0.2">
      <c r="A15" s="56"/>
      <c r="B15" s="57" t="s">
        <v>12</v>
      </c>
      <c r="C15" s="61" t="s">
        <v>8</v>
      </c>
      <c r="D15" s="168">
        <f ca="1">_xll.DBGET(#REF!,#REF!,#REF!,#REF!,#REF!,#REF!,$C15,$B15,#REF!,#REF!,#REF!)</f>
        <v>40017</v>
      </c>
      <c r="E15" s="164">
        <f ca="1">_xll.DBGET(#REF!,#REF!,#REF!,#REF!,#REF!,#REF!,$C15,$B15,#REF!,#REF!,#REF!)</f>
        <v>146.83986152135</v>
      </c>
      <c r="F15" s="168">
        <f ca="1">_xll.DBGET(#REF!,#REF!,#REF!,#REF!,#REF!,#REF!,$C15,$B15,#REF!,#REF!,#REF!)</f>
        <v>0</v>
      </c>
      <c r="G15" s="164">
        <f ca="1">_xll.DBGET(#REF!,#REF!,#REF!,#REF!,#REF!,#REF!,$C15,$B15,#REF!,#REF!,#REF!)</f>
        <v>0</v>
      </c>
      <c r="H15" s="168">
        <f ca="1">_xll.DBGET(#REF!,#REF!,#REF!,#REF!,#REF!,#REF!,$C15,$B15,#REF!,#REF!,#REF!)</f>
        <v>0</v>
      </c>
      <c r="I15" s="164">
        <f ca="1">_xll.DBGET(#REF!,#REF!,#REF!,#REF!,#REF!,#REF!,$C15,$B15,#REF!,#REF!,#REF!)</f>
        <v>0</v>
      </c>
      <c r="J15" s="168">
        <f ca="1">_xll.DBGET(#REF!,#REF!,#REF!,#REF!,#REF!,#REF!,$C15,$B15,#REF!,#REF!,#REF!)</f>
        <v>25300</v>
      </c>
      <c r="K15" s="164">
        <f ca="1">_xll.DBGET(#REF!,#REF!,#REF!,#REF!,#REF!,#REF!,$C15,$B15,#REF!,#REF!,#REF!)</f>
        <v>147.19985102947001</v>
      </c>
      <c r="L15" s="168">
        <f ca="1">_xll.DBGET(#REF!,#REF!,#REF!,#REF!,#REF!,#REF!,$C15,$B15,#REF!,#REF!,#REF!)</f>
        <v>0</v>
      </c>
      <c r="M15" s="164">
        <f ca="1">_xll.DBGET(#REF!,#REF!,#REF!,#REF!,#REF!,#REF!,$C15,$B15,#REF!,#REF!,#REF!)</f>
        <v>0</v>
      </c>
      <c r="N15" s="168">
        <f ca="1">_xll.DBGET(#REF!,#REF!,#REF!,#REF!,#REF!,#REF!,$C15,$B15,#REF!,#REF!,#REF!)</f>
        <v>0</v>
      </c>
      <c r="O15" s="164">
        <f ca="1">IFERROR((_xll.DBGET(#REF!,#REF!,#REF!,#REF!,#REF!,#REF!,$C15,$B15,#REF!,#REF!,#REF!))/N15,0)</f>
        <v>0</v>
      </c>
      <c r="P15" s="168">
        <f ca="1">_xll.DBGET(#REF!,#REF!,#REF!,#REF!,#REF!,#REF!,$C15,$B15,#REF!,#REF!,#REF!)</f>
        <v>0</v>
      </c>
      <c r="Q15" s="164">
        <f ca="1">IFERROR((_xll.DBGET(#REF!,#REF!,#REF!,#REF!,#REF!,#REF!,$C15,$B15,#REF!,#REF!,#REF!))/P15,0)</f>
        <v>0</v>
      </c>
      <c r="R15" s="168">
        <f ca="1">_xll.DBGET(#REF!,#REF!,#REF!,#REF!,#REF!,#REF!,$C15,$B15,#REF!,#REF!,#REF!)</f>
        <v>0</v>
      </c>
      <c r="S15" s="164">
        <f ca="1">IFERROR((_xll.DBGET(#REF!,#REF!,#REF!,#REF!,#REF!,#REF!,$C15,$B15,#REF!,#REF!,#REF!))/R15,0)</f>
        <v>0</v>
      </c>
      <c r="T15" s="168">
        <f ca="1">_xll.DBGET(#REF!,#REF!,#REF!,#REF!,#REF!,#REF!,$C15,$B15,#REF!,#REF!,#REF!)</f>
        <v>0</v>
      </c>
      <c r="U15" s="164">
        <f ca="1">_xll.DBGET(#REF!,#REF!,#REF!,#REF!,#REF!,#REF!,$C15,$B15,#REF!,#REF!,#REF!)</f>
        <v>0</v>
      </c>
    </row>
    <row r="16" spans="1:30" x14ac:dyDescent="0.2">
      <c r="A16" s="56"/>
      <c r="B16" s="57" t="s">
        <v>12</v>
      </c>
      <c r="C16" s="61" t="s">
        <v>9</v>
      </c>
      <c r="D16" s="168">
        <f ca="1">_xll.DBGET(#REF!,#REF!,#REF!,#REF!,#REF!,#REF!,$C16,$B16,#REF!,#REF!,#REF!)</f>
        <v>136430.69</v>
      </c>
      <c r="E16" s="164">
        <f ca="1">_xll.DBGET(#REF!,#REF!,#REF!,#REF!,#REF!,#REF!,$C16,$B16,#REF!,#REF!,#REF!)</f>
        <v>194.46109028108</v>
      </c>
      <c r="F16" s="168">
        <f ca="1">_xll.DBGET(#REF!,#REF!,#REF!,#REF!,#REF!,#REF!,$C16,$B16,#REF!,#REF!,#REF!)</f>
        <v>15593.68</v>
      </c>
      <c r="G16" s="164">
        <f ca="1">_xll.DBGET(#REF!,#REF!,#REF!,#REF!,#REF!,#REF!,$C16,$B16,#REF!,#REF!,#REF!)</f>
        <v>205.00412040427</v>
      </c>
      <c r="H16" s="168">
        <f ca="1">_xll.DBGET(#REF!,#REF!,#REF!,#REF!,#REF!,#REF!,$C16,$B16,#REF!,#REF!,#REF!)</f>
        <v>34485</v>
      </c>
      <c r="I16" s="164">
        <f ca="1">_xll.DBGET(#REF!,#REF!,#REF!,#REF!,#REF!,#REF!,$C16,$B16,#REF!,#REF!,#REF!)</f>
        <v>188.36576392045001</v>
      </c>
      <c r="J16" s="168">
        <f ca="1">_xll.DBGET(#REF!,#REF!,#REF!,#REF!,#REF!,#REF!,$C16,$B16,#REF!,#REF!,#REF!)</f>
        <v>24000</v>
      </c>
      <c r="K16" s="164">
        <f ca="1">_xll.DBGET(#REF!,#REF!,#REF!,#REF!,#REF!,#REF!,$C16,$B16,#REF!,#REF!,#REF!)</f>
        <v>185.58443241098001</v>
      </c>
      <c r="L16" s="168">
        <f ca="1">_xll.DBGET(#REF!,#REF!,#REF!,#REF!,#REF!,#REF!,$C16,$B16,#REF!,#REF!,#REF!)</f>
        <v>0</v>
      </c>
      <c r="M16" s="164">
        <f ca="1">_xll.DBGET(#REF!,#REF!,#REF!,#REF!,#REF!,#REF!,$C16,$B16,#REF!,#REF!,#REF!)</f>
        <v>0</v>
      </c>
      <c r="N16" s="168">
        <f ca="1">_xll.DBGET(#REF!,#REF!,#REF!,#REF!,#REF!,#REF!,$C16,$B16,#REF!,#REF!,#REF!)</f>
        <v>0</v>
      </c>
      <c r="O16" s="164">
        <f ca="1">IFERROR((_xll.DBGET(#REF!,#REF!,#REF!,#REF!,#REF!,#REF!,$C16,$B16,#REF!,#REF!,#REF!))/N16,0)</f>
        <v>0</v>
      </c>
      <c r="P16" s="168">
        <f ca="1">_xll.DBGET(#REF!,#REF!,#REF!,#REF!,#REF!,#REF!,$C16,$B16,#REF!,#REF!,#REF!)</f>
        <v>0</v>
      </c>
      <c r="Q16" s="164">
        <f ca="1">IFERROR((_xll.DBGET(#REF!,#REF!,#REF!,#REF!,#REF!,#REF!,$C16,$B16,#REF!,#REF!,#REF!))/P16,0)</f>
        <v>0</v>
      </c>
      <c r="R16" s="168">
        <f ca="1">_xll.DBGET(#REF!,#REF!,#REF!,#REF!,#REF!,#REF!,$C16,$B16,#REF!,#REF!,#REF!)</f>
        <v>0</v>
      </c>
      <c r="S16" s="164">
        <f ca="1">IFERROR((_xll.DBGET(#REF!,#REF!,#REF!,#REF!,#REF!,#REF!,$C16,$B16,#REF!,#REF!,#REF!))/R16,0)</f>
        <v>0</v>
      </c>
      <c r="T16" s="168">
        <f ca="1">_xll.DBGET(#REF!,#REF!,#REF!,#REF!,#REF!,#REF!,$C16,$B16,#REF!,#REF!,#REF!)</f>
        <v>0</v>
      </c>
      <c r="U16" s="164">
        <f ca="1">_xll.DBGET(#REF!,#REF!,#REF!,#REF!,#REF!,#REF!,$C16,$B16,#REF!,#REF!,#REF!)</f>
        <v>0</v>
      </c>
    </row>
    <row r="17" spans="1:21" x14ac:dyDescent="0.2">
      <c r="A17" s="15" t="s">
        <v>5</v>
      </c>
      <c r="B17" s="16" t="s">
        <v>13</v>
      </c>
      <c r="C17" s="19" t="s">
        <v>7</v>
      </c>
      <c r="D17" s="167">
        <f ca="1">_xll.DBGET(#REF!,#REF!,#REF!,#REF!,#REF!,#REF!,$C17,$B17,#REF!,#REF!,#REF!)</f>
        <v>4400</v>
      </c>
      <c r="E17" s="166">
        <f ca="1">_xll.DBGET(#REF!,#REF!,#REF!,#REF!,#REF!,#REF!,$C17,$B17,#REF!,#REF!,#REF!)</f>
        <v>135.28699809091</v>
      </c>
      <c r="F17" s="167">
        <f ca="1">_xll.DBGET(#REF!,#REF!,#REF!,#REF!,#REF!,#REF!,$C17,$B17,#REF!,#REF!,#REF!)</f>
        <v>4950</v>
      </c>
      <c r="G17" s="166">
        <f ca="1">_xll.DBGET(#REF!,#REF!,#REF!,#REF!,#REF!,#REF!,$C17,$B17,#REF!,#REF!,#REF!)</f>
        <v>133.48963779112</v>
      </c>
      <c r="H17" s="167">
        <f ca="1">_xll.DBGET(#REF!,#REF!,#REF!,#REF!,#REF!,#REF!,$C17,$B17,#REF!,#REF!,#REF!)</f>
        <v>0</v>
      </c>
      <c r="I17" s="166">
        <f ca="1">_xll.DBGET(#REF!,#REF!,#REF!,#REF!,#REF!,#REF!,$C17,$B17,#REF!,#REF!,#REF!)</f>
        <v>0</v>
      </c>
      <c r="J17" s="167">
        <f ca="1">_xll.DBGET(#REF!,#REF!,#REF!,#REF!,#REF!,#REF!,$C17,$B17,#REF!,#REF!,#REF!)</f>
        <v>4700</v>
      </c>
      <c r="K17" s="166">
        <f ca="1">_xll.DBGET(#REF!,#REF!,#REF!,#REF!,#REF!,#REF!,$C17,$B17,#REF!,#REF!,#REF!)</f>
        <v>122.02220768187</v>
      </c>
      <c r="L17" s="167">
        <f ca="1">_xll.DBGET(#REF!,#REF!,#REF!,#REF!,#REF!,#REF!,$C17,$B17,#REF!,#REF!,#REF!)</f>
        <v>0</v>
      </c>
      <c r="M17" s="166">
        <f ca="1">_xll.DBGET(#REF!,#REF!,#REF!,#REF!,#REF!,#REF!,$C17,$B17,#REF!,#REF!,#REF!)</f>
        <v>0</v>
      </c>
      <c r="N17" s="167">
        <f ca="1">_xll.DBGET(#REF!,#REF!,#REF!,#REF!,#REF!,#REF!,$C17,$B17,#REF!,#REF!,#REF!)</f>
        <v>0</v>
      </c>
      <c r="O17" s="166">
        <f ca="1">IFERROR((_xll.DBGET(#REF!,#REF!,#REF!,#REF!,#REF!,#REF!,$C17,$B17,#REF!,#REF!,#REF!))/N17,0)</f>
        <v>0</v>
      </c>
      <c r="P17" s="167">
        <f ca="1">_xll.DBGET(#REF!,#REF!,#REF!,#REF!,#REF!,#REF!,$C17,$B17,#REF!,#REF!,#REF!)</f>
        <v>0</v>
      </c>
      <c r="Q17" s="166">
        <f ca="1">IFERROR((_xll.DBGET(#REF!,#REF!,#REF!,#REF!,#REF!,#REF!,$C17,$B17,#REF!,#REF!,#REF!))/P17,0)</f>
        <v>0</v>
      </c>
      <c r="R17" s="167">
        <f ca="1">_xll.DBGET(#REF!,#REF!,#REF!,#REF!,#REF!,#REF!,$C17,$B17,#REF!,#REF!,#REF!)</f>
        <v>0</v>
      </c>
      <c r="S17" s="166">
        <f ca="1">IFERROR((_xll.DBGET(#REF!,#REF!,#REF!,#REF!,#REF!,#REF!,$C17,$B17,#REF!,#REF!,#REF!))/R17,0)</f>
        <v>0</v>
      </c>
      <c r="T17" s="167">
        <f ca="1">_xll.DBGET(#REF!,#REF!,#REF!,#REF!,#REF!,#REF!,$C17,$B17,#REF!,#REF!,#REF!)</f>
        <v>0</v>
      </c>
      <c r="U17" s="166">
        <f ca="1">_xll.DBGET(#REF!,#REF!,#REF!,#REF!,#REF!,#REF!,$C17,$B17,#REF!,#REF!,#REF!)</f>
        <v>0</v>
      </c>
    </row>
    <row r="18" spans="1:21" x14ac:dyDescent="0.2">
      <c r="A18" s="56"/>
      <c r="B18" s="57" t="s">
        <v>13</v>
      </c>
      <c r="C18" s="61" t="s">
        <v>8</v>
      </c>
      <c r="D18" s="168">
        <f ca="1">_xll.DBGET(#REF!,#REF!,#REF!,#REF!,#REF!,#REF!,$C18,$B18,#REF!,#REF!,#REF!)</f>
        <v>0</v>
      </c>
      <c r="E18" s="164">
        <f ca="1">_xll.DBGET(#REF!,#REF!,#REF!,#REF!,#REF!,#REF!,$C18,$B18,#REF!,#REF!,#REF!)</f>
        <v>0</v>
      </c>
      <c r="F18" s="168">
        <f ca="1">_xll.DBGET(#REF!,#REF!,#REF!,#REF!,#REF!,#REF!,$C18,$B18,#REF!,#REF!,#REF!)</f>
        <v>0</v>
      </c>
      <c r="G18" s="164">
        <f ca="1">_xll.DBGET(#REF!,#REF!,#REF!,#REF!,#REF!,#REF!,$C18,$B18,#REF!,#REF!,#REF!)</f>
        <v>0</v>
      </c>
      <c r="H18" s="168">
        <f ca="1">_xll.DBGET(#REF!,#REF!,#REF!,#REF!,#REF!,#REF!,$C18,$B18,#REF!,#REF!,#REF!)</f>
        <v>0</v>
      </c>
      <c r="I18" s="164">
        <f ca="1">_xll.DBGET(#REF!,#REF!,#REF!,#REF!,#REF!,#REF!,$C18,$B18,#REF!,#REF!,#REF!)</f>
        <v>0</v>
      </c>
      <c r="J18" s="168">
        <f ca="1">_xll.DBGET(#REF!,#REF!,#REF!,#REF!,#REF!,#REF!,$C18,$B18,#REF!,#REF!,#REF!)</f>
        <v>0</v>
      </c>
      <c r="K18" s="164">
        <f ca="1">_xll.DBGET(#REF!,#REF!,#REF!,#REF!,#REF!,#REF!,$C18,$B18,#REF!,#REF!,#REF!)</f>
        <v>0</v>
      </c>
      <c r="L18" s="168">
        <f ca="1">_xll.DBGET(#REF!,#REF!,#REF!,#REF!,#REF!,#REF!,$C18,$B18,#REF!,#REF!,#REF!)</f>
        <v>0</v>
      </c>
      <c r="M18" s="164">
        <f ca="1">_xll.DBGET(#REF!,#REF!,#REF!,#REF!,#REF!,#REF!,$C18,$B18,#REF!,#REF!,#REF!)</f>
        <v>0</v>
      </c>
      <c r="N18" s="168">
        <f ca="1">_xll.DBGET(#REF!,#REF!,#REF!,#REF!,#REF!,#REF!,$C18,$B18,#REF!,#REF!,#REF!)</f>
        <v>0</v>
      </c>
      <c r="O18" s="164">
        <f ca="1">IFERROR((_xll.DBGET(#REF!,#REF!,#REF!,#REF!,#REF!,#REF!,$C18,$B18,#REF!,#REF!,#REF!))/N18,0)</f>
        <v>0</v>
      </c>
      <c r="P18" s="168">
        <f ca="1">_xll.DBGET(#REF!,#REF!,#REF!,#REF!,#REF!,#REF!,$C18,$B18,#REF!,#REF!,#REF!)</f>
        <v>0</v>
      </c>
      <c r="Q18" s="164">
        <f ca="1">IFERROR((_xll.DBGET(#REF!,#REF!,#REF!,#REF!,#REF!,#REF!,$C18,$B18,#REF!,#REF!,#REF!))/P18,0)</f>
        <v>0</v>
      </c>
      <c r="R18" s="168">
        <f ca="1">_xll.DBGET(#REF!,#REF!,#REF!,#REF!,#REF!,#REF!,$C18,$B18,#REF!,#REF!,#REF!)</f>
        <v>0</v>
      </c>
      <c r="S18" s="164">
        <f ca="1">IFERROR((_xll.DBGET(#REF!,#REF!,#REF!,#REF!,#REF!,#REF!,$C18,$B18,#REF!,#REF!,#REF!))/R18,0)</f>
        <v>0</v>
      </c>
      <c r="T18" s="168">
        <f ca="1">_xll.DBGET(#REF!,#REF!,#REF!,#REF!,#REF!,#REF!,$C18,$B18,#REF!,#REF!,#REF!)</f>
        <v>0</v>
      </c>
      <c r="U18" s="164">
        <f ca="1">_xll.DBGET(#REF!,#REF!,#REF!,#REF!,#REF!,#REF!,$C18,$B18,#REF!,#REF!,#REF!)</f>
        <v>0</v>
      </c>
    </row>
    <row r="19" spans="1:21" x14ac:dyDescent="0.2">
      <c r="A19" s="56"/>
      <c r="B19" s="57" t="s">
        <v>13</v>
      </c>
      <c r="C19" s="61" t="s">
        <v>9</v>
      </c>
      <c r="D19" s="168">
        <f ca="1">_xll.DBGET(#REF!,#REF!,#REF!,#REF!,#REF!,#REF!,$C19,$B19,#REF!,#REF!,#REF!)</f>
        <v>4400</v>
      </c>
      <c r="E19" s="164">
        <f ca="1">_xll.DBGET(#REF!,#REF!,#REF!,#REF!,#REF!,#REF!,$C19,$B19,#REF!,#REF!,#REF!)</f>
        <v>135.30398218182</v>
      </c>
      <c r="F19" s="168">
        <f ca="1">_xll.DBGET(#REF!,#REF!,#REF!,#REF!,#REF!,#REF!,$C19,$B19,#REF!,#REF!,#REF!)</f>
        <v>4950</v>
      </c>
      <c r="G19" s="164">
        <f ca="1">_xll.DBGET(#REF!,#REF!,#REF!,#REF!,#REF!,#REF!,$C19,$B19,#REF!,#REF!,#REF!)</f>
        <v>133.48963779112</v>
      </c>
      <c r="H19" s="168">
        <f ca="1">_xll.DBGET(#REF!,#REF!,#REF!,#REF!,#REF!,#REF!,$C19,$B19,#REF!,#REF!,#REF!)</f>
        <v>0</v>
      </c>
      <c r="I19" s="164">
        <f ca="1">_xll.DBGET(#REF!,#REF!,#REF!,#REF!,#REF!,#REF!,$C19,$B19,#REF!,#REF!,#REF!)</f>
        <v>0</v>
      </c>
      <c r="J19" s="168">
        <f ca="1">_xll.DBGET(#REF!,#REF!,#REF!,#REF!,#REF!,#REF!,$C19,$B19,#REF!,#REF!,#REF!)</f>
        <v>4700</v>
      </c>
      <c r="K19" s="164">
        <f ca="1">_xll.DBGET(#REF!,#REF!,#REF!,#REF!,#REF!,#REF!,$C19,$B19,#REF!,#REF!,#REF!)</f>
        <v>122.02220768187</v>
      </c>
      <c r="L19" s="168">
        <f ca="1">_xll.DBGET(#REF!,#REF!,#REF!,#REF!,#REF!,#REF!,$C19,$B19,#REF!,#REF!,#REF!)</f>
        <v>0</v>
      </c>
      <c r="M19" s="164">
        <f ca="1">_xll.DBGET(#REF!,#REF!,#REF!,#REF!,#REF!,#REF!,$C19,$B19,#REF!,#REF!,#REF!)</f>
        <v>0</v>
      </c>
      <c r="N19" s="168">
        <f ca="1">_xll.DBGET(#REF!,#REF!,#REF!,#REF!,#REF!,#REF!,$C19,$B19,#REF!,#REF!,#REF!)</f>
        <v>0</v>
      </c>
      <c r="O19" s="164">
        <f ca="1">IFERROR((_xll.DBGET(#REF!,#REF!,#REF!,#REF!,#REF!,#REF!,$C19,$B19,#REF!,#REF!,#REF!))/N19,0)</f>
        <v>0</v>
      </c>
      <c r="P19" s="168">
        <f ca="1">_xll.DBGET(#REF!,#REF!,#REF!,#REF!,#REF!,#REF!,$C19,$B19,#REF!,#REF!,#REF!)</f>
        <v>0</v>
      </c>
      <c r="Q19" s="164">
        <f ca="1">IFERROR((_xll.DBGET(#REF!,#REF!,#REF!,#REF!,#REF!,#REF!,$C19,$B19,#REF!,#REF!,#REF!))/P19,0)</f>
        <v>0</v>
      </c>
      <c r="R19" s="168">
        <f ca="1">_xll.DBGET(#REF!,#REF!,#REF!,#REF!,#REF!,#REF!,$C19,$B19,#REF!,#REF!,#REF!)</f>
        <v>0</v>
      </c>
      <c r="S19" s="164">
        <f ca="1">IFERROR((_xll.DBGET(#REF!,#REF!,#REF!,#REF!,#REF!,#REF!,$C19,$B19,#REF!,#REF!,#REF!))/R19,0)</f>
        <v>0</v>
      </c>
      <c r="T19" s="168">
        <f ca="1">_xll.DBGET(#REF!,#REF!,#REF!,#REF!,#REF!,#REF!,$C19,$B19,#REF!,#REF!,#REF!)</f>
        <v>0</v>
      </c>
      <c r="U19" s="164">
        <f ca="1">_xll.DBGET(#REF!,#REF!,#REF!,#REF!,#REF!,#REF!,$C19,$B19,#REF!,#REF!,#REF!)</f>
        <v>0</v>
      </c>
    </row>
    <row r="20" spans="1:21" ht="7.5" customHeight="1" x14ac:dyDescent="0.2"/>
    <row r="21" spans="1:21" ht="19" x14ac:dyDescent="0.35">
      <c r="A21" s="223" t="s">
        <v>71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</row>
    <row r="22" spans="1:21" x14ac:dyDescent="0.2">
      <c r="A22" s="9" t="s">
        <v>64</v>
      </c>
      <c r="B22" s="21" t="s">
        <v>65</v>
      </c>
      <c r="C22" s="2" t="s">
        <v>7</v>
      </c>
      <c r="D22" s="68">
        <f t="shared" ref="D22:U22" ca="1" si="0">SUM(D23,D26,D29,D32,D35)</f>
        <v>0.99999999398486206</v>
      </c>
      <c r="E22" s="23">
        <f t="shared" ca="1" si="0"/>
        <v>0.99999758206809009</v>
      </c>
      <c r="F22" s="68">
        <f t="shared" ca="1" si="0"/>
        <v>1</v>
      </c>
      <c r="G22" s="23">
        <f t="shared" ca="1" si="0"/>
        <v>1.0000000000000089</v>
      </c>
      <c r="H22" s="68">
        <f t="shared" ca="1" si="0"/>
        <v>1</v>
      </c>
      <c r="I22" s="23">
        <f t="shared" ca="1" si="0"/>
        <v>0.9999999999999698</v>
      </c>
      <c r="J22" s="68">
        <f t="shared" ca="1" si="0"/>
        <v>0.99999999999999989</v>
      </c>
      <c r="K22" s="23">
        <f t="shared" ca="1" si="0"/>
        <v>1.0000000000000073</v>
      </c>
      <c r="L22" s="68" t="e">
        <f t="shared" ca="1" si="0"/>
        <v>#DIV/0!</v>
      </c>
      <c r="M22" s="23" t="e">
        <f t="shared" ca="1" si="0"/>
        <v>#DIV/0!</v>
      </c>
      <c r="N22" s="68" t="e">
        <f t="shared" ca="1" si="0"/>
        <v>#DIV/0!</v>
      </c>
      <c r="O22" s="23" t="e">
        <f t="shared" ca="1" si="0"/>
        <v>#DIV/0!</v>
      </c>
      <c r="P22" s="68" t="e">
        <f t="shared" ca="1" si="0"/>
        <v>#DIV/0!</v>
      </c>
      <c r="Q22" s="23" t="e">
        <f t="shared" ca="1" si="0"/>
        <v>#DIV/0!</v>
      </c>
      <c r="R22" s="68" t="e">
        <f t="shared" ca="1" si="0"/>
        <v>#DIV/0!</v>
      </c>
      <c r="S22" s="23" t="e">
        <f t="shared" ca="1" si="0"/>
        <v>#DIV/0!</v>
      </c>
      <c r="T22" s="68" t="e">
        <f t="shared" ca="1" si="0"/>
        <v>#DIV/0!</v>
      </c>
      <c r="U22" s="23" t="e">
        <f t="shared" ca="1" si="0"/>
        <v>#DIV/0!</v>
      </c>
    </row>
    <row r="23" spans="1:21" x14ac:dyDescent="0.2">
      <c r="A23" s="15" t="s">
        <v>1</v>
      </c>
      <c r="B23" s="16" t="s">
        <v>6</v>
      </c>
      <c r="C23" s="19" t="s">
        <v>7</v>
      </c>
      <c r="D23" s="69">
        <f t="shared" ref="D23:T37" ca="1" si="1">D5/D$4</f>
        <v>0.63535256384190819</v>
      </c>
      <c r="E23" s="24">
        <f ca="1">(D5*E5)/(D$4*E$4)</f>
        <v>0.62632250322087113</v>
      </c>
      <c r="F23" s="69">
        <f t="shared" ca="1" si="1"/>
        <v>0.55522983711281104</v>
      </c>
      <c r="G23" s="24">
        <f ca="1">(F5*G5)/(F$4*G$4)</f>
        <v>0.56508007665462823</v>
      </c>
      <c r="H23" s="69">
        <f t="shared" ca="1" si="1"/>
        <v>0.55900946334520674</v>
      </c>
      <c r="I23" s="24">
        <f ca="1">(H5*I5)/(H$4*I$4)</f>
        <v>0.58724638776420901</v>
      </c>
      <c r="J23" s="69">
        <f t="shared" ca="1" si="1"/>
        <v>0.57050258224738071</v>
      </c>
      <c r="K23" s="24">
        <f ca="1">(J5*K5)/(J$4*K$4)</f>
        <v>0.59317611888246757</v>
      </c>
      <c r="L23" s="69" t="e">
        <f t="shared" ca="1" si="1"/>
        <v>#DIV/0!</v>
      </c>
      <c r="M23" s="24" t="e">
        <f ca="1">(L5*M5)/(L$4*M$4)</f>
        <v>#DIV/0!</v>
      </c>
      <c r="N23" s="69" t="e">
        <f t="shared" ca="1" si="1"/>
        <v>#DIV/0!</v>
      </c>
      <c r="O23" s="24" t="e">
        <f ca="1">(N5*O5)/(N$4*O$4)</f>
        <v>#DIV/0!</v>
      </c>
      <c r="P23" s="69" t="e">
        <f t="shared" ca="1" si="1"/>
        <v>#DIV/0!</v>
      </c>
      <c r="Q23" s="24" t="e">
        <f ca="1">(P5*Q5)/(P$4*Q$4)</f>
        <v>#DIV/0!</v>
      </c>
      <c r="R23" s="69" t="e">
        <f t="shared" ca="1" si="1"/>
        <v>#DIV/0!</v>
      </c>
      <c r="S23" s="24" t="e">
        <f ca="1">(R5*S5)/(R$4*S$4)</f>
        <v>#DIV/0!</v>
      </c>
      <c r="T23" s="69" t="e">
        <f t="shared" ca="1" si="1"/>
        <v>#DIV/0!</v>
      </c>
      <c r="U23" s="24" t="e">
        <f ca="1">(T5*U5)/(T$4*U$4)</f>
        <v>#DIV/0!</v>
      </c>
    </row>
    <row r="24" spans="1:21" x14ac:dyDescent="0.2">
      <c r="A24" s="56"/>
      <c r="B24" s="57" t="s">
        <v>6</v>
      </c>
      <c r="C24" s="61" t="s">
        <v>8</v>
      </c>
      <c r="D24" s="70">
        <f t="shared" ca="1" si="1"/>
        <v>0.43945976906457501</v>
      </c>
      <c r="E24" s="60">
        <f t="shared" ref="E24:E37" ca="1" si="2">(D6*E6)/(D$4*E$4)</f>
        <v>0.42795768242599425</v>
      </c>
      <c r="F24" s="70">
        <f t="shared" ca="1" si="1"/>
        <v>0.42528759936535532</v>
      </c>
      <c r="G24" s="60">
        <f t="shared" ref="G24:G37" ca="1" si="3">(F6*G6)/(F$4*G$4)</f>
        <v>0.41891145954642506</v>
      </c>
      <c r="H24" s="70">
        <f t="shared" ca="1" si="1"/>
        <v>0.40030605927945895</v>
      </c>
      <c r="I24" s="60">
        <f t="shared" ref="I24:I37" ca="1" si="4">(H6*I6)/(H$4*I$4)</f>
        <v>0.39326687775948233</v>
      </c>
      <c r="J24" s="70">
        <f t="shared" ca="1" si="1"/>
        <v>0.46707581122432829</v>
      </c>
      <c r="K24" s="60">
        <f t="shared" ref="K24:K37" ca="1" si="5">(J6*K6)/(J$4*K$4)</f>
        <v>0.4785991846765501</v>
      </c>
      <c r="L24" s="70" t="e">
        <f t="shared" ca="1" si="1"/>
        <v>#DIV/0!</v>
      </c>
      <c r="M24" s="60" t="e">
        <f t="shared" ref="M24:M37" ca="1" si="6">(L6*M6)/(L$4*M$4)</f>
        <v>#DIV/0!</v>
      </c>
      <c r="N24" s="70" t="e">
        <f t="shared" ca="1" si="1"/>
        <v>#DIV/0!</v>
      </c>
      <c r="O24" s="60" t="e">
        <f t="shared" ref="O24:O37" ca="1" si="7">(N6*O6)/(N$4*O$4)</f>
        <v>#DIV/0!</v>
      </c>
      <c r="P24" s="70" t="e">
        <f t="shared" ca="1" si="1"/>
        <v>#DIV/0!</v>
      </c>
      <c r="Q24" s="60" t="e">
        <f t="shared" ref="Q24:Q37" ca="1" si="8">(P6*Q6)/(P$4*Q$4)</f>
        <v>#DIV/0!</v>
      </c>
      <c r="R24" s="70" t="e">
        <f t="shared" ca="1" si="1"/>
        <v>#DIV/0!</v>
      </c>
      <c r="S24" s="60" t="e">
        <f t="shared" ref="S24:S37" ca="1" si="9">(R6*S6)/(R$4*S$4)</f>
        <v>#DIV/0!</v>
      </c>
      <c r="T24" s="70" t="e">
        <f t="shared" ca="1" si="1"/>
        <v>#DIV/0!</v>
      </c>
      <c r="U24" s="60" t="e">
        <f t="shared" ref="U24:U37" ca="1" si="10">(T6*U6)/(T$4*U$4)</f>
        <v>#DIV/0!</v>
      </c>
    </row>
    <row r="25" spans="1:21" x14ac:dyDescent="0.2">
      <c r="A25" s="56"/>
      <c r="B25" s="57" t="s">
        <v>6</v>
      </c>
      <c r="C25" s="61" t="s">
        <v>9</v>
      </c>
      <c r="D25" s="70">
        <f t="shared" ca="1" si="1"/>
        <v>0.19589279477733315</v>
      </c>
      <c r="E25" s="60">
        <f t="shared" ca="1" si="2"/>
        <v>0.19836482079490111</v>
      </c>
      <c r="F25" s="70">
        <f t="shared" ca="1" si="1"/>
        <v>0.12994223774745578</v>
      </c>
      <c r="G25" s="60">
        <f t="shared" ca="1" si="3"/>
        <v>0.14616861710821832</v>
      </c>
      <c r="H25" s="70">
        <f t="shared" ca="1" si="1"/>
        <v>0.15870340406574779</v>
      </c>
      <c r="I25" s="60">
        <f t="shared" ca="1" si="4"/>
        <v>0.19397951000474381</v>
      </c>
      <c r="J25" s="70">
        <f t="shared" ca="1" si="1"/>
        <v>0.10342677102305245</v>
      </c>
      <c r="K25" s="60">
        <f t="shared" ca="1" si="5"/>
        <v>0.1145769342058955</v>
      </c>
      <c r="L25" s="70" t="e">
        <f t="shared" ca="1" si="1"/>
        <v>#DIV/0!</v>
      </c>
      <c r="M25" s="60" t="e">
        <f t="shared" ca="1" si="6"/>
        <v>#DIV/0!</v>
      </c>
      <c r="N25" s="70" t="e">
        <f t="shared" ca="1" si="1"/>
        <v>#DIV/0!</v>
      </c>
      <c r="O25" s="60" t="e">
        <f t="shared" ca="1" si="7"/>
        <v>#DIV/0!</v>
      </c>
      <c r="P25" s="70" t="e">
        <f t="shared" ca="1" si="1"/>
        <v>#DIV/0!</v>
      </c>
      <c r="Q25" s="60" t="e">
        <f t="shared" ca="1" si="8"/>
        <v>#DIV/0!</v>
      </c>
      <c r="R25" s="70" t="e">
        <f t="shared" ca="1" si="1"/>
        <v>#DIV/0!</v>
      </c>
      <c r="S25" s="60" t="e">
        <f t="shared" ca="1" si="9"/>
        <v>#DIV/0!</v>
      </c>
      <c r="T25" s="70" t="e">
        <f t="shared" ca="1" si="1"/>
        <v>#DIV/0!</v>
      </c>
      <c r="U25" s="60" t="e">
        <f t="shared" ca="1" si="10"/>
        <v>#DIV/0!</v>
      </c>
    </row>
    <row r="26" spans="1:21" x14ac:dyDescent="0.2">
      <c r="A26" s="15" t="s">
        <v>2</v>
      </c>
      <c r="B26" s="16" t="s">
        <v>10</v>
      </c>
      <c r="C26" s="19" t="s">
        <v>7</v>
      </c>
      <c r="D26" s="69">
        <f t="shared" ca="1" si="1"/>
        <v>0.2869100539086295</v>
      </c>
      <c r="E26" s="24">
        <f t="shared" ca="1" si="2"/>
        <v>0.28057952707847578</v>
      </c>
      <c r="F26" s="69">
        <f t="shared" ca="1" si="1"/>
        <v>0.39944660887550099</v>
      </c>
      <c r="G26" s="24">
        <f t="shared" ca="1" si="3"/>
        <v>0.38096007427666251</v>
      </c>
      <c r="H26" s="69">
        <f t="shared" ca="1" si="1"/>
        <v>0.36933563729564711</v>
      </c>
      <c r="I26" s="24">
        <f t="shared" ca="1" si="4"/>
        <v>0.32818757656067155</v>
      </c>
      <c r="J26" s="69">
        <f t="shared" ca="1" si="1"/>
        <v>0.37089746890994685</v>
      </c>
      <c r="K26" s="24">
        <f t="shared" ca="1" si="5"/>
        <v>0.3436141358801339</v>
      </c>
      <c r="L26" s="69" t="e">
        <f t="shared" ca="1" si="1"/>
        <v>#DIV/0!</v>
      </c>
      <c r="M26" s="24" t="e">
        <f t="shared" ca="1" si="6"/>
        <v>#DIV/0!</v>
      </c>
      <c r="N26" s="69" t="e">
        <f t="shared" ca="1" si="1"/>
        <v>#DIV/0!</v>
      </c>
      <c r="O26" s="24" t="e">
        <f t="shared" ca="1" si="7"/>
        <v>#DIV/0!</v>
      </c>
      <c r="P26" s="69" t="e">
        <f t="shared" ca="1" si="1"/>
        <v>#DIV/0!</v>
      </c>
      <c r="Q26" s="24" t="e">
        <f t="shared" ca="1" si="8"/>
        <v>#DIV/0!</v>
      </c>
      <c r="R26" s="69" t="e">
        <f t="shared" ca="1" si="1"/>
        <v>#DIV/0!</v>
      </c>
      <c r="S26" s="24" t="e">
        <f t="shared" ca="1" si="9"/>
        <v>#DIV/0!</v>
      </c>
      <c r="T26" s="69" t="e">
        <f t="shared" ca="1" si="1"/>
        <v>#DIV/0!</v>
      </c>
      <c r="U26" s="24" t="e">
        <f t="shared" ca="1" si="10"/>
        <v>#DIV/0!</v>
      </c>
    </row>
    <row r="27" spans="1:21" x14ac:dyDescent="0.2">
      <c r="A27" s="56"/>
      <c r="B27" s="57" t="s">
        <v>10</v>
      </c>
      <c r="C27" s="61" t="s">
        <v>8</v>
      </c>
      <c r="D27" s="70">
        <f t="shared" ca="1" si="1"/>
        <v>2.0996240314164083E-2</v>
      </c>
      <c r="E27" s="60">
        <f t="shared" ca="1" si="2"/>
        <v>1.9663420002529262E-2</v>
      </c>
      <c r="F27" s="70">
        <f t="shared" ca="1" si="1"/>
        <v>1.4035424455555313E-2</v>
      </c>
      <c r="G27" s="60">
        <f t="shared" ca="1" si="3"/>
        <v>1.181599107394901E-2</v>
      </c>
      <c r="H27" s="70">
        <f t="shared" ca="1" si="1"/>
        <v>2.7132627616305419E-2</v>
      </c>
      <c r="I27" s="60">
        <f t="shared" ca="1" si="4"/>
        <v>2.2406779123501721E-2</v>
      </c>
      <c r="J27" s="70">
        <f t="shared" ca="1" si="1"/>
        <v>8.6402844278976824E-3</v>
      </c>
      <c r="K27" s="60">
        <f t="shared" ca="1" si="5"/>
        <v>6.7403700140022654E-3</v>
      </c>
      <c r="L27" s="70" t="e">
        <f t="shared" ca="1" si="1"/>
        <v>#DIV/0!</v>
      </c>
      <c r="M27" s="60" t="e">
        <f t="shared" ca="1" si="6"/>
        <v>#DIV/0!</v>
      </c>
      <c r="N27" s="70" t="e">
        <f t="shared" ca="1" si="1"/>
        <v>#DIV/0!</v>
      </c>
      <c r="O27" s="60" t="e">
        <f t="shared" ca="1" si="7"/>
        <v>#DIV/0!</v>
      </c>
      <c r="P27" s="70" t="e">
        <f t="shared" ca="1" si="1"/>
        <v>#DIV/0!</v>
      </c>
      <c r="Q27" s="60" t="e">
        <f t="shared" ca="1" si="8"/>
        <v>#DIV/0!</v>
      </c>
      <c r="R27" s="70" t="e">
        <f t="shared" ca="1" si="1"/>
        <v>#DIV/0!</v>
      </c>
      <c r="S27" s="60" t="e">
        <f t="shared" ca="1" si="9"/>
        <v>#DIV/0!</v>
      </c>
      <c r="T27" s="70" t="e">
        <f t="shared" ca="1" si="1"/>
        <v>#DIV/0!</v>
      </c>
      <c r="U27" s="60" t="e">
        <f t="shared" ca="1" si="10"/>
        <v>#DIV/0!</v>
      </c>
    </row>
    <row r="28" spans="1:21" x14ac:dyDescent="0.2">
      <c r="A28" s="56"/>
      <c r="B28" s="57" t="s">
        <v>10</v>
      </c>
      <c r="C28" s="61" t="s">
        <v>9</v>
      </c>
      <c r="D28" s="70">
        <f t="shared" ca="1" si="1"/>
        <v>0.26591381359446542</v>
      </c>
      <c r="E28" s="60">
        <f t="shared" ca="1" si="2"/>
        <v>0.26091610707595053</v>
      </c>
      <c r="F28" s="70">
        <f t="shared" ca="1" si="1"/>
        <v>0.38541118441994571</v>
      </c>
      <c r="G28" s="60">
        <f t="shared" ca="1" si="3"/>
        <v>0.36914408320269992</v>
      </c>
      <c r="H28" s="70">
        <f t="shared" ca="1" si="1"/>
        <v>0.3422030096793417</v>
      </c>
      <c r="I28" s="60">
        <f t="shared" ca="1" si="4"/>
        <v>0.30578079743715658</v>
      </c>
      <c r="J28" s="70">
        <f t="shared" ca="1" si="1"/>
        <v>0.36225718448204919</v>
      </c>
      <c r="K28" s="60">
        <f t="shared" ca="1" si="5"/>
        <v>0.33687376586612638</v>
      </c>
      <c r="L28" s="70" t="e">
        <f t="shared" ca="1" si="1"/>
        <v>#DIV/0!</v>
      </c>
      <c r="M28" s="60" t="e">
        <f t="shared" ca="1" si="6"/>
        <v>#DIV/0!</v>
      </c>
      <c r="N28" s="70" t="e">
        <f t="shared" ca="1" si="1"/>
        <v>#DIV/0!</v>
      </c>
      <c r="O28" s="60" t="e">
        <f t="shared" ca="1" si="7"/>
        <v>#DIV/0!</v>
      </c>
      <c r="P28" s="70" t="e">
        <f t="shared" ca="1" si="1"/>
        <v>#DIV/0!</v>
      </c>
      <c r="Q28" s="60" t="e">
        <f t="shared" ca="1" si="8"/>
        <v>#DIV/0!</v>
      </c>
      <c r="R28" s="70" t="e">
        <f t="shared" ca="1" si="1"/>
        <v>#DIV/0!</v>
      </c>
      <c r="S28" s="60" t="e">
        <f t="shared" ca="1" si="9"/>
        <v>#DIV/0!</v>
      </c>
      <c r="T28" s="70" t="e">
        <f t="shared" ca="1" si="1"/>
        <v>#DIV/0!</v>
      </c>
      <c r="U28" s="60" t="e">
        <f t="shared" ca="1" si="10"/>
        <v>#DIV/0!</v>
      </c>
    </row>
    <row r="29" spans="1:21" x14ac:dyDescent="0.2">
      <c r="A29" s="17" t="s">
        <v>3</v>
      </c>
      <c r="B29" s="18" t="s">
        <v>11</v>
      </c>
      <c r="C29" s="20" t="s">
        <v>7</v>
      </c>
      <c r="D29" s="69">
        <f t="shared" ca="1" si="1"/>
        <v>4.1476582289678814E-2</v>
      </c>
      <c r="E29" s="24">
        <f t="shared" ca="1" si="2"/>
        <v>5.2979904851683045E-2</v>
      </c>
      <c r="F29" s="69">
        <f t="shared" ca="1" si="1"/>
        <v>2.8512729112020133E-2</v>
      </c>
      <c r="G29" s="24">
        <f t="shared" ca="1" si="3"/>
        <v>3.4180737355704052E-2</v>
      </c>
      <c r="H29" s="69">
        <f t="shared" ca="1" si="1"/>
        <v>3.8402050423603784E-2</v>
      </c>
      <c r="I29" s="24">
        <f t="shared" ca="1" si="4"/>
        <v>4.4008242465068501E-2</v>
      </c>
      <c r="J29" s="69">
        <f t="shared" ca="1" si="1"/>
        <v>1.2404368733120435E-2</v>
      </c>
      <c r="K29" s="24">
        <f t="shared" ca="1" si="5"/>
        <v>1.286199852191214E-2</v>
      </c>
      <c r="L29" s="69" t="e">
        <f t="shared" ca="1" si="1"/>
        <v>#DIV/0!</v>
      </c>
      <c r="M29" s="24" t="e">
        <f t="shared" ca="1" si="6"/>
        <v>#DIV/0!</v>
      </c>
      <c r="N29" s="69" t="e">
        <f t="shared" ca="1" si="1"/>
        <v>#DIV/0!</v>
      </c>
      <c r="O29" s="24" t="e">
        <f t="shared" ca="1" si="7"/>
        <v>#DIV/0!</v>
      </c>
      <c r="P29" s="69" t="e">
        <f t="shared" ca="1" si="1"/>
        <v>#DIV/0!</v>
      </c>
      <c r="Q29" s="24" t="e">
        <f t="shared" ca="1" si="8"/>
        <v>#DIV/0!</v>
      </c>
      <c r="R29" s="69" t="e">
        <f t="shared" ca="1" si="1"/>
        <v>#DIV/0!</v>
      </c>
      <c r="S29" s="24" t="e">
        <f t="shared" ca="1" si="9"/>
        <v>#DIV/0!</v>
      </c>
      <c r="T29" s="69" t="e">
        <f t="shared" ca="1" si="1"/>
        <v>#DIV/0!</v>
      </c>
      <c r="U29" s="24" t="e">
        <f t="shared" ca="1" si="10"/>
        <v>#DIV/0!</v>
      </c>
    </row>
    <row r="30" spans="1:21" x14ac:dyDescent="0.2">
      <c r="A30" s="56"/>
      <c r="B30" s="57" t="s">
        <v>11</v>
      </c>
      <c r="C30" s="61" t="s">
        <v>8</v>
      </c>
      <c r="D30" s="70">
        <f t="shared" ca="1" si="1"/>
        <v>2.9919296577246911E-3</v>
      </c>
      <c r="E30" s="60">
        <f t="shared" ca="1" si="2"/>
        <v>3.4249866295258404E-3</v>
      </c>
      <c r="F30" s="70">
        <f t="shared" ca="1" si="1"/>
        <v>8.1502348167753575E-4</v>
      </c>
      <c r="G30" s="60">
        <f t="shared" ca="1" si="3"/>
        <v>1.1146001080760259E-3</v>
      </c>
      <c r="H30" s="70">
        <f t="shared" ca="1" si="1"/>
        <v>0</v>
      </c>
      <c r="I30" s="60">
        <f t="shared" ca="1" si="4"/>
        <v>0</v>
      </c>
      <c r="J30" s="70">
        <f t="shared" ca="1" si="1"/>
        <v>0</v>
      </c>
      <c r="K30" s="60">
        <f t="shared" ca="1" si="5"/>
        <v>0</v>
      </c>
      <c r="L30" s="70" t="e">
        <f t="shared" ca="1" si="1"/>
        <v>#DIV/0!</v>
      </c>
      <c r="M30" s="60" t="e">
        <f t="shared" ca="1" si="6"/>
        <v>#DIV/0!</v>
      </c>
      <c r="N30" s="70" t="e">
        <f t="shared" ca="1" si="1"/>
        <v>#DIV/0!</v>
      </c>
      <c r="O30" s="60" t="e">
        <f t="shared" ca="1" si="7"/>
        <v>#DIV/0!</v>
      </c>
      <c r="P30" s="70" t="e">
        <f t="shared" ca="1" si="1"/>
        <v>#DIV/0!</v>
      </c>
      <c r="Q30" s="60" t="e">
        <f t="shared" ca="1" si="8"/>
        <v>#DIV/0!</v>
      </c>
      <c r="R30" s="70" t="e">
        <f t="shared" ca="1" si="1"/>
        <v>#DIV/0!</v>
      </c>
      <c r="S30" s="60" t="e">
        <f t="shared" ca="1" si="9"/>
        <v>#DIV/0!</v>
      </c>
      <c r="T30" s="70" t="e">
        <f t="shared" ca="1" si="1"/>
        <v>#DIV/0!</v>
      </c>
      <c r="U30" s="60" t="e">
        <f t="shared" ca="1" si="10"/>
        <v>#DIV/0!</v>
      </c>
    </row>
    <row r="31" spans="1:21" x14ac:dyDescent="0.2">
      <c r="A31" s="56"/>
      <c r="B31" s="57" t="s">
        <v>11</v>
      </c>
      <c r="C31" s="61" t="s">
        <v>9</v>
      </c>
      <c r="D31" s="70">
        <f t="shared" ca="1" si="1"/>
        <v>3.8484652631954122E-2</v>
      </c>
      <c r="E31" s="60">
        <f t="shared" ca="1" si="2"/>
        <v>4.9554918222156338E-2</v>
      </c>
      <c r="F31" s="70">
        <f t="shared" ca="1" si="1"/>
        <v>2.7697705630342601E-2</v>
      </c>
      <c r="G31" s="60">
        <f t="shared" ca="1" si="3"/>
        <v>3.3066137247627435E-2</v>
      </c>
      <c r="H31" s="70">
        <f t="shared" ca="1" si="1"/>
        <v>3.8402050423603784E-2</v>
      </c>
      <c r="I31" s="60">
        <f t="shared" ca="1" si="4"/>
        <v>4.4008242465068501E-2</v>
      </c>
      <c r="J31" s="70">
        <f t="shared" ca="1" si="1"/>
        <v>1.2404368733120435E-2</v>
      </c>
      <c r="K31" s="60">
        <f t="shared" ca="1" si="5"/>
        <v>1.286199852191214E-2</v>
      </c>
      <c r="L31" s="70" t="e">
        <f t="shared" ca="1" si="1"/>
        <v>#DIV/0!</v>
      </c>
      <c r="M31" s="60" t="e">
        <f t="shared" ca="1" si="6"/>
        <v>#DIV/0!</v>
      </c>
      <c r="N31" s="70" t="e">
        <f t="shared" ca="1" si="1"/>
        <v>#DIV/0!</v>
      </c>
      <c r="O31" s="60" t="e">
        <f t="shared" ca="1" si="7"/>
        <v>#DIV/0!</v>
      </c>
      <c r="P31" s="70" t="e">
        <f t="shared" ca="1" si="1"/>
        <v>#DIV/0!</v>
      </c>
      <c r="Q31" s="60" t="e">
        <f t="shared" ca="1" si="8"/>
        <v>#DIV/0!</v>
      </c>
      <c r="R31" s="70" t="e">
        <f t="shared" ca="1" si="1"/>
        <v>#DIV/0!</v>
      </c>
      <c r="S31" s="60" t="e">
        <f t="shared" ca="1" si="9"/>
        <v>#DIV/0!</v>
      </c>
      <c r="T31" s="70" t="e">
        <f t="shared" ca="1" si="1"/>
        <v>#DIV/0!</v>
      </c>
      <c r="U31" s="60" t="e">
        <f t="shared" ca="1" si="10"/>
        <v>#DIV/0!</v>
      </c>
    </row>
    <row r="32" spans="1:21" x14ac:dyDescent="0.2">
      <c r="A32" s="15" t="s">
        <v>4</v>
      </c>
      <c r="B32" s="16" t="s">
        <v>12</v>
      </c>
      <c r="C32" s="19" t="s">
        <v>7</v>
      </c>
      <c r="D32" s="69">
        <f t="shared" ca="1" si="1"/>
        <v>3.5378573699772979E-2</v>
      </c>
      <c r="E32" s="24">
        <f t="shared" ca="1" si="2"/>
        <v>3.9392069971078934E-2</v>
      </c>
      <c r="F32" s="69">
        <f t="shared" ca="1" si="1"/>
        <v>1.2760256391330677E-2</v>
      </c>
      <c r="G32" s="24">
        <f t="shared" ca="1" si="3"/>
        <v>1.6391069340007908E-2</v>
      </c>
      <c r="H32" s="69">
        <f t="shared" ca="1" si="1"/>
        <v>3.3252848935542409E-2</v>
      </c>
      <c r="I32" s="24">
        <f t="shared" ca="1" si="4"/>
        <v>4.055779321002069E-2</v>
      </c>
      <c r="J32" s="69">
        <f t="shared" ca="1" si="1"/>
        <v>4.2174853692609475E-2</v>
      </c>
      <c r="K32" s="24">
        <f t="shared" ca="1" si="5"/>
        <v>4.7048422468888823E-2</v>
      </c>
      <c r="L32" s="69" t="e">
        <f t="shared" ca="1" si="1"/>
        <v>#DIV/0!</v>
      </c>
      <c r="M32" s="24" t="e">
        <f t="shared" ca="1" si="6"/>
        <v>#DIV/0!</v>
      </c>
      <c r="N32" s="69" t="e">
        <f t="shared" ca="1" si="1"/>
        <v>#DIV/0!</v>
      </c>
      <c r="O32" s="24" t="e">
        <f t="shared" ca="1" si="7"/>
        <v>#DIV/0!</v>
      </c>
      <c r="P32" s="69" t="e">
        <f t="shared" ca="1" si="1"/>
        <v>#DIV/0!</v>
      </c>
      <c r="Q32" s="24" t="e">
        <f t="shared" ca="1" si="8"/>
        <v>#DIV/0!</v>
      </c>
      <c r="R32" s="69" t="e">
        <f t="shared" ca="1" si="1"/>
        <v>#DIV/0!</v>
      </c>
      <c r="S32" s="24" t="e">
        <f t="shared" ca="1" si="9"/>
        <v>#DIV/0!</v>
      </c>
      <c r="T32" s="69" t="e">
        <f t="shared" ca="1" si="1"/>
        <v>#DIV/0!</v>
      </c>
      <c r="U32" s="24" t="e">
        <f t="shared" ca="1" si="10"/>
        <v>#DIV/0!</v>
      </c>
    </row>
    <row r="33" spans="1:21" x14ac:dyDescent="0.2">
      <c r="A33" s="56"/>
      <c r="B33" s="57" t="s">
        <v>12</v>
      </c>
      <c r="C33" s="61" t="s">
        <v>8</v>
      </c>
      <c r="D33" s="70">
        <f t="shared" ca="1" si="1"/>
        <v>8.0235926225150078E-3</v>
      </c>
      <c r="E33" s="60">
        <f t="shared" ca="1" si="2"/>
        <v>7.1427340174308835E-3</v>
      </c>
      <c r="F33" s="70">
        <f t="shared" ca="1" si="1"/>
        <v>0</v>
      </c>
      <c r="G33" s="60">
        <f t="shared" ca="1" si="3"/>
        <v>0</v>
      </c>
      <c r="H33" s="70">
        <f t="shared" ca="1" si="1"/>
        <v>0</v>
      </c>
      <c r="I33" s="60">
        <f t="shared" ca="1" si="4"/>
        <v>0</v>
      </c>
      <c r="J33" s="70">
        <f t="shared" ca="1" si="1"/>
        <v>2.1643484755030827E-2</v>
      </c>
      <c r="K33" s="60">
        <f t="shared" ca="1" si="5"/>
        <v>2.1424769301128875E-2</v>
      </c>
      <c r="L33" s="70" t="e">
        <f t="shared" ca="1" si="1"/>
        <v>#DIV/0!</v>
      </c>
      <c r="M33" s="60" t="e">
        <f t="shared" ca="1" si="6"/>
        <v>#DIV/0!</v>
      </c>
      <c r="N33" s="70" t="e">
        <f t="shared" ca="1" si="1"/>
        <v>#DIV/0!</v>
      </c>
      <c r="O33" s="60" t="e">
        <f t="shared" ca="1" si="7"/>
        <v>#DIV/0!</v>
      </c>
      <c r="P33" s="70" t="e">
        <f t="shared" ca="1" si="1"/>
        <v>#DIV/0!</v>
      </c>
      <c r="Q33" s="60" t="e">
        <f t="shared" ca="1" si="8"/>
        <v>#DIV/0!</v>
      </c>
      <c r="R33" s="70" t="e">
        <f t="shared" ca="1" si="1"/>
        <v>#DIV/0!</v>
      </c>
      <c r="S33" s="60" t="e">
        <f t="shared" ca="1" si="9"/>
        <v>#DIV/0!</v>
      </c>
      <c r="T33" s="70" t="e">
        <f t="shared" ca="1" si="1"/>
        <v>#DIV/0!</v>
      </c>
      <c r="U33" s="60" t="e">
        <f t="shared" ca="1" si="10"/>
        <v>#DIV/0!</v>
      </c>
    </row>
    <row r="34" spans="1:21" x14ac:dyDescent="0.2">
      <c r="A34" s="56"/>
      <c r="B34" s="57" t="s">
        <v>12</v>
      </c>
      <c r="C34" s="61" t="s">
        <v>9</v>
      </c>
      <c r="D34" s="70">
        <f t="shared" ca="1" si="1"/>
        <v>2.7354981077257971E-2</v>
      </c>
      <c r="E34" s="60">
        <f t="shared" ca="1" si="2"/>
        <v>3.2249335953647776E-2</v>
      </c>
      <c r="F34" s="70">
        <f t="shared" ca="1" si="1"/>
        <v>1.2760256391330677E-2</v>
      </c>
      <c r="G34" s="60">
        <f t="shared" ca="1" si="3"/>
        <v>1.6391069340007908E-2</v>
      </c>
      <c r="H34" s="70">
        <f t="shared" ca="1" si="1"/>
        <v>3.3252848935542409E-2</v>
      </c>
      <c r="I34" s="60">
        <f t="shared" ca="1" si="4"/>
        <v>4.055779321002069E-2</v>
      </c>
      <c r="J34" s="70">
        <f t="shared" ca="1" si="1"/>
        <v>2.0531368937578651E-2</v>
      </c>
      <c r="K34" s="60">
        <f t="shared" ca="1" si="5"/>
        <v>2.56236531677611E-2</v>
      </c>
      <c r="L34" s="70" t="e">
        <f t="shared" ca="1" si="1"/>
        <v>#DIV/0!</v>
      </c>
      <c r="M34" s="60" t="e">
        <f t="shared" ca="1" si="6"/>
        <v>#DIV/0!</v>
      </c>
      <c r="N34" s="70" t="e">
        <f t="shared" ca="1" si="1"/>
        <v>#DIV/0!</v>
      </c>
      <c r="O34" s="60" t="e">
        <f t="shared" ca="1" si="7"/>
        <v>#DIV/0!</v>
      </c>
      <c r="P34" s="70" t="e">
        <f t="shared" ca="1" si="1"/>
        <v>#DIV/0!</v>
      </c>
      <c r="Q34" s="60" t="e">
        <f t="shared" ca="1" si="8"/>
        <v>#DIV/0!</v>
      </c>
      <c r="R34" s="70" t="e">
        <f t="shared" ca="1" si="1"/>
        <v>#DIV/0!</v>
      </c>
      <c r="S34" s="60" t="e">
        <f t="shared" ca="1" si="9"/>
        <v>#DIV/0!</v>
      </c>
      <c r="T34" s="70" t="e">
        <f t="shared" ca="1" si="1"/>
        <v>#DIV/0!</v>
      </c>
      <c r="U34" s="60" t="e">
        <f t="shared" ca="1" si="10"/>
        <v>#DIV/0!</v>
      </c>
    </row>
    <row r="35" spans="1:21" x14ac:dyDescent="0.2">
      <c r="A35" s="15" t="s">
        <v>5</v>
      </c>
      <c r="B35" s="16" t="s">
        <v>13</v>
      </c>
      <c r="C35" s="19" t="s">
        <v>7</v>
      </c>
      <c r="D35" s="69">
        <f t="shared" ca="1" si="1"/>
        <v>8.8222024487258008E-4</v>
      </c>
      <c r="E35" s="24">
        <f t="shared" ca="1" si="2"/>
        <v>7.2357694598121271E-4</v>
      </c>
      <c r="F35" s="69">
        <f t="shared" ca="1" si="1"/>
        <v>4.0505685083371502E-3</v>
      </c>
      <c r="G35" s="24">
        <f t="shared" ca="1" si="3"/>
        <v>3.3880423730060848E-3</v>
      </c>
      <c r="H35" s="69">
        <f t="shared" ca="1" si="1"/>
        <v>0</v>
      </c>
      <c r="I35" s="24">
        <f t="shared" ca="1" si="4"/>
        <v>0</v>
      </c>
      <c r="J35" s="69">
        <f t="shared" ca="1" si="1"/>
        <v>4.0207264169424854E-3</v>
      </c>
      <c r="K35" s="24">
        <f t="shared" ca="1" si="5"/>
        <v>3.2993242466047689E-3</v>
      </c>
      <c r="L35" s="69" t="e">
        <f t="shared" ca="1" si="1"/>
        <v>#DIV/0!</v>
      </c>
      <c r="M35" s="24" t="e">
        <f t="shared" ca="1" si="6"/>
        <v>#DIV/0!</v>
      </c>
      <c r="N35" s="69" t="e">
        <f t="shared" ca="1" si="1"/>
        <v>#DIV/0!</v>
      </c>
      <c r="O35" s="24" t="e">
        <f t="shared" ca="1" si="7"/>
        <v>#DIV/0!</v>
      </c>
      <c r="P35" s="69" t="e">
        <f t="shared" ca="1" si="1"/>
        <v>#DIV/0!</v>
      </c>
      <c r="Q35" s="24" t="e">
        <f t="shared" ca="1" si="8"/>
        <v>#DIV/0!</v>
      </c>
      <c r="R35" s="69" t="e">
        <f t="shared" ca="1" si="1"/>
        <v>#DIV/0!</v>
      </c>
      <c r="S35" s="24" t="e">
        <f t="shared" ca="1" si="9"/>
        <v>#DIV/0!</v>
      </c>
      <c r="T35" s="69" t="e">
        <f t="shared" ca="1" si="1"/>
        <v>#DIV/0!</v>
      </c>
      <c r="U35" s="24" t="e">
        <f t="shared" ca="1" si="10"/>
        <v>#DIV/0!</v>
      </c>
    </row>
    <row r="36" spans="1:21" x14ac:dyDescent="0.2">
      <c r="A36" s="56"/>
      <c r="B36" s="57" t="s">
        <v>13</v>
      </c>
      <c r="C36" s="61" t="s">
        <v>8</v>
      </c>
      <c r="D36" s="70">
        <f t="shared" ca="1" si="1"/>
        <v>0</v>
      </c>
      <c r="E36" s="60">
        <f t="shared" ca="1" si="2"/>
        <v>0</v>
      </c>
      <c r="F36" s="70">
        <f t="shared" ca="1" si="1"/>
        <v>0</v>
      </c>
      <c r="G36" s="60">
        <f t="shared" ca="1" si="3"/>
        <v>0</v>
      </c>
      <c r="H36" s="70">
        <f t="shared" ca="1" si="1"/>
        <v>0</v>
      </c>
      <c r="I36" s="60">
        <f t="shared" ca="1" si="4"/>
        <v>0</v>
      </c>
      <c r="J36" s="70">
        <f t="shared" ca="1" si="1"/>
        <v>0</v>
      </c>
      <c r="K36" s="60">
        <f t="shared" ca="1" si="5"/>
        <v>0</v>
      </c>
      <c r="L36" s="70" t="e">
        <f t="shared" ca="1" si="1"/>
        <v>#DIV/0!</v>
      </c>
      <c r="M36" s="60" t="e">
        <f t="shared" ca="1" si="6"/>
        <v>#DIV/0!</v>
      </c>
      <c r="N36" s="70" t="e">
        <f t="shared" ca="1" si="1"/>
        <v>#DIV/0!</v>
      </c>
      <c r="O36" s="60" t="e">
        <f t="shared" ca="1" si="7"/>
        <v>#DIV/0!</v>
      </c>
      <c r="P36" s="70" t="e">
        <f t="shared" ca="1" si="1"/>
        <v>#DIV/0!</v>
      </c>
      <c r="Q36" s="60" t="e">
        <f t="shared" ca="1" si="8"/>
        <v>#DIV/0!</v>
      </c>
      <c r="R36" s="70" t="e">
        <f t="shared" ca="1" si="1"/>
        <v>#DIV/0!</v>
      </c>
      <c r="S36" s="60" t="e">
        <f t="shared" ca="1" si="9"/>
        <v>#DIV/0!</v>
      </c>
      <c r="T36" s="70" t="e">
        <f t="shared" ca="1" si="1"/>
        <v>#DIV/0!</v>
      </c>
      <c r="U36" s="60" t="e">
        <f t="shared" ca="1" si="10"/>
        <v>#DIV/0!</v>
      </c>
    </row>
    <row r="37" spans="1:21" x14ac:dyDescent="0.2">
      <c r="A37" s="56"/>
      <c r="B37" s="57" t="s">
        <v>13</v>
      </c>
      <c r="C37" s="61" t="s">
        <v>9</v>
      </c>
      <c r="D37" s="70">
        <f t="shared" ca="1" si="1"/>
        <v>8.8222024487258008E-4</v>
      </c>
      <c r="E37" s="60">
        <f t="shared" ca="1" si="2"/>
        <v>7.2366778469302052E-4</v>
      </c>
      <c r="F37" s="70">
        <f t="shared" ca="1" si="1"/>
        <v>4.0505685083371502E-3</v>
      </c>
      <c r="G37" s="60">
        <f t="shared" ca="1" si="3"/>
        <v>3.3880423730060848E-3</v>
      </c>
      <c r="H37" s="70">
        <f t="shared" ca="1" si="1"/>
        <v>0</v>
      </c>
      <c r="I37" s="60">
        <f t="shared" ca="1" si="4"/>
        <v>0</v>
      </c>
      <c r="J37" s="70">
        <f t="shared" ca="1" si="1"/>
        <v>4.0207264169424854E-3</v>
      </c>
      <c r="K37" s="60">
        <f t="shared" ca="1" si="5"/>
        <v>3.2993242466047689E-3</v>
      </c>
      <c r="L37" s="70" t="e">
        <f t="shared" ca="1" si="1"/>
        <v>#DIV/0!</v>
      </c>
      <c r="M37" s="60" t="e">
        <f t="shared" ca="1" si="6"/>
        <v>#DIV/0!</v>
      </c>
      <c r="N37" s="70" t="e">
        <f t="shared" ca="1" si="1"/>
        <v>#DIV/0!</v>
      </c>
      <c r="O37" s="60" t="e">
        <f t="shared" ca="1" si="7"/>
        <v>#DIV/0!</v>
      </c>
      <c r="P37" s="70" t="e">
        <f t="shared" ca="1" si="1"/>
        <v>#DIV/0!</v>
      </c>
      <c r="Q37" s="60" t="e">
        <f t="shared" ca="1" si="8"/>
        <v>#DIV/0!</v>
      </c>
      <c r="R37" s="70" t="e">
        <f t="shared" ca="1" si="1"/>
        <v>#DIV/0!</v>
      </c>
      <c r="S37" s="60" t="e">
        <f t="shared" ca="1" si="9"/>
        <v>#DIV/0!</v>
      </c>
      <c r="T37" s="70" t="e">
        <f t="shared" ca="1" si="1"/>
        <v>#DIV/0!</v>
      </c>
      <c r="U37" s="60" t="e">
        <f t="shared" ca="1" si="10"/>
        <v>#DIV/0!</v>
      </c>
    </row>
    <row r="39" spans="1:21" ht="37.5" customHeight="1" x14ac:dyDescent="0.35">
      <c r="A39" s="117"/>
      <c r="B39" s="117"/>
      <c r="C39" s="117"/>
      <c r="D39" s="221" t="str">
        <f ca="1">CONCATENATE(#REF!,"
 Forecast")</f>
        <v>Sep-20
 Forecast</v>
      </c>
      <c r="E39" s="221"/>
    </row>
    <row r="40" spans="1:21" ht="18" x14ac:dyDescent="0.35">
      <c r="A40" s="118"/>
      <c r="B40" s="118"/>
      <c r="C40" s="118"/>
      <c r="D40" s="120" t="s">
        <v>0</v>
      </c>
      <c r="E40" s="119" t="s">
        <v>61</v>
      </c>
    </row>
    <row r="41" spans="1:21" x14ac:dyDescent="0.2">
      <c r="A41" s="9" t="s">
        <v>64</v>
      </c>
      <c r="B41" s="21" t="s">
        <v>65</v>
      </c>
      <c r="C41" s="2" t="s">
        <v>7</v>
      </c>
      <c r="D41" s="46">
        <f ca="1">_xll.DBGET(#REF!,#REF!,#REF!,#REF!,#REF!,#REF!,$C41,$B41,#REF!,#REF!,#REF!)</f>
        <v>1113721</v>
      </c>
      <c r="E41" s="5">
        <f ca="1">_xll.DBGET(#REF!,#REF!,#REF!,#REF!,#REF!,#REF!,$C41,$B41,#REF!,#REF!,#REF!)</f>
        <v>156.37791915974</v>
      </c>
    </row>
    <row r="42" spans="1:21" x14ac:dyDescent="0.2">
      <c r="A42" s="15" t="s">
        <v>1</v>
      </c>
      <c r="B42" s="16" t="s">
        <v>6</v>
      </c>
      <c r="C42" s="19" t="s">
        <v>7</v>
      </c>
      <c r="D42" s="47">
        <f ca="1">_xll.DBGET(#REF!,#REF!,#REF!,#REF!,#REF!,#REF!,$C42,$B42,#REF!,#REF!,#REF!)</f>
        <v>688436</v>
      </c>
      <c r="E42" s="7">
        <f ca="1">_xll.DBGET(#REF!,#REF!,#REF!,#REF!,#REF!,#REF!,$C42,$B42,#REF!,#REF!,#REF!)</f>
        <v>159.68655430091999</v>
      </c>
    </row>
    <row r="43" spans="1:21" x14ac:dyDescent="0.2">
      <c r="A43" s="56"/>
      <c r="B43" s="57" t="s">
        <v>6</v>
      </c>
      <c r="C43" s="61" t="s">
        <v>8</v>
      </c>
      <c r="D43" s="65">
        <f ca="1">_xll.DBGET(#REF!,#REF!,#REF!,#REF!,#REF!,#REF!,$C43,$B43,#REF!,#REF!,#REF!)</f>
        <v>448550</v>
      </c>
      <c r="E43" s="63">
        <f ca="1">_xll.DBGET(#REF!,#REF!,#REF!,#REF!,#REF!,#REF!,$C43,$B43,#REF!,#REF!,#REF!)</f>
        <v>150.03067284438001</v>
      </c>
    </row>
    <row r="44" spans="1:21" x14ac:dyDescent="0.2">
      <c r="A44" s="58"/>
      <c r="B44" s="59" t="s">
        <v>6</v>
      </c>
      <c r="C44" s="62" t="s">
        <v>9</v>
      </c>
      <c r="D44" s="66">
        <f ca="1">_xll.DBGET(#REF!,#REF!,#REF!,#REF!,#REF!,#REF!,$C44,$B44,#REF!,#REF!,#REF!)</f>
        <v>239886</v>
      </c>
      <c r="E44" s="64">
        <f ca="1">_xll.DBGET(#REF!,#REF!,#REF!,#REF!,#REF!,#REF!,$C44,$B44,#REF!,#REF!,#REF!)</f>
        <v>177.7415705475</v>
      </c>
    </row>
    <row r="45" spans="1:21" x14ac:dyDescent="0.2">
      <c r="A45" s="15" t="s">
        <v>2</v>
      </c>
      <c r="B45" s="16" t="s">
        <v>10</v>
      </c>
      <c r="C45" s="19" t="s">
        <v>7</v>
      </c>
      <c r="D45" s="67">
        <f ca="1">_xll.DBGET(#REF!,#REF!,#REF!,#REF!,#REF!,#REF!,$C45,$B45,#REF!,#REF!,#REF!)</f>
        <v>329035</v>
      </c>
      <c r="E45" s="7">
        <f ca="1">_xll.DBGET(#REF!,#REF!,#REF!,#REF!,#REF!,#REF!,$C45,$B45,#REF!,#REF!,#REF!)</f>
        <v>145.56930668426</v>
      </c>
    </row>
    <row r="46" spans="1:21" x14ac:dyDescent="0.2">
      <c r="A46" s="56"/>
      <c r="B46" s="57" t="s">
        <v>10</v>
      </c>
      <c r="C46" s="61" t="s">
        <v>8</v>
      </c>
      <c r="D46" s="65">
        <f ca="1">_xll.DBGET(#REF!,#REF!,#REF!,#REF!,#REF!,#REF!,$C46,$B46,#REF!,#REF!,#REF!)</f>
        <v>19900</v>
      </c>
      <c r="E46" s="63">
        <f ca="1">_xll.DBGET(#REF!,#REF!,#REF!,#REF!,#REF!,#REF!,$C46,$B46,#REF!,#REF!,#REF!)</f>
        <v>156.97421785693001</v>
      </c>
    </row>
    <row r="47" spans="1:21" x14ac:dyDescent="0.2">
      <c r="A47" s="58"/>
      <c r="B47" s="59" t="s">
        <v>10</v>
      </c>
      <c r="C47" s="62" t="s">
        <v>9</v>
      </c>
      <c r="D47" s="66">
        <f ca="1">_xll.DBGET(#REF!,#REF!,#REF!,#REF!,#REF!,#REF!,$C47,$B47,#REF!,#REF!,#REF!)</f>
        <v>309135</v>
      </c>
      <c r="E47" s="64">
        <f ca="1">_xll.DBGET(#REF!,#REF!,#REF!,#REF!,#REF!,#REF!,$C47,$B47,#REF!,#REF!,#REF!)</f>
        <v>144.83513639511</v>
      </c>
    </row>
    <row r="48" spans="1:21" x14ac:dyDescent="0.2">
      <c r="A48" s="17" t="s">
        <v>3</v>
      </c>
      <c r="B48" s="18" t="s">
        <v>11</v>
      </c>
      <c r="C48" s="20" t="s">
        <v>7</v>
      </c>
      <c r="D48" s="67">
        <f ca="1">_xll.DBGET(#REF!,#REF!,#REF!,#REF!,#REF!,#REF!,$C48,$B48,#REF!,#REF!,#REF!)</f>
        <v>53250</v>
      </c>
      <c r="E48" s="7">
        <f ca="1">_xll.DBGET(#REF!,#REF!,#REF!,#REF!,#REF!,#REF!,$C48,$B48,#REF!,#REF!,#REF!)</f>
        <v>180.25085412806001</v>
      </c>
    </row>
    <row r="49" spans="1:21" x14ac:dyDescent="0.2">
      <c r="A49" s="56"/>
      <c r="B49" s="57" t="s">
        <v>11</v>
      </c>
      <c r="C49" s="61" t="s">
        <v>8</v>
      </c>
      <c r="D49" s="168">
        <f ca="1">_xll.DBGET(#REF!,#REF!,#REF!,#REF!,#REF!,#REF!,$C49,$B49,#REF!,#REF!,#REF!)</f>
        <v>0</v>
      </c>
      <c r="E49" s="164">
        <f ca="1">_xll.DBGET(#REF!,#REF!,#REF!,#REF!,#REF!,#REF!,$C49,$B49,#REF!,#REF!,#REF!)</f>
        <v>0</v>
      </c>
    </row>
    <row r="50" spans="1:21" x14ac:dyDescent="0.2">
      <c r="A50" s="56"/>
      <c r="B50" s="57" t="s">
        <v>11</v>
      </c>
      <c r="C50" s="61" t="s">
        <v>9</v>
      </c>
      <c r="D50" s="168">
        <f ca="1">_xll.DBGET(#REF!,#REF!,#REF!,#REF!,#REF!,#REF!,$C50,$B50,#REF!,#REF!,#REF!)</f>
        <v>53250</v>
      </c>
      <c r="E50" s="164">
        <f ca="1">_xll.DBGET(#REF!,#REF!,#REF!,#REF!,#REF!,#REF!,$C50,$B50,#REF!,#REF!,#REF!)</f>
        <v>180.25085412806001</v>
      </c>
    </row>
    <row r="51" spans="1:21" x14ac:dyDescent="0.2">
      <c r="A51" s="15" t="s">
        <v>4</v>
      </c>
      <c r="B51" s="16" t="s">
        <v>12</v>
      </c>
      <c r="C51" s="19" t="s">
        <v>7</v>
      </c>
      <c r="D51" s="167">
        <f ca="1">_xll.DBGET(#REF!,#REF!,#REF!,#REF!,#REF!,#REF!,$C51,$B51,#REF!,#REF!,#REF!)</f>
        <v>43000</v>
      </c>
      <c r="E51" s="166">
        <f ca="1">_xll.DBGET(#REF!,#REF!,#REF!,#REF!,#REF!,#REF!,$C51,$B51,#REF!,#REF!,#REF!)</f>
        <v>156.54988373553999</v>
      </c>
    </row>
    <row r="52" spans="1:21" x14ac:dyDescent="0.2">
      <c r="A52" s="56"/>
      <c r="B52" s="57" t="s">
        <v>12</v>
      </c>
      <c r="C52" s="61" t="s">
        <v>8</v>
      </c>
      <c r="D52" s="168">
        <f ca="1">_xll.DBGET(#REF!,#REF!,#REF!,#REF!,#REF!,#REF!,$C52,$B52,#REF!,#REF!,#REF!)</f>
        <v>0</v>
      </c>
      <c r="E52" s="164">
        <f ca="1">_xll.DBGET(#REF!,#REF!,#REF!,#REF!,#REF!,#REF!,$C52,$B52,#REF!,#REF!,#REF!)</f>
        <v>0</v>
      </c>
    </row>
    <row r="53" spans="1:21" x14ac:dyDescent="0.2">
      <c r="A53" s="56"/>
      <c r="B53" s="57" t="s">
        <v>12</v>
      </c>
      <c r="C53" s="61" t="s">
        <v>9</v>
      </c>
      <c r="D53" s="168">
        <f ca="1">_xll.DBGET(#REF!,#REF!,#REF!,#REF!,#REF!,#REF!,$C53,$B53,#REF!,#REF!,#REF!)</f>
        <v>43000</v>
      </c>
      <c r="E53" s="164">
        <f ca="1">_xll.DBGET(#REF!,#REF!,#REF!,#REF!,#REF!,#REF!,$C53,$B53,#REF!,#REF!,#REF!)</f>
        <v>156.54988373553999</v>
      </c>
    </row>
    <row r="54" spans="1:21" x14ac:dyDescent="0.2">
      <c r="A54" s="15" t="s">
        <v>5</v>
      </c>
      <c r="B54" s="16" t="s">
        <v>13</v>
      </c>
      <c r="C54" s="19" t="s">
        <v>7</v>
      </c>
      <c r="D54" s="167">
        <f ca="1">_xll.DBGET(#REF!,#REF!,#REF!,#REF!,#REF!,#REF!,$C54,$B54,#REF!,#REF!,#REF!)</f>
        <v>0</v>
      </c>
      <c r="E54" s="166">
        <f ca="1">_xll.DBGET(#REF!,#REF!,#REF!,#REF!,#REF!,#REF!,$C54,$B54,#REF!,#REF!,#REF!)</f>
        <v>0</v>
      </c>
    </row>
    <row r="55" spans="1:21" x14ac:dyDescent="0.2">
      <c r="A55" s="56"/>
      <c r="B55" s="57" t="s">
        <v>13</v>
      </c>
      <c r="C55" s="61" t="s">
        <v>8</v>
      </c>
      <c r="D55" s="168">
        <f ca="1">_xll.DBGET(#REF!,#REF!,#REF!,#REF!,#REF!,#REF!,$C55,$B55,#REF!,#REF!,#REF!)</f>
        <v>0</v>
      </c>
      <c r="E55" s="164">
        <f ca="1">_xll.DBGET(#REF!,#REF!,#REF!,#REF!,#REF!,#REF!,$C55,$B55,#REF!,#REF!,#REF!)</f>
        <v>0</v>
      </c>
    </row>
    <row r="56" spans="1:21" x14ac:dyDescent="0.2">
      <c r="A56" s="56"/>
      <c r="B56" s="57" t="s">
        <v>13</v>
      </c>
      <c r="C56" s="61" t="s">
        <v>9</v>
      </c>
      <c r="D56" s="168">
        <f ca="1">_xll.DBGET(#REF!,#REF!,#REF!,#REF!,#REF!,#REF!,$C56,$B56,#REF!,#REF!,#REF!)</f>
        <v>0</v>
      </c>
      <c r="E56" s="164">
        <f ca="1">_xll.DBGET(#REF!,#REF!,#REF!,#REF!,#REF!,#REF!,$C56,$B56,#REF!,#REF!,#REF!)</f>
        <v>0</v>
      </c>
    </row>
    <row r="58" spans="1:21" ht="19" x14ac:dyDescent="0.35">
      <c r="A58" s="223" t="s">
        <v>71</v>
      </c>
      <c r="B58" s="223"/>
      <c r="C58" s="223"/>
      <c r="D58" s="223"/>
      <c r="E58" s="223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</row>
    <row r="59" spans="1:21" x14ac:dyDescent="0.2">
      <c r="A59" s="9" t="s">
        <v>64</v>
      </c>
      <c r="B59" s="21" t="s">
        <v>65</v>
      </c>
      <c r="C59" s="2" t="s">
        <v>7</v>
      </c>
      <c r="D59" s="68">
        <f ca="1">SUM(D60,D63,D66,D69,D72)</f>
        <v>1</v>
      </c>
      <c r="E59" s="23">
        <f ca="1">SUM(E60,E63,E66,E69,E72)</f>
        <v>1.000000000000036</v>
      </c>
    </row>
    <row r="60" spans="1:21" x14ac:dyDescent="0.2">
      <c r="A60" s="15" t="s">
        <v>1</v>
      </c>
      <c r="B60" s="16" t="s">
        <v>6</v>
      </c>
      <c r="C60" s="19" t="s">
        <v>7</v>
      </c>
      <c r="D60" s="69">
        <f t="shared" ref="D60:D74" ca="1" si="11">D42/D$41</f>
        <v>0.61814044989723638</v>
      </c>
      <c r="E60" s="24">
        <f t="shared" ref="E60:E74" ca="1" si="12">(D42*E42)/(D$41*E$41)</f>
        <v>0.63121903046477568</v>
      </c>
    </row>
    <row r="61" spans="1:21" x14ac:dyDescent="0.2">
      <c r="A61" s="56"/>
      <c r="B61" s="57" t="s">
        <v>6</v>
      </c>
      <c r="C61" s="61" t="s">
        <v>8</v>
      </c>
      <c r="D61" s="70">
        <f t="shared" ca="1" si="11"/>
        <v>0.40274898291403322</v>
      </c>
      <c r="E61" s="60">
        <f t="shared" ca="1" si="12"/>
        <v>0.38640174532734567</v>
      </c>
    </row>
    <row r="62" spans="1:21" x14ac:dyDescent="0.2">
      <c r="A62" s="56"/>
      <c r="B62" s="57" t="s">
        <v>6</v>
      </c>
      <c r="C62" s="61" t="s">
        <v>9</v>
      </c>
      <c r="D62" s="70">
        <f t="shared" ca="1" si="11"/>
        <v>0.21539146698320316</v>
      </c>
      <c r="E62" s="60">
        <f t="shared" ca="1" si="12"/>
        <v>0.24481728513740747</v>
      </c>
    </row>
    <row r="63" spans="1:21" x14ac:dyDescent="0.2">
      <c r="A63" s="15" t="s">
        <v>2</v>
      </c>
      <c r="B63" s="16" t="s">
        <v>10</v>
      </c>
      <c r="C63" s="19" t="s">
        <v>7</v>
      </c>
      <c r="D63" s="69">
        <f t="shared" ca="1" si="11"/>
        <v>0.29543754674644729</v>
      </c>
      <c r="E63" s="24">
        <f t="shared" ca="1" si="12"/>
        <v>0.27501733671521561</v>
      </c>
    </row>
    <row r="64" spans="1:21" x14ac:dyDescent="0.2">
      <c r="A64" s="56"/>
      <c r="B64" s="57" t="s">
        <v>10</v>
      </c>
      <c r="C64" s="61" t="s">
        <v>8</v>
      </c>
      <c r="D64" s="70">
        <f t="shared" ca="1" si="11"/>
        <v>1.7868029784838393E-2</v>
      </c>
      <c r="E64" s="60">
        <f t="shared" ca="1" si="12"/>
        <v>1.7936163975006043E-2</v>
      </c>
    </row>
    <row r="65" spans="1:5" x14ac:dyDescent="0.2">
      <c r="A65" s="56"/>
      <c r="B65" s="57" t="s">
        <v>10</v>
      </c>
      <c r="C65" s="61" t="s">
        <v>9</v>
      </c>
      <c r="D65" s="70">
        <f t="shared" ca="1" si="11"/>
        <v>0.27756951696160886</v>
      </c>
      <c r="E65" s="60">
        <f t="shared" ca="1" si="12"/>
        <v>0.25708117274020814</v>
      </c>
    </row>
    <row r="66" spans="1:5" x14ac:dyDescent="0.2">
      <c r="A66" s="17" t="s">
        <v>3</v>
      </c>
      <c r="B66" s="18" t="s">
        <v>11</v>
      </c>
      <c r="C66" s="20" t="s">
        <v>7</v>
      </c>
      <c r="D66" s="69">
        <f t="shared" ca="1" si="11"/>
        <v>4.7812692765962034E-2</v>
      </c>
      <c r="E66" s="24">
        <f t="shared" ca="1" si="12"/>
        <v>5.5111864613210527E-2</v>
      </c>
    </row>
    <row r="67" spans="1:5" x14ac:dyDescent="0.2">
      <c r="A67" s="56"/>
      <c r="B67" s="57" t="s">
        <v>11</v>
      </c>
      <c r="C67" s="61" t="s">
        <v>8</v>
      </c>
      <c r="D67" s="70">
        <f t="shared" ca="1" si="11"/>
        <v>0</v>
      </c>
      <c r="E67" s="60">
        <f t="shared" ca="1" si="12"/>
        <v>0</v>
      </c>
    </row>
    <row r="68" spans="1:5" x14ac:dyDescent="0.2">
      <c r="A68" s="56"/>
      <c r="B68" s="57" t="s">
        <v>11</v>
      </c>
      <c r="C68" s="61" t="s">
        <v>9</v>
      </c>
      <c r="D68" s="70">
        <f t="shared" ca="1" si="11"/>
        <v>4.7812692765962034E-2</v>
      </c>
      <c r="E68" s="60">
        <f t="shared" ca="1" si="12"/>
        <v>5.5111864613210527E-2</v>
      </c>
    </row>
    <row r="69" spans="1:5" x14ac:dyDescent="0.2">
      <c r="A69" s="15" t="s">
        <v>4</v>
      </c>
      <c r="B69" s="16" t="s">
        <v>12</v>
      </c>
      <c r="C69" s="19" t="s">
        <v>7</v>
      </c>
      <c r="D69" s="69">
        <f t="shared" ca="1" si="11"/>
        <v>3.8609310590354315E-2</v>
      </c>
      <c r="E69" s="24">
        <f t="shared" ca="1" si="12"/>
        <v>3.8651768206834164E-2</v>
      </c>
    </row>
    <row r="70" spans="1:5" x14ac:dyDescent="0.2">
      <c r="A70" s="56"/>
      <c r="B70" s="57" t="s">
        <v>12</v>
      </c>
      <c r="C70" s="61" t="s">
        <v>8</v>
      </c>
      <c r="D70" s="70">
        <f t="shared" ca="1" si="11"/>
        <v>0</v>
      </c>
      <c r="E70" s="60">
        <f t="shared" ca="1" si="12"/>
        <v>0</v>
      </c>
    </row>
    <row r="71" spans="1:5" x14ac:dyDescent="0.2">
      <c r="A71" s="56"/>
      <c r="B71" s="57" t="s">
        <v>12</v>
      </c>
      <c r="C71" s="61" t="s">
        <v>9</v>
      </c>
      <c r="D71" s="70">
        <f t="shared" ca="1" si="11"/>
        <v>3.8609310590354315E-2</v>
      </c>
      <c r="E71" s="60">
        <f t="shared" ca="1" si="12"/>
        <v>3.8651768206834164E-2</v>
      </c>
    </row>
    <row r="72" spans="1:5" x14ac:dyDescent="0.2">
      <c r="A72" s="15" t="s">
        <v>5</v>
      </c>
      <c r="B72" s="16" t="s">
        <v>13</v>
      </c>
      <c r="C72" s="19" t="s">
        <v>7</v>
      </c>
      <c r="D72" s="69">
        <f t="shared" ca="1" si="11"/>
        <v>0</v>
      </c>
      <c r="E72" s="24">
        <f t="shared" ca="1" si="12"/>
        <v>0</v>
      </c>
    </row>
    <row r="73" spans="1:5" x14ac:dyDescent="0.2">
      <c r="A73" s="56"/>
      <c r="B73" s="57" t="s">
        <v>13</v>
      </c>
      <c r="C73" s="61" t="s">
        <v>8</v>
      </c>
      <c r="D73" s="70">
        <f t="shared" ca="1" si="11"/>
        <v>0</v>
      </c>
      <c r="E73" s="60">
        <f t="shared" ca="1" si="12"/>
        <v>0</v>
      </c>
    </row>
    <row r="74" spans="1:5" x14ac:dyDescent="0.2">
      <c r="A74" s="56"/>
      <c r="B74" s="57" t="s">
        <v>13</v>
      </c>
      <c r="C74" s="61" t="s">
        <v>9</v>
      </c>
      <c r="D74" s="70">
        <f t="shared" ca="1" si="11"/>
        <v>0</v>
      </c>
      <c r="E74" s="60">
        <f t="shared" ca="1" si="12"/>
        <v>0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baseColWidth="10" defaultColWidth="9.1640625" defaultRowHeight="15" outlineLevelCol="1" x14ac:dyDescent="0.2"/>
  <cols>
    <col min="1" max="1" width="12.33203125" style="99" customWidth="1"/>
    <col min="2" max="2" width="4.5" style="1" hidden="1" customWidth="1" outlineLevel="1"/>
    <col min="3" max="3" width="9.1640625" style="99" customWidth="1" collapsed="1"/>
    <col min="4" max="21" width="13.1640625" style="99" customWidth="1"/>
    <col min="22" max="25" width="9.1640625" style="99"/>
    <col min="26" max="26" width="16" style="99" bestFit="1" customWidth="1"/>
    <col min="27" max="27" width="9.1640625" style="99"/>
    <col min="28" max="28" width="16" style="99" bestFit="1" customWidth="1"/>
    <col min="29" max="29" width="13.83203125" style="99" customWidth="1"/>
    <col min="30" max="30" width="16" style="99" bestFit="1" customWidth="1"/>
    <col min="31" max="16384" width="9.1640625" style="99"/>
  </cols>
  <sheetData>
    <row r="1" spans="1:30" ht="27" x14ac:dyDescent="0.45">
      <c r="A1" s="217" t="s">
        <v>62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</row>
    <row r="2" spans="1:30" s="8" customFormat="1" ht="37.5" customHeight="1" x14ac:dyDescent="0.35">
      <c r="A2" s="117"/>
      <c r="B2" s="128"/>
      <c r="C2" s="117"/>
      <c r="D2" s="221" t="str">
        <f ca="1">CONCATENATE(#REF!," YTD","
 Actual")</f>
        <v>May-20 YTD
 Actual</v>
      </c>
      <c r="E2" s="221"/>
      <c r="F2" s="221" t="str">
        <f ca="1">CONCATENATE(#REF!,"
 Forecast")</f>
        <v>Jun-20
 Forecast</v>
      </c>
      <c r="G2" s="221"/>
      <c r="H2" s="221" t="str">
        <f ca="1">CONCATENATE(#REF!,"
 Forecast")</f>
        <v>Jul-20
 Forecast</v>
      </c>
      <c r="I2" s="221"/>
      <c r="J2" s="221" t="str">
        <f ca="1">CONCATENATE(#REF!,"
 Forecast")</f>
        <v>Aug-20
 Forecast</v>
      </c>
      <c r="K2" s="221"/>
      <c r="L2" s="221" t="str">
        <f ca="1">CONCATENATE("Qtr 1 ",#REF!," 
Actual")</f>
        <v>Qtr 1 2020 
Actual</v>
      </c>
      <c r="M2" s="221"/>
      <c r="N2" s="221" t="str">
        <f ca="1">CONCATENATE("Qtr 2 ",#REF!," 
Actual")</f>
        <v>Qtr 2 2020 
Actual</v>
      </c>
      <c r="O2" s="221"/>
      <c r="P2" s="221" t="str">
        <f ca="1">CONCATENATE("Qtr 3 ",#REF!," 
Actual")</f>
        <v>Qtr 3 2020 
Actual</v>
      </c>
      <c r="Q2" s="221"/>
      <c r="R2" s="221" t="str">
        <f ca="1">CONCATENATE("Qtr 4 ",#REF!," 
Forecast")</f>
        <v>Qtr 4 2020 
Forecast</v>
      </c>
      <c r="S2" s="221"/>
      <c r="T2" s="221" t="str">
        <f ca="1">CONCATENATE(#REF!," 
Forecast")</f>
        <v>2020 
Forecast</v>
      </c>
      <c r="U2" s="221"/>
    </row>
    <row r="3" spans="1:30" ht="18" x14ac:dyDescent="0.35">
      <c r="A3" s="118"/>
      <c r="B3" s="129"/>
      <c r="C3" s="118"/>
      <c r="D3" s="120" t="s">
        <v>0</v>
      </c>
      <c r="E3" s="119" t="s">
        <v>61</v>
      </c>
      <c r="F3" s="120" t="s">
        <v>0</v>
      </c>
      <c r="G3" s="119" t="s">
        <v>61</v>
      </c>
      <c r="H3" s="120" t="s">
        <v>0</v>
      </c>
      <c r="I3" s="119" t="s">
        <v>61</v>
      </c>
      <c r="J3" s="120" t="s">
        <v>0</v>
      </c>
      <c r="K3" s="119" t="s">
        <v>61</v>
      </c>
      <c r="L3" s="120" t="s">
        <v>0</v>
      </c>
      <c r="M3" s="119" t="s">
        <v>61</v>
      </c>
      <c r="N3" s="120" t="s">
        <v>0</v>
      </c>
      <c r="O3" s="119" t="s">
        <v>61</v>
      </c>
      <c r="P3" s="120" t="s">
        <v>0</v>
      </c>
      <c r="Q3" s="119" t="s">
        <v>61</v>
      </c>
      <c r="R3" s="120" t="s">
        <v>0</v>
      </c>
      <c r="S3" s="119" t="s">
        <v>61</v>
      </c>
      <c r="T3" s="120" t="s">
        <v>0</v>
      </c>
      <c r="U3" s="119" t="s">
        <v>61</v>
      </c>
      <c r="Y3" s="222"/>
      <c r="Z3" s="222"/>
      <c r="AA3" s="222"/>
      <c r="AB3" s="222"/>
      <c r="AC3" s="222"/>
      <c r="AD3" s="222"/>
    </row>
    <row r="4" spans="1:30" x14ac:dyDescent="0.2">
      <c r="A4" s="9" t="s">
        <v>17</v>
      </c>
      <c r="B4" s="3" t="s">
        <v>14</v>
      </c>
      <c r="C4" s="2" t="s">
        <v>7</v>
      </c>
      <c r="D4" s="46">
        <f ca="1">_xll.DBGET(#REF!,#REF!,#REF!,#REF!,#REF!,#REF!,$C4,$B4,#REF!,#REF!,#REF!)</f>
        <v>1067147</v>
      </c>
      <c r="E4" s="5">
        <f ca="1">_xll.DBGET(#REF!,#REF!,#REF!,#REF!,#REF!,#REF!,$C4,$B4,#REF!,#REF!,#REF!)</f>
        <v>156.51229233450999</v>
      </c>
      <c r="F4" s="46">
        <f ca="1">_xll.DBGET(#REF!,#REF!,#REF!,#REF!,#REF!,#REF!,$C4,$B4,#REF!,#REF!,#REF!)</f>
        <v>403747</v>
      </c>
      <c r="G4" s="5">
        <f ca="1">_xll.DBGET(#REF!,#REF!,#REF!,#REF!,#REF!,#REF!,$C4,$B4,#REF!,#REF!,#REF!)</f>
        <v>154.44742454371001</v>
      </c>
      <c r="H4" s="46">
        <f ca="1">_xll.DBGET(#REF!,#REF!,#REF!,#REF!,#REF!,#REF!,$C4,$B4,#REF!,#REF!,#REF!)</f>
        <v>292096</v>
      </c>
      <c r="I4" s="5">
        <f ca="1">_xll.DBGET(#REF!,#REF!,#REF!,#REF!,#REF!,#REF!,$C4,$B4,#REF!,#REF!,#REF!)</f>
        <v>139.23910553885</v>
      </c>
      <c r="J4" s="46">
        <f ca="1">_xll.DBGET(#REF!,#REF!,#REF!,#REF!,#REF!,#REF!,$C4,$B4,#REF!,#REF!,#REF!)</f>
        <v>327458</v>
      </c>
      <c r="K4" s="5">
        <f ca="1">_xll.DBGET(#REF!,#REF!,#REF!,#REF!,#REF!,#REF!,$C4,$B4,#REF!,#REF!,#REF!)</f>
        <v>134.17828513063</v>
      </c>
      <c r="L4" s="46">
        <f ca="1">_xll.DBGET(#REF!,#REF!,#REF!,#REF!,#REF!,#REF!,$C4,$B4,#REF!,#REF!,#REF!)</f>
        <v>0</v>
      </c>
      <c r="M4" s="5">
        <f ca="1">_xll.DBGET(#REF!,#REF!,#REF!,#REF!,#REF!,#REF!,$C4,$B4,#REF!,#REF!,#REF!)</f>
        <v>0</v>
      </c>
      <c r="N4" s="46">
        <f ca="1">_xll.DBGET(#REF!,#REF!,#REF!,#REF!,#REF!,#REF!,$C4,$B4,#REF!,#REF!,#REF!)</f>
        <v>0</v>
      </c>
      <c r="O4" s="5">
        <f ca="1">IFERROR((_xll.DBGET(#REF!,#REF!,#REF!,#REF!,#REF!,#REF!,$C4,$B4,#REF!,#REF!,#REF!))/N4,0)</f>
        <v>0</v>
      </c>
      <c r="P4" s="46">
        <f ca="1">_xll.DBGET(#REF!,#REF!,#REF!,#REF!,#REF!,#REF!,$C4,$B4,#REF!,#REF!,#REF!)</f>
        <v>0</v>
      </c>
      <c r="Q4" s="5">
        <f ca="1">IFERROR((_xll.DBGET(#REF!,#REF!,#REF!,#REF!,#REF!,#REF!,$C4,$B4,#REF!,#REF!,#REF!))/P4,0)</f>
        <v>0</v>
      </c>
      <c r="R4" s="46">
        <f ca="1">_xll.DBGET(#REF!,#REF!,#REF!,#REF!,#REF!,#REF!,$C4,$B4,#REF!,#REF!,#REF!)</f>
        <v>0</v>
      </c>
      <c r="S4" s="5">
        <f ca="1">IFERROR((_xll.DBGET(#REF!,#REF!,#REF!,#REF!,#REF!,#REF!,$C4,$B4,#REF!,#REF!,#REF!))/R4,0)</f>
        <v>0</v>
      </c>
      <c r="T4" s="46">
        <f ca="1">_xll.DBGET(#REF!,#REF!,#REF!,#REF!,#REF!,#REF!,$C4,$B4,#REF!,#REF!,#REF!)</f>
        <v>0</v>
      </c>
      <c r="U4" s="5">
        <f ca="1">_xll.DBGET(#REF!,#REF!,#REF!,#REF!,#REF!,#REF!,$C4,$B4,#REF!,#REF!,#REF!)</f>
        <v>0</v>
      </c>
    </row>
    <row r="5" spans="1:30" x14ac:dyDescent="0.2">
      <c r="A5" s="71"/>
      <c r="B5" s="72" t="s">
        <v>14</v>
      </c>
      <c r="C5" s="73" t="s">
        <v>8</v>
      </c>
      <c r="D5" s="163">
        <f ca="1">_xll.DBGET(#REF!,#REF!,#REF!,#REF!,#REF!,#REF!,$C5,$B5,#REF!,#REF!,#REF!)</f>
        <v>44484</v>
      </c>
      <c r="E5" s="169">
        <f ca="1">_xll.DBGET(#REF!,#REF!,#REF!,#REF!,#REF!,#REF!,$C5,$B5,#REF!,#REF!,#REF!)</f>
        <v>152.89307681189001</v>
      </c>
      <c r="F5" s="163">
        <f ca="1">_xll.DBGET(#REF!,#REF!,#REF!,#REF!,#REF!,#REF!,$C5,$B5,#REF!,#REF!,#REF!)</f>
        <v>14952</v>
      </c>
      <c r="G5" s="169">
        <f ca="1">_xll.DBGET(#REF!,#REF!,#REF!,#REF!,#REF!,#REF!,$C5,$B5,#REF!,#REF!,#REF!)</f>
        <v>132.00146087639001</v>
      </c>
      <c r="H5" s="163">
        <f ca="1">_xll.DBGET(#REF!,#REF!,#REF!,#REF!,#REF!,#REF!,$C5,$B5,#REF!,#REF!,#REF!)</f>
        <v>6208</v>
      </c>
      <c r="I5" s="169">
        <f ca="1">_xll.DBGET(#REF!,#REF!,#REF!,#REF!,#REF!,#REF!,$C5,$B5,#REF!,#REF!,#REF!)</f>
        <v>138.84761203280999</v>
      </c>
      <c r="J5" s="163">
        <f ca="1">_xll.DBGET(#REF!,#REF!,#REF!,#REF!,#REF!,#REF!,$C5,$B5,#REF!,#REF!,#REF!)</f>
        <v>0</v>
      </c>
      <c r="K5" s="169">
        <f ca="1">_xll.DBGET(#REF!,#REF!,#REF!,#REF!,#REF!,#REF!,$C5,$B5,#REF!,#REF!,#REF!)</f>
        <v>0</v>
      </c>
      <c r="L5" s="163">
        <f ca="1">_xll.DBGET(#REF!,#REF!,#REF!,#REF!,#REF!,#REF!,$C5,$B5,#REF!,#REF!,#REF!)</f>
        <v>0</v>
      </c>
      <c r="M5" s="169">
        <f ca="1">_xll.DBGET(#REF!,#REF!,#REF!,#REF!,#REF!,#REF!,$C5,$B5,#REF!,#REF!,#REF!)</f>
        <v>0</v>
      </c>
      <c r="N5" s="163">
        <f ca="1">_xll.DBGET(#REF!,#REF!,#REF!,#REF!,#REF!,#REF!,$C5,$B5,#REF!,#REF!,#REF!)</f>
        <v>0</v>
      </c>
      <c r="O5" s="169">
        <f ca="1">IFERROR((_xll.DBGET(#REF!,#REF!,#REF!,#REF!,#REF!,#REF!,$C5,$B5,#REF!,#REF!,#REF!))/N5,0)</f>
        <v>0</v>
      </c>
      <c r="P5" s="163">
        <f ca="1">_xll.DBGET(#REF!,#REF!,#REF!,#REF!,#REF!,#REF!,$C5,$B5,#REF!,#REF!,#REF!)</f>
        <v>0</v>
      </c>
      <c r="Q5" s="169">
        <f ca="1">IFERROR((_xll.DBGET(#REF!,#REF!,#REF!,#REF!,#REF!,#REF!,$C5,$B5,#REF!,#REF!,#REF!))/P5,0)</f>
        <v>0</v>
      </c>
      <c r="R5" s="163">
        <f ca="1">_xll.DBGET(#REF!,#REF!,#REF!,#REF!,#REF!,#REF!,$C5,$B5,#REF!,#REF!,#REF!)</f>
        <v>0</v>
      </c>
      <c r="S5" s="169">
        <f ca="1">IFERROR((_xll.DBGET(#REF!,#REF!,#REF!,#REF!,#REF!,#REF!,$C5,$B5,#REF!,#REF!,#REF!))/R5,0)</f>
        <v>0</v>
      </c>
      <c r="T5" s="163">
        <f ca="1">_xll.DBGET(#REF!,#REF!,#REF!,#REF!,#REF!,#REF!,$C5,$B5,#REF!,#REF!,#REF!)</f>
        <v>0</v>
      </c>
      <c r="U5" s="169">
        <f ca="1">_xll.DBGET(#REF!,#REF!,#REF!,#REF!,#REF!,#REF!,$C5,$B5,#REF!,#REF!,#REF!)</f>
        <v>0</v>
      </c>
    </row>
    <row r="6" spans="1:30" x14ac:dyDescent="0.2">
      <c r="A6" s="71"/>
      <c r="B6" s="72" t="s">
        <v>14</v>
      </c>
      <c r="C6" s="73" t="s">
        <v>9</v>
      </c>
      <c r="D6" s="163">
        <f ca="1">_xll.DBGET(#REF!,#REF!,#REF!,#REF!,#REF!,#REF!,$C6,$B6,#REF!,#REF!,#REF!)</f>
        <v>1022663</v>
      </c>
      <c r="E6" s="169">
        <f ca="1">_xll.DBGET(#REF!,#REF!,#REF!,#REF!,#REF!,#REF!,$C6,$B6,#REF!,#REF!,#REF!)</f>
        <v>156.66972169620001</v>
      </c>
      <c r="F6" s="163">
        <f ca="1">_xll.DBGET(#REF!,#REF!,#REF!,#REF!,#REF!,#REF!,$C6,$B6,#REF!,#REF!,#REF!)</f>
        <v>388795</v>
      </c>
      <c r="G6" s="169">
        <f ca="1">_xll.DBGET(#REF!,#REF!,#REF!,#REF!,#REF!,#REF!,$C6,$B6,#REF!,#REF!,#REF!)</f>
        <v>155.31063535854</v>
      </c>
      <c r="H6" s="163">
        <f ca="1">_xll.DBGET(#REF!,#REF!,#REF!,#REF!,#REF!,#REF!,$C6,$B6,#REF!,#REF!,#REF!)</f>
        <v>285888</v>
      </c>
      <c r="I6" s="169">
        <f ca="1">_xll.DBGET(#REF!,#REF!,#REF!,#REF!,#REF!,#REF!,$C6,$B6,#REF!,#REF!,#REF!)</f>
        <v>139.24760674102001</v>
      </c>
      <c r="J6" s="163">
        <f ca="1">_xll.DBGET(#REF!,#REF!,#REF!,#REF!,#REF!,#REF!,$C6,$B6,#REF!,#REF!,#REF!)</f>
        <v>327458</v>
      </c>
      <c r="K6" s="169">
        <f ca="1">_xll.DBGET(#REF!,#REF!,#REF!,#REF!,#REF!,#REF!,$C6,$B6,#REF!,#REF!,#REF!)</f>
        <v>134.17828513063</v>
      </c>
      <c r="L6" s="163">
        <f ca="1">_xll.DBGET(#REF!,#REF!,#REF!,#REF!,#REF!,#REF!,$C6,$B6,#REF!,#REF!,#REF!)</f>
        <v>0</v>
      </c>
      <c r="M6" s="169">
        <f ca="1">_xll.DBGET(#REF!,#REF!,#REF!,#REF!,#REF!,#REF!,$C6,$B6,#REF!,#REF!,#REF!)</f>
        <v>0</v>
      </c>
      <c r="N6" s="163">
        <f ca="1">_xll.DBGET(#REF!,#REF!,#REF!,#REF!,#REF!,#REF!,$C6,$B6,#REF!,#REF!,#REF!)</f>
        <v>0</v>
      </c>
      <c r="O6" s="169">
        <f ca="1">IFERROR((_xll.DBGET(#REF!,#REF!,#REF!,#REF!,#REF!,#REF!,$C6,$B6,#REF!,#REF!,#REF!))/N6,0)</f>
        <v>0</v>
      </c>
      <c r="P6" s="163">
        <f ca="1">_xll.DBGET(#REF!,#REF!,#REF!,#REF!,#REF!,#REF!,$C6,$B6,#REF!,#REF!,#REF!)</f>
        <v>0</v>
      </c>
      <c r="Q6" s="169">
        <f ca="1">IFERROR((_xll.DBGET(#REF!,#REF!,#REF!,#REF!,#REF!,#REF!,$C6,$B6,#REF!,#REF!,#REF!))/P6,0)</f>
        <v>0</v>
      </c>
      <c r="R6" s="163">
        <f ca="1">_xll.DBGET(#REF!,#REF!,#REF!,#REF!,#REF!,#REF!,$C6,$B6,#REF!,#REF!,#REF!)</f>
        <v>0</v>
      </c>
      <c r="S6" s="169">
        <f ca="1">IFERROR((_xll.DBGET(#REF!,#REF!,#REF!,#REF!,#REF!,#REF!,$C6,$B6,#REF!,#REF!,#REF!))/R6,0)</f>
        <v>0</v>
      </c>
      <c r="T6" s="163">
        <f ca="1">_xll.DBGET(#REF!,#REF!,#REF!,#REF!,#REF!,#REF!,$C6,$B6,#REF!,#REF!,#REF!)</f>
        <v>0</v>
      </c>
      <c r="U6" s="169">
        <f ca="1">_xll.DBGET(#REF!,#REF!,#REF!,#REF!,#REF!,#REF!,$C6,$B6,#REF!,#REF!,#REF!)</f>
        <v>0</v>
      </c>
    </row>
    <row r="7" spans="1:30" x14ac:dyDescent="0.2">
      <c r="A7" s="9" t="s">
        <v>18</v>
      </c>
      <c r="B7" s="3" t="s">
        <v>15</v>
      </c>
      <c r="C7" s="2" t="s">
        <v>7</v>
      </c>
      <c r="D7" s="170">
        <f ca="1">_xll.DBGET(#REF!,#REF!,#REF!,#REF!,#REF!,#REF!,$C7,$B7,#REF!,#REF!,#REF!)</f>
        <v>1166740</v>
      </c>
      <c r="E7" s="171">
        <f ca="1">_xll.DBGET(#REF!,#REF!,#REF!,#REF!,#REF!,#REF!,$C7,$B7,#REF!,#REF!,#REF!)</f>
        <v>132.52315642585</v>
      </c>
      <c r="F7" s="170">
        <f ca="1">_xll.DBGET(#REF!,#REF!,#REF!,#REF!,#REF!,#REF!,$C7,$B7,#REF!,#REF!,#REF!)</f>
        <v>207509</v>
      </c>
      <c r="G7" s="171">
        <f ca="1">_xll.DBGET(#REF!,#REF!,#REF!,#REF!,#REF!,#REF!,$C7,$B7,#REF!,#REF!,#REF!)</f>
        <v>148.2249320116</v>
      </c>
      <c r="H7" s="170">
        <f ca="1">_xll.DBGET(#REF!,#REF!,#REF!,#REF!,#REF!,#REF!,$C7,$B7,#REF!,#REF!,#REF!)</f>
        <v>270334</v>
      </c>
      <c r="I7" s="171">
        <f ca="1">_xll.DBGET(#REF!,#REF!,#REF!,#REF!,#REF!,#REF!,$C7,$B7,#REF!,#REF!,#REF!)</f>
        <v>148.90162987361001</v>
      </c>
      <c r="J7" s="170">
        <f ca="1">_xll.DBGET(#REF!,#REF!,#REF!,#REF!,#REF!,#REF!,$C7,$B7,#REF!,#REF!,#REF!)</f>
        <v>255740</v>
      </c>
      <c r="K7" s="171">
        <f ca="1">_xll.DBGET(#REF!,#REF!,#REF!,#REF!,#REF!,#REF!,$C7,$B7,#REF!,#REF!,#REF!)</f>
        <v>148.9508213382</v>
      </c>
      <c r="L7" s="170">
        <f ca="1">_xll.DBGET(#REF!,#REF!,#REF!,#REF!,#REF!,#REF!,$C7,$B7,#REF!,#REF!,#REF!)</f>
        <v>0</v>
      </c>
      <c r="M7" s="171">
        <f ca="1">_xll.DBGET(#REF!,#REF!,#REF!,#REF!,#REF!,#REF!,$C7,$B7,#REF!,#REF!,#REF!)</f>
        <v>0</v>
      </c>
      <c r="N7" s="170">
        <f ca="1">_xll.DBGET(#REF!,#REF!,#REF!,#REF!,#REF!,#REF!,$C7,$B7,#REF!,#REF!,#REF!)</f>
        <v>0</v>
      </c>
      <c r="O7" s="171">
        <f ca="1">IFERROR((_xll.DBGET(#REF!,#REF!,#REF!,#REF!,#REF!,#REF!,$C7,$B7,#REF!,#REF!,#REF!))/N7,0)</f>
        <v>0</v>
      </c>
      <c r="P7" s="170">
        <f ca="1">_xll.DBGET(#REF!,#REF!,#REF!,#REF!,#REF!,#REF!,$C7,$B7,#REF!,#REF!,#REF!)</f>
        <v>0</v>
      </c>
      <c r="Q7" s="171">
        <f ca="1">IFERROR((_xll.DBGET(#REF!,#REF!,#REF!,#REF!,#REF!,#REF!,$C7,$B7,#REF!,#REF!,#REF!))/P7,0)</f>
        <v>0</v>
      </c>
      <c r="R7" s="170">
        <f ca="1">_xll.DBGET(#REF!,#REF!,#REF!,#REF!,#REF!,#REF!,$C7,$B7,#REF!,#REF!,#REF!)</f>
        <v>0</v>
      </c>
      <c r="S7" s="171">
        <f ca="1">IFERROR((_xll.DBGET(#REF!,#REF!,#REF!,#REF!,#REF!,#REF!,$C7,$B7,#REF!,#REF!,#REF!))/R7,0)</f>
        <v>0</v>
      </c>
      <c r="T7" s="170">
        <f ca="1">_xll.DBGET(#REF!,#REF!,#REF!,#REF!,#REF!,#REF!,$C7,$B7,#REF!,#REF!,#REF!)</f>
        <v>0</v>
      </c>
      <c r="U7" s="171">
        <f ca="1">_xll.DBGET(#REF!,#REF!,#REF!,#REF!,#REF!,#REF!,$C7,$B7,#REF!,#REF!,#REF!)</f>
        <v>0</v>
      </c>
    </row>
    <row r="8" spans="1:30" x14ac:dyDescent="0.2">
      <c r="A8" s="71"/>
      <c r="B8" s="72" t="s">
        <v>15</v>
      </c>
      <c r="C8" s="73" t="s">
        <v>8</v>
      </c>
      <c r="D8" s="163">
        <f ca="1">_xll.DBGET(#REF!,#REF!,#REF!,#REF!,#REF!,#REF!,$C8,$B8,#REF!,#REF!,#REF!)</f>
        <v>540236</v>
      </c>
      <c r="E8" s="169">
        <f ca="1">_xll.DBGET(#REF!,#REF!,#REF!,#REF!,#REF!,#REF!,$C8,$B8,#REF!,#REF!,#REF!)</f>
        <v>128.98067844978999</v>
      </c>
      <c r="F8" s="163">
        <f ca="1">_xll.DBGET(#REF!,#REF!,#REF!,#REF!,#REF!,#REF!,$C8,$B8,#REF!,#REF!,#REF!)</f>
        <v>124962</v>
      </c>
      <c r="G8" s="169">
        <f ca="1">_xll.DBGET(#REF!,#REF!,#REF!,#REF!,#REF!,#REF!,$C8,$B8,#REF!,#REF!,#REF!)</f>
        <v>146.17667429399</v>
      </c>
      <c r="H8" s="163">
        <f ca="1">_xll.DBGET(#REF!,#REF!,#REF!,#REF!,#REF!,#REF!,$C8,$B8,#REF!,#REF!,#REF!)</f>
        <v>219125</v>
      </c>
      <c r="I8" s="169">
        <f ca="1">_xll.DBGET(#REF!,#REF!,#REF!,#REF!,#REF!,#REF!,$C8,$B8,#REF!,#REF!,#REF!)</f>
        <v>146.67481861484001</v>
      </c>
      <c r="J8" s="163">
        <f ca="1">_xll.DBGET(#REF!,#REF!,#REF!,#REF!,#REF!,#REF!,$C8,$B8,#REF!,#REF!,#REF!)</f>
        <v>180890</v>
      </c>
      <c r="K8" s="169">
        <f ca="1">_xll.DBGET(#REF!,#REF!,#REF!,#REF!,#REF!,#REF!,$C8,$B8,#REF!,#REF!,#REF!)</f>
        <v>147.42261210861</v>
      </c>
      <c r="L8" s="163">
        <f ca="1">_xll.DBGET(#REF!,#REF!,#REF!,#REF!,#REF!,#REF!,$C8,$B8,#REF!,#REF!,#REF!)</f>
        <v>0</v>
      </c>
      <c r="M8" s="169">
        <f ca="1">_xll.DBGET(#REF!,#REF!,#REF!,#REF!,#REF!,#REF!,$C8,$B8,#REF!,#REF!,#REF!)</f>
        <v>0</v>
      </c>
      <c r="N8" s="163">
        <f ca="1">_xll.DBGET(#REF!,#REF!,#REF!,#REF!,#REF!,#REF!,$C8,$B8,#REF!,#REF!,#REF!)</f>
        <v>0</v>
      </c>
      <c r="O8" s="169">
        <f ca="1">IFERROR((_xll.DBGET(#REF!,#REF!,#REF!,#REF!,#REF!,#REF!,$C8,$B8,#REF!,#REF!,#REF!))/N8,0)</f>
        <v>0</v>
      </c>
      <c r="P8" s="163">
        <f ca="1">_xll.DBGET(#REF!,#REF!,#REF!,#REF!,#REF!,#REF!,$C8,$B8,#REF!,#REF!,#REF!)</f>
        <v>0</v>
      </c>
      <c r="Q8" s="169">
        <f ca="1">IFERROR((_xll.DBGET(#REF!,#REF!,#REF!,#REF!,#REF!,#REF!,$C8,$B8,#REF!,#REF!,#REF!))/P8,0)</f>
        <v>0</v>
      </c>
      <c r="R8" s="163">
        <f ca="1">_xll.DBGET(#REF!,#REF!,#REF!,#REF!,#REF!,#REF!,$C8,$B8,#REF!,#REF!,#REF!)</f>
        <v>0</v>
      </c>
      <c r="S8" s="169">
        <f ca="1">IFERROR((_xll.DBGET(#REF!,#REF!,#REF!,#REF!,#REF!,#REF!,$C8,$B8,#REF!,#REF!,#REF!))/R8,0)</f>
        <v>0</v>
      </c>
      <c r="T8" s="163">
        <f ca="1">_xll.DBGET(#REF!,#REF!,#REF!,#REF!,#REF!,#REF!,$C8,$B8,#REF!,#REF!,#REF!)</f>
        <v>0</v>
      </c>
      <c r="U8" s="169">
        <f ca="1">_xll.DBGET(#REF!,#REF!,#REF!,#REF!,#REF!,#REF!,$C8,$B8,#REF!,#REF!,#REF!)</f>
        <v>0</v>
      </c>
    </row>
    <row r="9" spans="1:30" x14ac:dyDescent="0.2">
      <c r="A9" s="71"/>
      <c r="B9" s="72" t="s">
        <v>15</v>
      </c>
      <c r="C9" s="73" t="s">
        <v>9</v>
      </c>
      <c r="D9" s="163">
        <f ca="1">_xll.DBGET(#REF!,#REF!,#REF!,#REF!,#REF!,#REF!,$C9,$B9,#REF!,#REF!,#REF!)</f>
        <v>626504</v>
      </c>
      <c r="E9" s="169">
        <f ca="1">_xll.DBGET(#REF!,#REF!,#REF!,#REF!,#REF!,#REF!,$C9,$B9,#REF!,#REF!,#REF!)</f>
        <v>135.57784423611</v>
      </c>
      <c r="F9" s="163">
        <f ca="1">_xll.DBGET(#REF!,#REF!,#REF!,#REF!,#REF!,#REF!,$C9,$B9,#REF!,#REF!,#REF!)</f>
        <v>82547</v>
      </c>
      <c r="G9" s="169">
        <f ca="1">_xll.DBGET(#REF!,#REF!,#REF!,#REF!,#REF!,#REF!,$C9,$B9,#REF!,#REF!,#REF!)</f>
        <v>151.32564289035</v>
      </c>
      <c r="H9" s="163">
        <f ca="1">_xll.DBGET(#REF!,#REF!,#REF!,#REF!,#REF!,#REF!,$C9,$B9,#REF!,#REF!,#REF!)</f>
        <v>51209</v>
      </c>
      <c r="I9" s="169">
        <f ca="1">_xll.DBGET(#REF!,#REF!,#REF!,#REF!,#REF!,#REF!,$C9,$B9,#REF!,#REF!,#REF!)</f>
        <v>158.43022869565999</v>
      </c>
      <c r="J9" s="163">
        <f ca="1">_xll.DBGET(#REF!,#REF!,#REF!,#REF!,#REF!,#REF!,$C9,$B9,#REF!,#REF!,#REF!)</f>
        <v>74850</v>
      </c>
      <c r="K9" s="169">
        <f ca="1">_xll.DBGET(#REF!,#REF!,#REF!,#REF!,#REF!,#REF!,$C9,$B9,#REF!,#REF!,#REF!)</f>
        <v>152.64404468544001</v>
      </c>
      <c r="L9" s="163">
        <f ca="1">_xll.DBGET(#REF!,#REF!,#REF!,#REF!,#REF!,#REF!,$C9,$B9,#REF!,#REF!,#REF!)</f>
        <v>0</v>
      </c>
      <c r="M9" s="169">
        <f ca="1">_xll.DBGET(#REF!,#REF!,#REF!,#REF!,#REF!,#REF!,$C9,$B9,#REF!,#REF!,#REF!)</f>
        <v>0</v>
      </c>
      <c r="N9" s="163">
        <f ca="1">_xll.DBGET(#REF!,#REF!,#REF!,#REF!,#REF!,#REF!,$C9,$B9,#REF!,#REF!,#REF!)</f>
        <v>0</v>
      </c>
      <c r="O9" s="169">
        <f ca="1">IFERROR((_xll.DBGET(#REF!,#REF!,#REF!,#REF!,#REF!,#REF!,$C9,$B9,#REF!,#REF!,#REF!))/N9,0)</f>
        <v>0</v>
      </c>
      <c r="P9" s="163">
        <f ca="1">_xll.DBGET(#REF!,#REF!,#REF!,#REF!,#REF!,#REF!,$C9,$B9,#REF!,#REF!,#REF!)</f>
        <v>0</v>
      </c>
      <c r="Q9" s="169">
        <f ca="1">IFERROR((_xll.DBGET(#REF!,#REF!,#REF!,#REF!,#REF!,#REF!,$C9,$B9,#REF!,#REF!,#REF!))/P9,0)</f>
        <v>0</v>
      </c>
      <c r="R9" s="163">
        <f ca="1">_xll.DBGET(#REF!,#REF!,#REF!,#REF!,#REF!,#REF!,$C9,$B9,#REF!,#REF!,#REF!)</f>
        <v>0</v>
      </c>
      <c r="S9" s="169">
        <f ca="1">IFERROR((_xll.DBGET(#REF!,#REF!,#REF!,#REF!,#REF!,#REF!,$C9,$B9,#REF!,#REF!,#REF!))/R9,0)</f>
        <v>0</v>
      </c>
      <c r="T9" s="163">
        <f ca="1">_xll.DBGET(#REF!,#REF!,#REF!,#REF!,#REF!,#REF!,$C9,$B9,#REF!,#REF!,#REF!)</f>
        <v>0</v>
      </c>
      <c r="U9" s="169">
        <f ca="1">_xll.DBGET(#REF!,#REF!,#REF!,#REF!,#REF!,#REF!,$C9,$B9,#REF!,#REF!,#REF!)</f>
        <v>0</v>
      </c>
    </row>
    <row r="10" spans="1:30" x14ac:dyDescent="0.2">
      <c r="A10" s="9" t="s">
        <v>19</v>
      </c>
      <c r="B10" s="3" t="s">
        <v>16</v>
      </c>
      <c r="C10" s="2" t="s">
        <v>7</v>
      </c>
      <c r="D10" s="170">
        <f ca="1">_xll.DBGET(#REF!,#REF!,#REF!,#REF!,#REF!,#REF!,$C10,$B10,#REF!,#REF!,#REF!)</f>
        <v>593914</v>
      </c>
      <c r="E10" s="171">
        <f ca="1">_xll.DBGET(#REF!,#REF!,#REF!,#REF!,#REF!,#REF!,$C10,$B10,#REF!,#REF!,#REF!)</f>
        <v>167.91840312015</v>
      </c>
      <c r="F10" s="170">
        <f ca="1">_xll.DBGET(#REF!,#REF!,#REF!,#REF!,#REF!,#REF!,$C10,$B10,#REF!,#REF!,#REF!)</f>
        <v>170192</v>
      </c>
      <c r="G10" s="171">
        <f ca="1">_xll.DBGET(#REF!,#REF!,#REF!,#REF!,#REF!,#REF!,$C10,$B10,#REF!,#REF!,#REF!)</f>
        <v>153.95588442158001</v>
      </c>
      <c r="H10" s="170">
        <f ca="1">_xll.DBGET(#REF!,#REF!,#REF!,#REF!,#REF!,#REF!,$C10,$B10,#REF!,#REF!,#REF!)</f>
        <v>111391</v>
      </c>
      <c r="I10" s="171">
        <f ca="1">_xll.DBGET(#REF!,#REF!,#REF!,#REF!,#REF!,#REF!,$C10,$B10,#REF!,#REF!,#REF!)</f>
        <v>147.05133690896</v>
      </c>
      <c r="J10" s="170">
        <f ca="1">_xll.DBGET(#REF!,#REF!,#REF!,#REF!,#REF!,#REF!,$C10,$B10,#REF!,#REF!,#REF!)</f>
        <v>183175</v>
      </c>
      <c r="K10" s="171">
        <f ca="1">_xll.DBGET(#REF!,#REF!,#REF!,#REF!,#REF!,#REF!,$C10,$B10,#REF!,#REF!,#REF!)</f>
        <v>146.44542928934999</v>
      </c>
      <c r="L10" s="170">
        <f ca="1">_xll.DBGET(#REF!,#REF!,#REF!,#REF!,#REF!,#REF!,$C10,$B10,#REF!,#REF!,#REF!)</f>
        <v>0</v>
      </c>
      <c r="M10" s="171">
        <f ca="1">_xll.DBGET(#REF!,#REF!,#REF!,#REF!,#REF!,#REF!,$C10,$B10,#REF!,#REF!,#REF!)</f>
        <v>0</v>
      </c>
      <c r="N10" s="170">
        <f ca="1">_xll.DBGET(#REF!,#REF!,#REF!,#REF!,#REF!,#REF!,$C10,$B10,#REF!,#REF!,#REF!)</f>
        <v>0</v>
      </c>
      <c r="O10" s="171">
        <f ca="1">IFERROR((_xll.DBGET(#REF!,#REF!,#REF!,#REF!,#REF!,#REF!,$C10,$B10,#REF!,#REF!,#REF!))/N10,0)</f>
        <v>0</v>
      </c>
      <c r="P10" s="170">
        <f ca="1">_xll.DBGET(#REF!,#REF!,#REF!,#REF!,#REF!,#REF!,$C10,$B10,#REF!,#REF!,#REF!)</f>
        <v>0</v>
      </c>
      <c r="Q10" s="171">
        <f ca="1">IFERROR((_xll.DBGET(#REF!,#REF!,#REF!,#REF!,#REF!,#REF!,$C10,$B10,#REF!,#REF!,#REF!))/P10,0)</f>
        <v>0</v>
      </c>
      <c r="R10" s="170">
        <f ca="1">_xll.DBGET(#REF!,#REF!,#REF!,#REF!,#REF!,#REF!,$C10,$B10,#REF!,#REF!,#REF!)</f>
        <v>0</v>
      </c>
      <c r="S10" s="171">
        <f ca="1">IFERROR((_xll.DBGET(#REF!,#REF!,#REF!,#REF!,#REF!,#REF!,$C10,$B10,#REF!,#REF!,#REF!))/R10,0)</f>
        <v>0</v>
      </c>
      <c r="T10" s="170">
        <f ca="1">_xll.DBGET(#REF!,#REF!,#REF!,#REF!,#REF!,#REF!,$C10,$B10,#REF!,#REF!,#REF!)</f>
        <v>0</v>
      </c>
      <c r="U10" s="171">
        <f ca="1">_xll.DBGET(#REF!,#REF!,#REF!,#REF!,#REF!,#REF!,$C10,$B10,#REF!,#REF!,#REF!)</f>
        <v>0</v>
      </c>
    </row>
    <row r="11" spans="1:30" x14ac:dyDescent="0.2">
      <c r="A11" s="71"/>
      <c r="B11" s="72" t="s">
        <v>16</v>
      </c>
      <c r="C11" s="73" t="s">
        <v>8</v>
      </c>
      <c r="D11" s="163">
        <f ca="1">_xll.DBGET(#REF!,#REF!,#REF!,#REF!,#REF!,#REF!,$C11,$B11,#REF!,#REF!,#REF!)</f>
        <v>553217</v>
      </c>
      <c r="E11" s="169">
        <f ca="1">_xll.DBGET(#REF!,#REF!,#REF!,#REF!,#REF!,#REF!,$C11,$B11,#REF!,#REF!,#REF!)</f>
        <v>164.64623177198001</v>
      </c>
      <c r="F11" s="163">
        <f ca="1">_xll.DBGET(#REF!,#REF!,#REF!,#REF!,#REF!,#REF!,$C11,$B11,#REF!,#REF!,#REF!)</f>
        <v>152702</v>
      </c>
      <c r="G11" s="169">
        <f ca="1">_xll.DBGET(#REF!,#REF!,#REF!,#REF!,#REF!,#REF!,$C11,$B11,#REF!,#REF!,#REF!)</f>
        <v>147.7980943979</v>
      </c>
      <c r="H11" s="163">
        <f ca="1">_xll.DBGET(#REF!,#REF!,#REF!,#REF!,#REF!,#REF!,$C11,$B11,#REF!,#REF!,#REF!)</f>
        <v>111391</v>
      </c>
      <c r="I11" s="169">
        <f ca="1">_xll.DBGET(#REF!,#REF!,#REF!,#REF!,#REF!,#REF!,$C11,$B11,#REF!,#REF!,#REF!)</f>
        <v>147.05133690896</v>
      </c>
      <c r="J11" s="163">
        <f ca="1">_xll.DBGET(#REF!,#REF!,#REF!,#REF!,#REF!,#REF!,$C11,$B11,#REF!,#REF!,#REF!)</f>
        <v>183175</v>
      </c>
      <c r="K11" s="169">
        <f ca="1">_xll.DBGET(#REF!,#REF!,#REF!,#REF!,#REF!,#REF!,$C11,$B11,#REF!,#REF!,#REF!)</f>
        <v>146.44542928934999</v>
      </c>
      <c r="L11" s="163">
        <f ca="1">_xll.DBGET(#REF!,#REF!,#REF!,#REF!,#REF!,#REF!,$C11,$B11,#REF!,#REF!,#REF!)</f>
        <v>0</v>
      </c>
      <c r="M11" s="169">
        <f ca="1">_xll.DBGET(#REF!,#REF!,#REF!,#REF!,#REF!,#REF!,$C11,$B11,#REF!,#REF!,#REF!)</f>
        <v>0</v>
      </c>
      <c r="N11" s="163">
        <f ca="1">_xll.DBGET(#REF!,#REF!,#REF!,#REF!,#REF!,#REF!,$C11,$B11,#REF!,#REF!,#REF!)</f>
        <v>0</v>
      </c>
      <c r="O11" s="169">
        <f ca="1">IFERROR((_xll.DBGET(#REF!,#REF!,#REF!,#REF!,#REF!,#REF!,$C11,$B11,#REF!,#REF!,#REF!))/N11,0)</f>
        <v>0</v>
      </c>
      <c r="P11" s="163">
        <f ca="1">_xll.DBGET(#REF!,#REF!,#REF!,#REF!,#REF!,#REF!,$C11,$B11,#REF!,#REF!,#REF!)</f>
        <v>0</v>
      </c>
      <c r="Q11" s="169">
        <f ca="1">IFERROR((_xll.DBGET(#REF!,#REF!,#REF!,#REF!,#REF!,#REF!,$C11,$B11,#REF!,#REF!,#REF!))/P11,0)</f>
        <v>0</v>
      </c>
      <c r="R11" s="163">
        <f ca="1">_xll.DBGET(#REF!,#REF!,#REF!,#REF!,#REF!,#REF!,$C11,$B11,#REF!,#REF!,#REF!)</f>
        <v>0</v>
      </c>
      <c r="S11" s="169">
        <f ca="1">IFERROR((_xll.DBGET(#REF!,#REF!,#REF!,#REF!,#REF!,#REF!,$C11,$B11,#REF!,#REF!,#REF!))/R11,0)</f>
        <v>0</v>
      </c>
      <c r="T11" s="163">
        <f ca="1">_xll.DBGET(#REF!,#REF!,#REF!,#REF!,#REF!,#REF!,$C11,$B11,#REF!,#REF!,#REF!)</f>
        <v>0</v>
      </c>
      <c r="U11" s="169">
        <f ca="1">_xll.DBGET(#REF!,#REF!,#REF!,#REF!,#REF!,#REF!,$C11,$B11,#REF!,#REF!,#REF!)</f>
        <v>0</v>
      </c>
    </row>
    <row r="12" spans="1:30" x14ac:dyDescent="0.2">
      <c r="A12" s="71"/>
      <c r="B12" s="72" t="s">
        <v>16</v>
      </c>
      <c r="C12" s="73" t="s">
        <v>9</v>
      </c>
      <c r="D12" s="163">
        <f ca="1">_xll.DBGET(#REF!,#REF!,#REF!,#REF!,#REF!,#REF!,$C12,$B12,#REF!,#REF!,#REF!)</f>
        <v>40697</v>
      </c>
      <c r="E12" s="169">
        <f ca="1">_xll.DBGET(#REF!,#REF!,#REF!,#REF!,#REF!,#REF!,$C12,$B12,#REF!,#REF!,#REF!)</f>
        <v>212.39885172126</v>
      </c>
      <c r="F12" s="163">
        <f ca="1">_xll.DBGET(#REF!,#REF!,#REF!,#REF!,#REF!,#REF!,$C12,$B12,#REF!,#REF!,#REF!)</f>
        <v>17490</v>
      </c>
      <c r="G12" s="169">
        <f ca="1">_xll.DBGET(#REF!,#REF!,#REF!,#REF!,#REF!,#REF!,$C12,$B12,#REF!,#REF!,#REF!)</f>
        <v>207.71842599947001</v>
      </c>
      <c r="H12" s="163">
        <f ca="1">_xll.DBGET(#REF!,#REF!,#REF!,#REF!,#REF!,#REF!,$C12,$B12,#REF!,#REF!,#REF!)</f>
        <v>0</v>
      </c>
      <c r="I12" s="169">
        <f ca="1">_xll.DBGET(#REF!,#REF!,#REF!,#REF!,#REF!,#REF!,$C12,$B12,#REF!,#REF!,#REF!)</f>
        <v>0</v>
      </c>
      <c r="J12" s="163">
        <f ca="1">_xll.DBGET(#REF!,#REF!,#REF!,#REF!,#REF!,#REF!,$C12,$B12,#REF!,#REF!,#REF!)</f>
        <v>0</v>
      </c>
      <c r="K12" s="169">
        <f ca="1">_xll.DBGET(#REF!,#REF!,#REF!,#REF!,#REF!,#REF!,$C12,$B12,#REF!,#REF!,#REF!)</f>
        <v>0</v>
      </c>
      <c r="L12" s="163">
        <f ca="1">_xll.DBGET(#REF!,#REF!,#REF!,#REF!,#REF!,#REF!,$C12,$B12,#REF!,#REF!,#REF!)</f>
        <v>0</v>
      </c>
      <c r="M12" s="169">
        <f ca="1">_xll.DBGET(#REF!,#REF!,#REF!,#REF!,#REF!,#REF!,$C12,$B12,#REF!,#REF!,#REF!)</f>
        <v>0</v>
      </c>
      <c r="N12" s="163">
        <f ca="1">_xll.DBGET(#REF!,#REF!,#REF!,#REF!,#REF!,#REF!,$C12,$B12,#REF!,#REF!,#REF!)</f>
        <v>0</v>
      </c>
      <c r="O12" s="169">
        <f ca="1">IFERROR((_xll.DBGET(#REF!,#REF!,#REF!,#REF!,#REF!,#REF!,$C12,$B12,#REF!,#REF!,#REF!))/N12,0)</f>
        <v>0</v>
      </c>
      <c r="P12" s="163">
        <f ca="1">_xll.DBGET(#REF!,#REF!,#REF!,#REF!,#REF!,#REF!,$C12,$B12,#REF!,#REF!,#REF!)</f>
        <v>0</v>
      </c>
      <c r="Q12" s="169">
        <f ca="1">IFERROR((_xll.DBGET(#REF!,#REF!,#REF!,#REF!,#REF!,#REF!,$C12,$B12,#REF!,#REF!,#REF!))/P12,0)</f>
        <v>0</v>
      </c>
      <c r="R12" s="163">
        <f ca="1">_xll.DBGET(#REF!,#REF!,#REF!,#REF!,#REF!,#REF!,$C12,$B12,#REF!,#REF!,#REF!)</f>
        <v>0</v>
      </c>
      <c r="S12" s="169">
        <f ca="1">IFERROR((_xll.DBGET(#REF!,#REF!,#REF!,#REF!,#REF!,#REF!,$C12,$B12,#REF!,#REF!,#REF!))/R12,0)</f>
        <v>0</v>
      </c>
      <c r="T12" s="163">
        <f ca="1">_xll.DBGET(#REF!,#REF!,#REF!,#REF!,#REF!,#REF!,$C12,$B12,#REF!,#REF!,#REF!)</f>
        <v>0</v>
      </c>
      <c r="U12" s="169">
        <f ca="1">_xll.DBGET(#REF!,#REF!,#REF!,#REF!,#REF!,#REF!,$C12,$B12,#REF!,#REF!,#REF!)</f>
        <v>0</v>
      </c>
    </row>
    <row r="13" spans="1:30" ht="7.5" customHeight="1" x14ac:dyDescent="0.2"/>
    <row r="15" spans="1:30" ht="37.5" customHeight="1" x14ac:dyDescent="0.35">
      <c r="A15" s="117"/>
      <c r="B15" s="128"/>
      <c r="C15" s="117"/>
      <c r="D15" s="221" t="str">
        <f ca="1">CONCATENATE(#REF!,"
 Forecast")</f>
        <v>Sep-20
 Forecast</v>
      </c>
      <c r="E15" s="221"/>
    </row>
    <row r="16" spans="1:30" ht="18" x14ac:dyDescent="0.35">
      <c r="A16" s="118"/>
      <c r="B16" s="129"/>
      <c r="C16" s="118"/>
      <c r="D16" s="120" t="s">
        <v>0</v>
      </c>
      <c r="E16" s="119" t="s">
        <v>61</v>
      </c>
    </row>
    <row r="17" spans="1:5" x14ac:dyDescent="0.2">
      <c r="A17" s="9" t="s">
        <v>17</v>
      </c>
      <c r="B17" s="3" t="s">
        <v>14</v>
      </c>
      <c r="C17" s="2" t="s">
        <v>7</v>
      </c>
      <c r="D17" s="46">
        <f ca="1">_xll.DBGET(#REF!,#REF!,#REF!,#REF!,#REF!,#REF!,$C17,$B17,#REF!,#REF!,#REF!)</f>
        <v>247285</v>
      </c>
      <c r="E17" s="5">
        <f ca="1">_xll.DBGET(#REF!,#REF!,#REF!,#REF!,#REF!,#REF!,$C17,$B17,#REF!,#REF!,#REF!)</f>
        <v>142.92788493975999</v>
      </c>
    </row>
    <row r="18" spans="1:5" x14ac:dyDescent="0.2">
      <c r="A18" s="71"/>
      <c r="B18" s="72" t="s">
        <v>14</v>
      </c>
      <c r="C18" s="73" t="s">
        <v>8</v>
      </c>
      <c r="D18" s="163">
        <f ca="1">_xll.DBGET(#REF!,#REF!,#REF!,#REF!,#REF!,#REF!,$C18,$B18,#REF!,#REF!,#REF!)</f>
        <v>8400</v>
      </c>
      <c r="E18" s="169">
        <f ca="1">_xll.DBGET(#REF!,#REF!,#REF!,#REF!,#REF!,#REF!,$C18,$B18,#REF!,#REF!,#REF!)</f>
        <v>152.21231655736</v>
      </c>
    </row>
    <row r="19" spans="1:5" x14ac:dyDescent="0.2">
      <c r="A19" s="71"/>
      <c r="B19" s="72" t="s">
        <v>14</v>
      </c>
      <c r="C19" s="73" t="s">
        <v>9</v>
      </c>
      <c r="D19" s="163">
        <f ca="1">_xll.DBGET(#REF!,#REF!,#REF!,#REF!,#REF!,#REF!,$C19,$B19,#REF!,#REF!,#REF!)</f>
        <v>238885</v>
      </c>
      <c r="E19" s="169">
        <f ca="1">_xll.DBGET(#REF!,#REF!,#REF!,#REF!,#REF!,#REF!,$C19,$B19,#REF!,#REF!,#REF!)</f>
        <v>142.60141309938999</v>
      </c>
    </row>
    <row r="20" spans="1:5" x14ac:dyDescent="0.2">
      <c r="A20" s="9" t="s">
        <v>18</v>
      </c>
      <c r="B20" s="3" t="s">
        <v>15</v>
      </c>
      <c r="C20" s="2" t="s">
        <v>7</v>
      </c>
      <c r="D20" s="170">
        <f ca="1">_xll.DBGET(#REF!,#REF!,#REF!,#REF!,#REF!,#REF!,$C20,$B20,#REF!,#REF!,#REF!)</f>
        <v>275550</v>
      </c>
      <c r="E20" s="171">
        <f ca="1">_xll.DBGET(#REF!,#REF!,#REF!,#REF!,#REF!,#REF!,$C20,$B20,#REF!,#REF!,#REF!)</f>
        <v>149.85048657359999</v>
      </c>
    </row>
    <row r="21" spans="1:5" x14ac:dyDescent="0.2">
      <c r="A21" s="71"/>
      <c r="B21" s="72" t="s">
        <v>15</v>
      </c>
      <c r="C21" s="73" t="s">
        <v>8</v>
      </c>
      <c r="D21" s="163">
        <f ca="1">_xll.DBGET(#REF!,#REF!,#REF!,#REF!,#REF!,#REF!,$C21,$B21,#REF!,#REF!,#REF!)</f>
        <v>127000</v>
      </c>
      <c r="E21" s="169">
        <f ca="1">_xll.DBGET(#REF!,#REF!,#REF!,#REF!,#REF!,#REF!,$C21,$B21,#REF!,#REF!,#REF!)</f>
        <v>143.29907603261</v>
      </c>
    </row>
    <row r="22" spans="1:5" x14ac:dyDescent="0.2">
      <c r="A22" s="71"/>
      <c r="B22" s="72" t="s">
        <v>15</v>
      </c>
      <c r="C22" s="73" t="s">
        <v>9</v>
      </c>
      <c r="D22" s="163">
        <f ca="1">_xll.DBGET(#REF!,#REF!,#REF!,#REF!,#REF!,#REF!,$C22,$B22,#REF!,#REF!,#REF!)</f>
        <v>148550</v>
      </c>
      <c r="E22" s="169">
        <f ca="1">_xll.DBGET(#REF!,#REF!,#REF!,#REF!,#REF!,#REF!,$C22,$B22,#REF!,#REF!,#REF!)</f>
        <v>155.45149053660001</v>
      </c>
    </row>
    <row r="23" spans="1:5" x14ac:dyDescent="0.2">
      <c r="A23" s="9" t="s">
        <v>19</v>
      </c>
      <c r="B23" s="3" t="s">
        <v>16</v>
      </c>
      <c r="C23" s="2" t="s">
        <v>7</v>
      </c>
      <c r="D23" s="170">
        <f ca="1">_xll.DBGET(#REF!,#REF!,#REF!,#REF!,#REF!,#REF!,$C23,$B23,#REF!,#REF!,#REF!)</f>
        <v>162500</v>
      </c>
      <c r="E23" s="171">
        <f ca="1">_xll.DBGET(#REF!,#REF!,#REF!,#REF!,#REF!,#REF!,$C23,$B23,#REF!,#REF!,#REF!)</f>
        <v>140.28874997156001</v>
      </c>
    </row>
    <row r="24" spans="1:5" x14ac:dyDescent="0.2">
      <c r="A24" s="71"/>
      <c r="B24" s="72" t="s">
        <v>16</v>
      </c>
      <c r="C24" s="73" t="s">
        <v>8</v>
      </c>
      <c r="D24" s="163">
        <f ca="1">_xll.DBGET(#REF!,#REF!,#REF!,#REF!,#REF!,#REF!,$C24,$B24,#REF!,#REF!,#REF!)</f>
        <v>162500</v>
      </c>
      <c r="E24" s="169">
        <f ca="1">_xll.DBGET(#REF!,#REF!,#REF!,#REF!,#REF!,#REF!,$C24,$B24,#REF!,#REF!,#REF!)</f>
        <v>140.28874997156001</v>
      </c>
    </row>
    <row r="25" spans="1:5" x14ac:dyDescent="0.2">
      <c r="A25" s="71"/>
      <c r="B25" s="72" t="s">
        <v>16</v>
      </c>
      <c r="C25" s="73" t="s">
        <v>9</v>
      </c>
      <c r="D25" s="163">
        <f ca="1">_xll.DBGET(#REF!,#REF!,#REF!,#REF!,#REF!,#REF!,$C25,$B25,#REF!,#REF!,#REF!)</f>
        <v>0</v>
      </c>
      <c r="E25" s="169">
        <f ca="1">_xll.DBGET(#REF!,#REF!,#REF!,#REF!,#REF!,#REF!,$C25,$B25,#REF!,#REF!,#REF!)</f>
        <v>0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baseColWidth="10" defaultColWidth="9.1640625" defaultRowHeight="15" outlineLevelRow="1" x14ac:dyDescent="0.2"/>
  <cols>
    <col min="1" max="1" width="10.1640625" style="99" bestFit="1" customWidth="1"/>
    <col min="2" max="19" width="13.5" style="99" customWidth="1"/>
    <col min="20" max="16384" width="9.1640625" style="99"/>
  </cols>
  <sheetData>
    <row r="1" spans="1:19" ht="27" x14ac:dyDescent="0.45">
      <c r="A1" s="217" t="s">
        <v>63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</row>
    <row r="2" spans="1:19" s="8" customFormat="1" ht="37.5" customHeight="1" x14ac:dyDescent="0.35">
      <c r="A2" s="121"/>
      <c r="B2" s="221" t="str">
        <f ca="1">CONCATENATE(#REF!," YTD","
 Actual")</f>
        <v>May-20 YTD
 Actual</v>
      </c>
      <c r="C2" s="221"/>
      <c r="D2" s="225" t="str">
        <f ca="1">CONCATENATE(#REF!," 
Forecast")</f>
        <v>Jun-20 
Forecast</v>
      </c>
      <c r="E2" s="225"/>
      <c r="F2" s="225" t="str">
        <f ca="1">CONCATENATE(#REF!," 
Forecast")</f>
        <v>Jul-20 
Forecast</v>
      </c>
      <c r="G2" s="225"/>
      <c r="H2" s="225" t="str">
        <f ca="1">CONCATENATE(#REF!," 
Forecast")</f>
        <v>Aug-20 
Forecast</v>
      </c>
      <c r="I2" s="225"/>
      <c r="J2" s="225" t="str">
        <f ca="1">CONCATENATE("Qtr 1 ",#REF!," 
Actual")</f>
        <v>Qtr 1 2020 
Actual</v>
      </c>
      <c r="K2" s="225"/>
      <c r="L2" s="225" t="str">
        <f ca="1">CONCATENATE("Qtr 2 ",#REF!," 
Actual")</f>
        <v>Qtr 2 2020 
Actual</v>
      </c>
      <c r="M2" s="225"/>
      <c r="N2" s="225" t="str">
        <f ca="1">CONCATENATE("Qtr 3 ",#REF!," 
Actual")</f>
        <v>Qtr 3 2020 
Actual</v>
      </c>
      <c r="O2" s="225"/>
      <c r="P2" s="225" t="str">
        <f ca="1">CONCATENATE("Qtr 4 ",#REF!," 
Forecast")</f>
        <v>Qtr 4 2020 
Forecast</v>
      </c>
      <c r="Q2" s="225"/>
      <c r="R2" s="225" t="str">
        <f ca="1">CONCATENATE(#REF!," 
Forecast")</f>
        <v>2020 
Forecast</v>
      </c>
      <c r="S2" s="225"/>
    </row>
    <row r="3" spans="1:19" ht="18" x14ac:dyDescent="0.35">
      <c r="A3" s="122"/>
      <c r="B3" s="123" t="s">
        <v>0</v>
      </c>
      <c r="C3" s="124" t="s">
        <v>61</v>
      </c>
      <c r="D3" s="123" t="s">
        <v>0</v>
      </c>
      <c r="E3" s="124" t="s">
        <v>61</v>
      </c>
      <c r="F3" s="123" t="s">
        <v>0</v>
      </c>
      <c r="G3" s="124" t="s">
        <v>61</v>
      </c>
      <c r="H3" s="123" t="s">
        <v>0</v>
      </c>
      <c r="I3" s="124" t="s">
        <v>61</v>
      </c>
      <c r="J3" s="123" t="s">
        <v>0</v>
      </c>
      <c r="K3" s="124" t="s">
        <v>61</v>
      </c>
      <c r="L3" s="123" t="s">
        <v>0</v>
      </c>
      <c r="M3" s="124" t="s">
        <v>61</v>
      </c>
      <c r="N3" s="123" t="s">
        <v>0</v>
      </c>
      <c r="O3" s="124" t="s">
        <v>61</v>
      </c>
      <c r="P3" s="123" t="s">
        <v>0</v>
      </c>
      <c r="Q3" s="124" t="s">
        <v>61</v>
      </c>
      <c r="R3" s="123" t="s">
        <v>0</v>
      </c>
      <c r="S3" s="124" t="s">
        <v>61</v>
      </c>
    </row>
    <row r="4" spans="1:19" x14ac:dyDescent="0.2">
      <c r="A4" s="11" t="s">
        <v>7</v>
      </c>
      <c r="B4" s="170">
        <f ca="1">_xll.DBGET(#REF!,#REF!,#REF!,#REF!,#REF!,#REF!,$A4,#REF!,#REF!,#REF!,#REF!)</f>
        <v>4987416.72</v>
      </c>
      <c r="C4" s="171">
        <f ca="1">_xll.DBGET(#REF!,#REF!,#REF!,#REF!,#REF!,#REF!,$A4,#REF!,#REF!,#REF!,#REF!)</f>
        <v>164.94849545266999</v>
      </c>
      <c r="D4" s="170">
        <f ca="1">_xll.DBGET(#REF!,#REF!,#REF!,#REF!,#REF!,#REF!,$A4,#REF!,#REF!,#REF!,#REF!)</f>
        <v>1222050.68</v>
      </c>
      <c r="E4" s="171">
        <f ca="1">_xll.DBGET(#REF!,#REF!,#REF!,#REF!,#REF!,#REF!,$A4,#REF!,#REF!,#REF!,#REF!)</f>
        <v>159.59331776193</v>
      </c>
      <c r="F4" s="170">
        <f ca="1">_xll.DBGET(#REF!,#REF!,#REF!,#REF!,#REF!,#REF!,$A4,#REF!,#REF!,#REF!,#REF!)</f>
        <v>1037054</v>
      </c>
      <c r="G4" s="171">
        <f ca="1">_xll.DBGET(#REF!,#REF!,#REF!,#REF!,#REF!,#REF!,$A4,#REF!,#REF!,#REF!,#REF!)</f>
        <v>154.43883398289</v>
      </c>
      <c r="H4" s="170">
        <f ca="1">_xll.DBGET(#REF!,#REF!,#REF!,#REF!,#REF!,#REF!,$A4,#REF!,#REF!,#REF!,#REF!)</f>
        <v>1168943</v>
      </c>
      <c r="I4" s="171">
        <f ca="1">_xll.DBGET(#REF!,#REF!,#REF!,#REF!,#REF!,#REF!,$A4,#REF!,#REF!,#REF!,#REF!)</f>
        <v>148.70254549398001</v>
      </c>
      <c r="J4" s="170">
        <f ca="1">_xll.DBGET(#REF!,#REF!,#REF!,#REF!,#REF!,#REF!,$A4,#REF!,#REF!,#REF!,#REF!)</f>
        <v>0</v>
      </c>
      <c r="K4" s="171">
        <f ca="1">_xll.DBGET(#REF!,#REF!,#REF!,#REF!,#REF!,#REF!,$A4,#REF!,#REF!,#REF!,#REF!)</f>
        <v>0</v>
      </c>
      <c r="L4" s="170">
        <f ca="1">_xll.DBGET(#REF!,#REF!,#REF!,#REF!,#REF!,#REF!,$A4,#REF!,#REF!,#REF!,#REF!)</f>
        <v>0</v>
      </c>
      <c r="M4" s="171">
        <f ca="1">IFERROR((_xll.DBGET(#REF!,#REF!,#REF!,#REF!,#REF!,#REF!,$A4,#REF!,#REF!,#REF!,#REF!))/L4,0)</f>
        <v>0</v>
      </c>
      <c r="N4" s="170">
        <f ca="1">_xll.DBGET(#REF!,#REF!,#REF!,#REF!,#REF!,#REF!,$A4,#REF!,#REF!,#REF!,#REF!)</f>
        <v>0</v>
      </c>
      <c r="O4" s="171">
        <f ca="1">IFERROR((_xll.DBGET(#REF!,#REF!,#REF!,#REF!,#REF!,#REF!,$A4,#REF!,#REF!,#REF!,#REF!))/N4,0)</f>
        <v>0</v>
      </c>
      <c r="P4" s="170">
        <f ca="1">_xll.DBGET(#REF!,#REF!,#REF!,#REF!,#REF!,#REF!,$A4,#REF!,#REF!,#REF!,#REF!)</f>
        <v>0</v>
      </c>
      <c r="Q4" s="171">
        <f ca="1">IFERROR((_xll.DBGET(#REF!,#REF!,#REF!,#REF!,#REF!,#REF!,$A4,#REF!,#REF!,#REF!,#REF!))/P4,0)</f>
        <v>0</v>
      </c>
      <c r="R4" s="170">
        <f ca="1">_xll.DBGET(#REF!,#REF!,#REF!,#REF!,#REF!,#REF!,$A4,#REF!,#REF!,#REF!,#REF!)</f>
        <v>0</v>
      </c>
      <c r="S4" s="171">
        <f ca="1">_xll.DBGET(#REF!,#REF!,#REF!,#REF!,#REF!,#REF!,$A4,#REF!,#REF!,#REF!,#REF!)</f>
        <v>0</v>
      </c>
    </row>
    <row r="5" spans="1:19" x14ac:dyDescent="0.2">
      <c r="A5" s="13" t="s">
        <v>8</v>
      </c>
      <c r="B5" s="165">
        <f ca="1">_xll.DBGET(#REF!,#REF!,#REF!,#REF!,#REF!,#REF!,$A5,#REF!,#REF!,#REF!,#REF!)</f>
        <v>2351425.0299999998</v>
      </c>
      <c r="C5" s="166">
        <f ca="1">_xll.DBGET(#REF!,#REF!,#REF!,#REF!,#REF!,#REF!,$A5,#REF!,#REF!,#REF!,#REF!)</f>
        <v>160.30223419826001</v>
      </c>
      <c r="D5" s="165">
        <f ca="1">_xll.DBGET(#REF!,#REF!,#REF!,#REF!,#REF!,#REF!,$A5,#REF!,#REF!,#REF!,#REF!)</f>
        <v>537871</v>
      </c>
      <c r="E5" s="166">
        <f ca="1">_xll.DBGET(#REF!,#REF!,#REF!,#REF!,#REF!,#REF!,$A5,#REF!,#REF!,#REF!,#REF!)</f>
        <v>156.58520331801</v>
      </c>
      <c r="F5" s="165">
        <f ca="1">_xll.DBGET(#REF!,#REF!,#REF!,#REF!,#REF!,#REF!,$A5,#REF!,#REF!,#REF!,#REF!)</f>
        <v>443277</v>
      </c>
      <c r="G5" s="166">
        <f ca="1">_xll.DBGET(#REF!,#REF!,#REF!,#REF!,#REF!,#REF!,$A5,#REF!,#REF!,#REF!,#REF!)</f>
        <v>150.18798450985</v>
      </c>
      <c r="H5" s="165">
        <f ca="1">_xll.DBGET(#REF!,#REF!,#REF!,#REF!,#REF!,#REF!,$A5,#REF!,#REF!,#REF!,#REF!)</f>
        <v>581385</v>
      </c>
      <c r="I5" s="166">
        <f ca="1">_xll.DBGET(#REF!,#REF!,#REF!,#REF!,#REF!,#REF!,$A5,#REF!,#REF!,#REF!,#REF!)</f>
        <v>151.51441313626</v>
      </c>
      <c r="J5" s="165">
        <f ca="1">_xll.DBGET(#REF!,#REF!,#REF!,#REF!,#REF!,#REF!,$A5,#REF!,#REF!,#REF!,#REF!)</f>
        <v>0</v>
      </c>
      <c r="K5" s="166">
        <f ca="1">_xll.DBGET(#REF!,#REF!,#REF!,#REF!,#REF!,#REF!,$A5,#REF!,#REF!,#REF!,#REF!)</f>
        <v>0</v>
      </c>
      <c r="L5" s="165">
        <f ca="1">_xll.DBGET(#REF!,#REF!,#REF!,#REF!,#REF!,#REF!,$A5,#REF!,#REF!,#REF!,#REF!)</f>
        <v>0</v>
      </c>
      <c r="M5" s="166">
        <f ca="1">IFERROR((_xll.DBGET(#REF!,#REF!,#REF!,#REF!,#REF!,#REF!,$A5,#REF!,#REF!,#REF!,#REF!))/L5,0)</f>
        <v>0</v>
      </c>
      <c r="N5" s="165">
        <f ca="1">_xll.DBGET(#REF!,#REF!,#REF!,#REF!,#REF!,#REF!,$A5,#REF!,#REF!,#REF!,#REF!)</f>
        <v>0</v>
      </c>
      <c r="O5" s="166">
        <f ca="1">IFERROR((_xll.DBGET(#REF!,#REF!,#REF!,#REF!,#REF!,#REF!,$A5,#REF!,#REF!,#REF!,#REF!))/N5,0)</f>
        <v>0</v>
      </c>
      <c r="P5" s="165">
        <f ca="1">_xll.DBGET(#REF!,#REF!,#REF!,#REF!,#REF!,#REF!,$A5,#REF!,#REF!,#REF!,#REF!)</f>
        <v>0</v>
      </c>
      <c r="Q5" s="166">
        <f ca="1">IFERROR((_xll.DBGET(#REF!,#REF!,#REF!,#REF!,#REF!,#REF!,$A5,#REF!,#REF!,#REF!,#REF!))/P5,0)</f>
        <v>0</v>
      </c>
      <c r="R5" s="165">
        <f ca="1">_xll.DBGET(#REF!,#REF!,#REF!,#REF!,#REF!,#REF!,$A5,#REF!,#REF!,#REF!,#REF!)</f>
        <v>0</v>
      </c>
      <c r="S5" s="166">
        <f ca="1">_xll.DBGET(#REF!,#REF!,#REF!,#REF!,#REF!,#REF!,$A5,#REF!,#REF!,#REF!,#REF!)</f>
        <v>0</v>
      </c>
    </row>
    <row r="6" spans="1:19" hidden="1" outlineLevel="1" x14ac:dyDescent="0.2">
      <c r="A6" s="77" t="s">
        <v>36</v>
      </c>
      <c r="B6" s="172">
        <f ca="1">_xll.DBGET(#REF!,#REF!,#REF!,#REF!,#REF!,#REF!,$A6,#REF!,#REF!,#REF!,#REF!)</f>
        <v>0</v>
      </c>
      <c r="C6" s="173">
        <f ca="1">_xll.DBGET(#REF!,#REF!,#REF!,#REF!,#REF!,#REF!,$A6,#REF!,#REF!,#REF!,#REF!)</f>
        <v>0</v>
      </c>
      <c r="D6" s="172">
        <f ca="1">_xll.DBGET(#REF!,#REF!,#REF!,#REF!,#REF!,#REF!,$A6,#REF!,#REF!,#REF!,#REF!)</f>
        <v>0</v>
      </c>
      <c r="E6" s="173">
        <f ca="1">_xll.DBGET(#REF!,#REF!,#REF!,#REF!,#REF!,#REF!,$A6,#REF!,#REF!,#REF!,#REF!)</f>
        <v>0</v>
      </c>
      <c r="F6" s="172">
        <f ca="1">_xll.DBGET(#REF!,#REF!,#REF!,#REF!,#REF!,#REF!,$A6,#REF!,#REF!,#REF!,#REF!)</f>
        <v>0</v>
      </c>
      <c r="G6" s="173">
        <f ca="1">_xll.DBGET(#REF!,#REF!,#REF!,#REF!,#REF!,#REF!,$A6,#REF!,#REF!,#REF!,#REF!)</f>
        <v>0</v>
      </c>
      <c r="H6" s="172">
        <f ca="1">_xll.DBGET(#REF!,#REF!,#REF!,#REF!,#REF!,#REF!,$A6,#REF!,#REF!,#REF!,#REF!)</f>
        <v>0</v>
      </c>
      <c r="I6" s="173">
        <f ca="1">_xll.DBGET(#REF!,#REF!,#REF!,#REF!,#REF!,#REF!,$A6,#REF!,#REF!,#REF!,#REF!)</f>
        <v>0</v>
      </c>
      <c r="J6" s="172">
        <f ca="1">_xll.DBGET(#REF!,#REF!,#REF!,#REF!,#REF!,#REF!,$A6,#REF!,#REF!,#REF!,#REF!)</f>
        <v>0</v>
      </c>
      <c r="K6" s="173">
        <f ca="1">_xll.DBGET(#REF!,#REF!,#REF!,#REF!,#REF!,#REF!,$A6,#REF!,#REF!,#REF!,#REF!)</f>
        <v>0</v>
      </c>
      <c r="L6" s="172">
        <f ca="1">_xll.DBGET(#REF!,#REF!,#REF!,#REF!,#REF!,#REF!,$A6,#REF!,#REF!,#REF!,#REF!)-J6</f>
        <v>0</v>
      </c>
      <c r="M6" s="173">
        <f ca="1">IFERROR((_xll.DBGET(#REF!,#REF!,#REF!,#REF!,#REF!,#REF!,$A6,#REF!,#REF!,#REF!,#REF!)-(J6*K6))/L6,0)</f>
        <v>0</v>
      </c>
      <c r="N6" s="172">
        <f ca="1">_xll.DBGET(#REF!,#REF!,#REF!,#REF!,#REF!,#REF!,$A6,#REF!,#REF!,#REF!,#REF!)-J6-L6</f>
        <v>0</v>
      </c>
      <c r="O6" s="173">
        <f ca="1">IFERROR((_xll.DBGET(#REF!,#REF!,#REF!,#REF!,#REF!,#REF!,$A6,#REF!,#REF!,#REF!,#REF!)-(J6*K6)-(L6*M6))/N6,0)</f>
        <v>0</v>
      </c>
      <c r="P6" s="172">
        <f ca="1">_xll.DBGET(#REF!,#REF!,#REF!,#REF!,#REF!,#REF!,$A6,#REF!,#REF!,#REF!,#REF!)-J6-L6-N6</f>
        <v>0</v>
      </c>
      <c r="Q6" s="173">
        <f ca="1">IFERROR((_xll.DBGET(#REF!,#REF!,#REF!,#REF!,#REF!,#REF!,$A6,#REF!,#REF!,#REF!,#REF!)-(J6*K6)-(L6*M6)-(N6*O6))/P6,0)</f>
        <v>0</v>
      </c>
      <c r="R6" s="172">
        <f ca="1">_xll.DBGET(#REF!,#REF!,#REF!,#REF!,#REF!,#REF!,$A6,#REF!,#REF!,#REF!,#REF!)</f>
        <v>0</v>
      </c>
      <c r="S6" s="173">
        <f ca="1">_xll.DBGET(#REF!,#REF!,#REF!,#REF!,#REF!,#REF!,$A6,#REF!,#REF!,#REF!,#REF!)</f>
        <v>0</v>
      </c>
    </row>
    <row r="7" spans="1:19" hidden="1" outlineLevel="1" x14ac:dyDescent="0.2">
      <c r="A7" s="77" t="s">
        <v>37</v>
      </c>
      <c r="B7" s="172">
        <f ca="1">_xll.DBGET(#REF!,#REF!,#REF!,#REF!,#REF!,#REF!,$A7,#REF!,#REF!,#REF!,#REF!)</f>
        <v>0</v>
      </c>
      <c r="C7" s="173">
        <f ca="1">_xll.DBGET(#REF!,#REF!,#REF!,#REF!,#REF!,#REF!,$A7,#REF!,#REF!,#REF!,#REF!)</f>
        <v>0</v>
      </c>
      <c r="D7" s="172">
        <f ca="1">_xll.DBGET(#REF!,#REF!,#REF!,#REF!,#REF!,#REF!,$A7,#REF!,#REF!,#REF!,#REF!)</f>
        <v>0</v>
      </c>
      <c r="E7" s="173">
        <f ca="1">_xll.DBGET(#REF!,#REF!,#REF!,#REF!,#REF!,#REF!,$A7,#REF!,#REF!,#REF!,#REF!)</f>
        <v>0</v>
      </c>
      <c r="F7" s="172">
        <f ca="1">_xll.DBGET(#REF!,#REF!,#REF!,#REF!,#REF!,#REF!,$A7,#REF!,#REF!,#REF!,#REF!)</f>
        <v>0</v>
      </c>
      <c r="G7" s="173">
        <f ca="1">_xll.DBGET(#REF!,#REF!,#REF!,#REF!,#REF!,#REF!,$A7,#REF!,#REF!,#REF!,#REF!)</f>
        <v>0</v>
      </c>
      <c r="H7" s="172">
        <f ca="1">_xll.DBGET(#REF!,#REF!,#REF!,#REF!,#REF!,#REF!,$A7,#REF!,#REF!,#REF!,#REF!)</f>
        <v>0</v>
      </c>
      <c r="I7" s="173">
        <f ca="1">_xll.DBGET(#REF!,#REF!,#REF!,#REF!,#REF!,#REF!,$A7,#REF!,#REF!,#REF!,#REF!)</f>
        <v>0</v>
      </c>
      <c r="J7" s="172">
        <f ca="1">_xll.DBGET(#REF!,#REF!,#REF!,#REF!,#REF!,#REF!,$A7,#REF!,#REF!,#REF!,#REF!)</f>
        <v>0</v>
      </c>
      <c r="K7" s="173">
        <f ca="1">_xll.DBGET(#REF!,#REF!,#REF!,#REF!,#REF!,#REF!,$A7,#REF!,#REF!,#REF!,#REF!)</f>
        <v>0</v>
      </c>
      <c r="L7" s="172">
        <f ca="1">_xll.DBGET(#REF!,#REF!,#REF!,#REF!,#REF!,#REF!,$A7,#REF!,#REF!,#REF!,#REF!)</f>
        <v>0</v>
      </c>
      <c r="M7" s="173">
        <f ca="1">IFERROR((_xll.DBGET(#REF!,#REF!,#REF!,#REF!,#REF!,#REF!,$A7,#REF!,#REF!,#REF!,#REF!))/L7,0)</f>
        <v>0</v>
      </c>
      <c r="N7" s="172">
        <f ca="1">_xll.DBGET(#REF!,#REF!,#REF!,#REF!,#REF!,#REF!,$A7,#REF!,#REF!,#REF!,#REF!)</f>
        <v>0</v>
      </c>
      <c r="O7" s="173">
        <f ca="1">IFERROR((_xll.DBGET(#REF!,#REF!,#REF!,#REF!,#REF!,#REF!,$A7,#REF!,#REF!,#REF!,#REF!))/N7,0)</f>
        <v>0</v>
      </c>
      <c r="P7" s="172">
        <f ca="1">_xll.DBGET(#REF!,#REF!,#REF!,#REF!,#REF!,#REF!,$A7,#REF!,#REF!,#REF!,#REF!)</f>
        <v>0</v>
      </c>
      <c r="Q7" s="173">
        <f ca="1">IFERROR((_xll.DBGET(#REF!,#REF!,#REF!,#REF!,#REF!,#REF!,$A7,#REF!,#REF!,#REF!,#REF!))/P7,0)</f>
        <v>0</v>
      </c>
      <c r="R7" s="172">
        <f ca="1">_xll.DBGET(#REF!,#REF!,#REF!,#REF!,#REF!,#REF!,$A7,#REF!,#REF!,#REF!,#REF!)</f>
        <v>0</v>
      </c>
      <c r="S7" s="173">
        <f ca="1">_xll.DBGET(#REF!,#REF!,#REF!,#REF!,#REF!,#REF!,$A7,#REF!,#REF!,#REF!,#REF!)</f>
        <v>0</v>
      </c>
    </row>
    <row r="8" spans="1:19" hidden="1" outlineLevel="1" x14ac:dyDescent="0.2">
      <c r="A8" s="77" t="s">
        <v>38</v>
      </c>
      <c r="B8" s="172">
        <f ca="1">_xll.DBGET(#REF!,#REF!,#REF!,#REF!,#REF!,#REF!,$A8,#REF!,#REF!,#REF!,#REF!)</f>
        <v>0</v>
      </c>
      <c r="C8" s="173">
        <f ca="1">_xll.DBGET(#REF!,#REF!,#REF!,#REF!,#REF!,#REF!,$A8,#REF!,#REF!,#REF!,#REF!)</f>
        <v>0</v>
      </c>
      <c r="D8" s="172">
        <f ca="1">_xll.DBGET(#REF!,#REF!,#REF!,#REF!,#REF!,#REF!,$A8,#REF!,#REF!,#REF!,#REF!)</f>
        <v>0</v>
      </c>
      <c r="E8" s="173">
        <f ca="1">_xll.DBGET(#REF!,#REF!,#REF!,#REF!,#REF!,#REF!,$A8,#REF!,#REF!,#REF!,#REF!)</f>
        <v>0</v>
      </c>
      <c r="F8" s="172">
        <f ca="1">_xll.DBGET(#REF!,#REF!,#REF!,#REF!,#REF!,#REF!,$A8,#REF!,#REF!,#REF!,#REF!)</f>
        <v>0</v>
      </c>
      <c r="G8" s="173">
        <f ca="1">_xll.DBGET(#REF!,#REF!,#REF!,#REF!,#REF!,#REF!,$A8,#REF!,#REF!,#REF!,#REF!)</f>
        <v>0</v>
      </c>
      <c r="H8" s="172">
        <f ca="1">_xll.DBGET(#REF!,#REF!,#REF!,#REF!,#REF!,#REF!,$A8,#REF!,#REF!,#REF!,#REF!)</f>
        <v>0</v>
      </c>
      <c r="I8" s="173">
        <f ca="1">_xll.DBGET(#REF!,#REF!,#REF!,#REF!,#REF!,#REF!,$A8,#REF!,#REF!,#REF!,#REF!)</f>
        <v>0</v>
      </c>
      <c r="J8" s="172">
        <f ca="1">_xll.DBGET(#REF!,#REF!,#REF!,#REF!,#REF!,#REF!,$A8,#REF!,#REF!,#REF!,#REF!)</f>
        <v>0</v>
      </c>
      <c r="K8" s="173">
        <f ca="1">_xll.DBGET(#REF!,#REF!,#REF!,#REF!,#REF!,#REF!,$A8,#REF!,#REF!,#REF!,#REF!)</f>
        <v>0</v>
      </c>
      <c r="L8" s="172">
        <f ca="1">_xll.DBGET(#REF!,#REF!,#REF!,#REF!,#REF!,#REF!,$A8,#REF!,#REF!,#REF!,#REF!)-J8</f>
        <v>0</v>
      </c>
      <c r="M8" s="173">
        <f ca="1">IFERROR((_xll.DBGET(#REF!,#REF!,#REF!,#REF!,#REF!,#REF!,$A8,#REF!,#REF!,#REF!,#REF!)-(J8*K8))/L8,0)</f>
        <v>0</v>
      </c>
      <c r="N8" s="172">
        <f ca="1">_xll.DBGET(#REF!,#REF!,#REF!,#REF!,#REF!,#REF!,$A8,#REF!,#REF!,#REF!,#REF!)-J8-L8</f>
        <v>0</v>
      </c>
      <c r="O8" s="173">
        <f ca="1">IFERROR((_xll.DBGET(#REF!,#REF!,#REF!,#REF!,#REF!,#REF!,$A8,#REF!,#REF!,#REF!,#REF!)-(J8*K8)-(L8*M8))/N8,0)</f>
        <v>0</v>
      </c>
      <c r="P8" s="172">
        <f ca="1">_xll.DBGET(#REF!,#REF!,#REF!,#REF!,#REF!,#REF!,$A8,#REF!,#REF!,#REF!,#REF!)-J8-L8-N8</f>
        <v>0</v>
      </c>
      <c r="Q8" s="173">
        <f ca="1">IFERROR((_xll.DBGET(#REF!,#REF!,#REF!,#REF!,#REF!,#REF!,$A8,#REF!,#REF!,#REF!,#REF!)-(J8*K8)-(L8*M8)-(N8*O8))/P8,0)</f>
        <v>0</v>
      </c>
      <c r="R8" s="172">
        <f ca="1">_xll.DBGET(#REF!,#REF!,#REF!,#REF!,#REF!,#REF!,$A8,#REF!,#REF!,#REF!,#REF!)</f>
        <v>0</v>
      </c>
      <c r="S8" s="173">
        <f ca="1">_xll.DBGET(#REF!,#REF!,#REF!,#REF!,#REF!,#REF!,$A8,#REF!,#REF!,#REF!,#REF!)</f>
        <v>0</v>
      </c>
    </row>
    <row r="9" spans="1:19" hidden="1" outlineLevel="1" x14ac:dyDescent="0.2">
      <c r="A9" s="77" t="s">
        <v>39</v>
      </c>
      <c r="B9" s="172">
        <f ca="1">_xll.DBGET(#REF!,#REF!,#REF!,#REF!,#REF!,#REF!,$A9,#REF!,#REF!,#REF!,#REF!)</f>
        <v>0</v>
      </c>
      <c r="C9" s="173">
        <f ca="1">_xll.DBGET(#REF!,#REF!,#REF!,#REF!,#REF!,#REF!,$A9,#REF!,#REF!,#REF!,#REF!)</f>
        <v>0</v>
      </c>
      <c r="D9" s="172">
        <f ca="1">_xll.DBGET(#REF!,#REF!,#REF!,#REF!,#REF!,#REF!,$A9,#REF!,#REF!,#REF!,#REF!)</f>
        <v>0</v>
      </c>
      <c r="E9" s="173">
        <f ca="1">_xll.DBGET(#REF!,#REF!,#REF!,#REF!,#REF!,#REF!,$A9,#REF!,#REF!,#REF!,#REF!)</f>
        <v>0</v>
      </c>
      <c r="F9" s="172">
        <f ca="1">_xll.DBGET(#REF!,#REF!,#REF!,#REF!,#REF!,#REF!,$A9,#REF!,#REF!,#REF!,#REF!)</f>
        <v>0</v>
      </c>
      <c r="G9" s="173">
        <f ca="1">_xll.DBGET(#REF!,#REF!,#REF!,#REF!,#REF!,#REF!,$A9,#REF!,#REF!,#REF!,#REF!)</f>
        <v>0</v>
      </c>
      <c r="H9" s="172">
        <f ca="1">_xll.DBGET(#REF!,#REF!,#REF!,#REF!,#REF!,#REF!,$A9,#REF!,#REF!,#REF!,#REF!)</f>
        <v>0</v>
      </c>
      <c r="I9" s="173">
        <f ca="1">_xll.DBGET(#REF!,#REF!,#REF!,#REF!,#REF!,#REF!,$A9,#REF!,#REF!,#REF!,#REF!)</f>
        <v>0</v>
      </c>
      <c r="J9" s="172">
        <f ca="1">_xll.DBGET(#REF!,#REF!,#REF!,#REF!,#REF!,#REF!,$A9,#REF!,#REF!,#REF!,#REF!)</f>
        <v>0</v>
      </c>
      <c r="K9" s="173">
        <f ca="1">_xll.DBGET(#REF!,#REF!,#REF!,#REF!,#REF!,#REF!,$A9,#REF!,#REF!,#REF!,#REF!)</f>
        <v>0</v>
      </c>
      <c r="L9" s="172">
        <f ca="1">_xll.DBGET(#REF!,#REF!,#REF!,#REF!,#REF!,#REF!,$A9,#REF!,#REF!,#REF!,#REF!)-J9</f>
        <v>0</v>
      </c>
      <c r="M9" s="173">
        <f ca="1">IFERROR((_xll.DBGET(#REF!,#REF!,#REF!,#REF!,#REF!,#REF!,$A9,#REF!,#REF!,#REF!,#REF!)-(J9*K9))/L9,0)</f>
        <v>0</v>
      </c>
      <c r="N9" s="172">
        <f ca="1">_xll.DBGET(#REF!,#REF!,#REF!,#REF!,#REF!,#REF!,$A9,#REF!,#REF!,#REF!,#REF!)-J9-L9</f>
        <v>0</v>
      </c>
      <c r="O9" s="173">
        <f ca="1">IFERROR((_xll.DBGET(#REF!,#REF!,#REF!,#REF!,#REF!,#REF!,$A9,#REF!,#REF!,#REF!,#REF!)-(J9*K9)-(L9*M9))/N9,0)</f>
        <v>0</v>
      </c>
      <c r="P9" s="172">
        <f ca="1">_xll.DBGET(#REF!,#REF!,#REF!,#REF!,#REF!,#REF!,$A9,#REF!,#REF!,#REF!,#REF!)-J9-L9-N9</f>
        <v>0</v>
      </c>
      <c r="Q9" s="173">
        <f ca="1">IFERROR((_xll.DBGET(#REF!,#REF!,#REF!,#REF!,#REF!,#REF!,$A9,#REF!,#REF!,#REF!,#REF!)-(J9*K9)-(L9*M9)-(N9*O9))/P9,0)</f>
        <v>0</v>
      </c>
      <c r="R9" s="172">
        <f ca="1">_xll.DBGET(#REF!,#REF!,#REF!,#REF!,#REF!,#REF!,$A9,#REF!,#REF!,#REF!,#REF!)</f>
        <v>0</v>
      </c>
      <c r="S9" s="173">
        <f ca="1">_xll.DBGET(#REF!,#REF!,#REF!,#REF!,#REF!,#REF!,$A9,#REF!,#REF!,#REF!,#REF!)</f>
        <v>0</v>
      </c>
    </row>
    <row r="10" spans="1:19" collapsed="1" x14ac:dyDescent="0.2">
      <c r="A10" s="77" t="s">
        <v>40</v>
      </c>
      <c r="B10" s="172">
        <f ca="1">_xll.DBGET(#REF!,#REF!,#REF!,#REF!,#REF!,#REF!,$A10,#REF!,#REF!,#REF!,#REF!)</f>
        <v>0</v>
      </c>
      <c r="C10" s="173">
        <f ca="1">_xll.DBGET(#REF!,#REF!,#REF!,#REF!,#REF!,#REF!,$A10,#REF!,#REF!,#REF!,#REF!)</f>
        <v>0</v>
      </c>
      <c r="D10" s="172">
        <f ca="1">_xll.DBGET(#REF!,#REF!,#REF!,#REF!,#REF!,#REF!,$A10,#REF!,#REF!,#REF!,#REF!)</f>
        <v>0</v>
      </c>
      <c r="E10" s="173">
        <f ca="1">_xll.DBGET(#REF!,#REF!,#REF!,#REF!,#REF!,#REF!,$A10,#REF!,#REF!,#REF!,#REF!)</f>
        <v>0</v>
      </c>
      <c r="F10" s="172">
        <f ca="1">_xll.DBGET(#REF!,#REF!,#REF!,#REF!,#REF!,#REF!,$A10,#REF!,#REF!,#REF!,#REF!)</f>
        <v>0</v>
      </c>
      <c r="G10" s="173">
        <f ca="1">_xll.DBGET(#REF!,#REF!,#REF!,#REF!,#REF!,#REF!,$A10,#REF!,#REF!,#REF!,#REF!)</f>
        <v>0</v>
      </c>
      <c r="H10" s="172">
        <f ca="1">_xll.DBGET(#REF!,#REF!,#REF!,#REF!,#REF!,#REF!,$A10,#REF!,#REF!,#REF!,#REF!)</f>
        <v>0</v>
      </c>
      <c r="I10" s="173">
        <f ca="1">_xll.DBGET(#REF!,#REF!,#REF!,#REF!,#REF!,#REF!,$A10,#REF!,#REF!,#REF!,#REF!)</f>
        <v>0</v>
      </c>
      <c r="J10" s="172">
        <f ca="1">_xll.DBGET(#REF!,#REF!,#REF!,#REF!,#REF!,#REF!,$A10,#REF!,#REF!,#REF!,#REF!)</f>
        <v>0</v>
      </c>
      <c r="K10" s="173">
        <f ca="1">_xll.DBGET(#REF!,#REF!,#REF!,#REF!,#REF!,#REF!,$A10,#REF!,#REF!,#REF!,#REF!)</f>
        <v>0</v>
      </c>
      <c r="L10" s="172">
        <f ca="1">_xll.DBGET(#REF!,#REF!,#REF!,#REF!,#REF!,#REF!,$A10,#REF!,#REF!,#REF!,#REF!)</f>
        <v>0</v>
      </c>
      <c r="M10" s="173">
        <f ca="1">IFERROR((_xll.DBGET(#REF!,#REF!,#REF!,#REF!,#REF!,#REF!,$A10,#REF!,#REF!,#REF!,#REF!))/L10,0)</f>
        <v>0</v>
      </c>
      <c r="N10" s="172">
        <f ca="1">_xll.DBGET(#REF!,#REF!,#REF!,#REF!,#REF!,#REF!,$A10,#REF!,#REF!,#REF!,#REF!)</f>
        <v>0</v>
      </c>
      <c r="O10" s="173">
        <f ca="1">IFERROR((_xll.DBGET(#REF!,#REF!,#REF!,#REF!,#REF!,#REF!,$A10,#REF!,#REF!,#REF!,#REF!))/N10,0)</f>
        <v>0</v>
      </c>
      <c r="P10" s="172">
        <f ca="1">_xll.DBGET(#REF!,#REF!,#REF!,#REF!,#REF!,#REF!,$A10,#REF!,#REF!,#REF!,#REF!)</f>
        <v>0</v>
      </c>
      <c r="Q10" s="173">
        <f ca="1">IFERROR((_xll.DBGET(#REF!,#REF!,#REF!,#REF!,#REF!,#REF!,$A10,#REF!,#REF!,#REF!,#REF!))/P10,0)</f>
        <v>0</v>
      </c>
      <c r="R10" s="172">
        <f ca="1">_xll.DBGET(#REF!,#REF!,#REF!,#REF!,#REF!,#REF!,$A10,#REF!,#REF!,#REF!,#REF!)</f>
        <v>0</v>
      </c>
      <c r="S10" s="173">
        <f ca="1">_xll.DBGET(#REF!,#REF!,#REF!,#REF!,#REF!,#REF!,$A10,#REF!,#REF!,#REF!,#REF!)</f>
        <v>0</v>
      </c>
    </row>
    <row r="11" spans="1:19" hidden="1" outlineLevel="1" x14ac:dyDescent="0.2">
      <c r="A11" s="77" t="s">
        <v>41</v>
      </c>
      <c r="B11" s="172">
        <f ca="1">_xll.DBGET(#REF!,#REF!,#REF!,#REF!,#REF!,#REF!,$A11,#REF!,#REF!,#REF!,#REF!)</f>
        <v>0</v>
      </c>
      <c r="C11" s="173">
        <f ca="1">_xll.DBGET(#REF!,#REF!,#REF!,#REF!,#REF!,#REF!,$A11,#REF!,#REF!,#REF!,#REF!)</f>
        <v>0</v>
      </c>
      <c r="D11" s="172">
        <f ca="1">_xll.DBGET(#REF!,#REF!,#REF!,#REF!,#REF!,#REF!,$A11,#REF!,#REF!,#REF!,#REF!)</f>
        <v>0</v>
      </c>
      <c r="E11" s="173">
        <f ca="1">_xll.DBGET(#REF!,#REF!,#REF!,#REF!,#REF!,#REF!,$A11,#REF!,#REF!,#REF!,#REF!)</f>
        <v>0</v>
      </c>
      <c r="F11" s="172">
        <f ca="1">_xll.DBGET(#REF!,#REF!,#REF!,#REF!,#REF!,#REF!,$A11,#REF!,#REF!,#REF!,#REF!)</f>
        <v>0</v>
      </c>
      <c r="G11" s="173">
        <f ca="1">_xll.DBGET(#REF!,#REF!,#REF!,#REF!,#REF!,#REF!,$A11,#REF!,#REF!,#REF!,#REF!)</f>
        <v>0</v>
      </c>
      <c r="H11" s="172">
        <f ca="1">_xll.DBGET(#REF!,#REF!,#REF!,#REF!,#REF!,#REF!,$A11,#REF!,#REF!,#REF!,#REF!)</f>
        <v>0</v>
      </c>
      <c r="I11" s="173">
        <f ca="1">_xll.DBGET(#REF!,#REF!,#REF!,#REF!,#REF!,#REF!,$A11,#REF!,#REF!,#REF!,#REF!)</f>
        <v>0</v>
      </c>
      <c r="J11" s="172">
        <f ca="1">_xll.DBGET(#REF!,#REF!,#REF!,#REF!,#REF!,#REF!,$A11,#REF!,#REF!,#REF!,#REF!)</f>
        <v>0</v>
      </c>
      <c r="K11" s="173">
        <f ca="1">_xll.DBGET(#REF!,#REF!,#REF!,#REF!,#REF!,#REF!,$A11,#REF!,#REF!,#REF!,#REF!)</f>
        <v>0</v>
      </c>
      <c r="L11" s="172">
        <f ca="1">_xll.DBGET(#REF!,#REF!,#REF!,#REF!,#REF!,#REF!,$A11,#REF!,#REF!,#REF!,#REF!)-J11</f>
        <v>0</v>
      </c>
      <c r="M11" s="173">
        <f ca="1">IFERROR((_xll.DBGET(#REF!,#REF!,#REF!,#REF!,#REF!,#REF!,$A11,#REF!,#REF!,#REF!,#REF!)-(J11*K11))/L11,0)</f>
        <v>0</v>
      </c>
      <c r="N11" s="172">
        <f ca="1">_xll.DBGET(#REF!,#REF!,#REF!,#REF!,#REF!,#REF!,$A11,#REF!,#REF!,#REF!,#REF!)-J11-L11</f>
        <v>0</v>
      </c>
      <c r="O11" s="173">
        <f ca="1">IFERROR((_xll.DBGET(#REF!,#REF!,#REF!,#REF!,#REF!,#REF!,$A11,#REF!,#REF!,#REF!,#REF!)-(J11*K11)-(L11*M11))/N11,0)</f>
        <v>0</v>
      </c>
      <c r="P11" s="172">
        <f ca="1">_xll.DBGET(#REF!,#REF!,#REF!,#REF!,#REF!,#REF!,$A11,#REF!,#REF!,#REF!,#REF!)-J11-L11-N11</f>
        <v>0</v>
      </c>
      <c r="Q11" s="173">
        <f ca="1">IFERROR((_xll.DBGET(#REF!,#REF!,#REF!,#REF!,#REF!,#REF!,$A11,#REF!,#REF!,#REF!,#REF!)-(J11*K11)-(L11*M11)-(N11*O11))/P11,0)</f>
        <v>0</v>
      </c>
      <c r="R11" s="172">
        <f ca="1">_xll.DBGET(#REF!,#REF!,#REF!,#REF!,#REF!,#REF!,$A11,#REF!,#REF!,#REF!,#REF!)</f>
        <v>0</v>
      </c>
      <c r="S11" s="173">
        <f ca="1">_xll.DBGET(#REF!,#REF!,#REF!,#REF!,#REF!,#REF!,$A11,#REF!,#REF!,#REF!,#REF!)</f>
        <v>0</v>
      </c>
    </row>
    <row r="12" spans="1:19" collapsed="1" x14ac:dyDescent="0.2">
      <c r="A12" s="77" t="s">
        <v>20</v>
      </c>
      <c r="B12" s="172">
        <f ca="1">_xll.DBGET(#REF!,#REF!,#REF!,#REF!,#REF!,#REF!,$A12,#REF!,#REF!,#REF!,#REF!)</f>
        <v>1586044.03</v>
      </c>
      <c r="C12" s="173">
        <f ca="1">_xll.DBGET(#REF!,#REF!,#REF!,#REF!,#REF!,#REF!,$A12,#REF!,#REF!,#REF!,#REF!)</f>
        <v>166.13281149175</v>
      </c>
      <c r="D12" s="172">
        <f ca="1">_xll.DBGET(#REF!,#REF!,#REF!,#REF!,#REF!,#REF!,$A12,#REF!,#REF!,#REF!,#REF!)</f>
        <v>355338</v>
      </c>
      <c r="E12" s="173">
        <f ca="1">_xll.DBGET(#REF!,#REF!,#REF!,#REF!,#REF!,#REF!,$A12,#REF!,#REF!,#REF!,#REF!)</f>
        <v>159.59333670775999</v>
      </c>
      <c r="F12" s="172">
        <f ca="1">_xll.DBGET(#REF!,#REF!,#REF!,#REF!,#REF!,#REF!,$A12,#REF!,#REF!,#REF!,#REF!)</f>
        <v>274797</v>
      </c>
      <c r="G12" s="173">
        <f ca="1">_xll.DBGET(#REF!,#REF!,#REF!,#REF!,#REF!,#REF!,$A12,#REF!,#REF!,#REF!,#REF!)</f>
        <v>150.52197703441001</v>
      </c>
      <c r="H12" s="172">
        <f ca="1">_xll.DBGET(#REF!,#REF!,#REF!,#REF!,#REF!,#REF!,$A12,#REF!,#REF!,#REF!,#REF!)</f>
        <v>318531</v>
      </c>
      <c r="I12" s="173">
        <f ca="1">_xll.DBGET(#REF!,#REF!,#REF!,#REF!,#REF!,#REF!,$A12,#REF!,#REF!,#REF!,#REF!)</f>
        <v>154.16025633704999</v>
      </c>
      <c r="J12" s="172">
        <f ca="1">_xll.DBGET(#REF!,#REF!,#REF!,#REF!,#REF!,#REF!,$A12,#REF!,#REF!,#REF!,#REF!)</f>
        <v>0</v>
      </c>
      <c r="K12" s="173">
        <f ca="1">_xll.DBGET(#REF!,#REF!,#REF!,#REF!,#REF!,#REF!,$A12,#REF!,#REF!,#REF!,#REF!)</f>
        <v>0</v>
      </c>
      <c r="L12" s="172">
        <f ca="1">_xll.DBGET(#REF!,#REF!,#REF!,#REF!,#REF!,#REF!,$A12,#REF!,#REF!,#REF!,#REF!)</f>
        <v>0</v>
      </c>
      <c r="M12" s="173">
        <f ca="1">IFERROR((_xll.DBGET(#REF!,#REF!,#REF!,#REF!,#REF!,#REF!,$A12,#REF!,#REF!,#REF!,#REF!))/L12,0)</f>
        <v>0</v>
      </c>
      <c r="N12" s="172">
        <f ca="1">_xll.DBGET(#REF!,#REF!,#REF!,#REF!,#REF!,#REF!,$A12,#REF!,#REF!,#REF!,#REF!)</f>
        <v>0</v>
      </c>
      <c r="O12" s="173">
        <f ca="1">IFERROR((_xll.DBGET(#REF!,#REF!,#REF!,#REF!,#REF!,#REF!,$A12,#REF!,#REF!,#REF!,#REF!))/N12,0)</f>
        <v>0</v>
      </c>
      <c r="P12" s="172">
        <f ca="1">_xll.DBGET(#REF!,#REF!,#REF!,#REF!,#REF!,#REF!,$A12,#REF!,#REF!,#REF!,#REF!)</f>
        <v>0</v>
      </c>
      <c r="Q12" s="173">
        <f ca="1">IFERROR((_xll.DBGET(#REF!,#REF!,#REF!,#REF!,#REF!,#REF!,$A12,#REF!,#REF!,#REF!,#REF!))/P12,0)</f>
        <v>0</v>
      </c>
      <c r="R12" s="172">
        <f ca="1">_xll.DBGET(#REF!,#REF!,#REF!,#REF!,#REF!,#REF!,$A12,#REF!,#REF!,#REF!,#REF!)</f>
        <v>0</v>
      </c>
      <c r="S12" s="173">
        <f ca="1">_xll.DBGET(#REF!,#REF!,#REF!,#REF!,#REF!,#REF!,$A12,#REF!,#REF!,#REF!,#REF!)</f>
        <v>0</v>
      </c>
    </row>
    <row r="13" spans="1:19" x14ac:dyDescent="0.2">
      <c r="A13" s="77" t="s">
        <v>21</v>
      </c>
      <c r="B13" s="172">
        <f ca="1">_xll.DBGET(#REF!,#REF!,#REF!,#REF!,#REF!,#REF!,$A13,#REF!,#REF!,#REF!,#REF!)</f>
        <v>54724</v>
      </c>
      <c r="C13" s="173">
        <f ca="1">_xll.DBGET(#REF!,#REF!,#REF!,#REF!,#REF!,#REF!,$A13,#REF!,#REF!,#REF!,#REF!)</f>
        <v>117.40621284994</v>
      </c>
      <c r="D13" s="172">
        <f ca="1">_xll.DBGET(#REF!,#REF!,#REF!,#REF!,#REF!,#REF!,$A13,#REF!,#REF!,#REF!,#REF!)</f>
        <v>31283</v>
      </c>
      <c r="E13" s="173">
        <f ca="1">_xll.DBGET(#REF!,#REF!,#REF!,#REF!,#REF!,#REF!,$A13,#REF!,#REF!,#REF!,#REF!)</f>
        <v>149.65091976087001</v>
      </c>
      <c r="F13" s="172">
        <f ca="1">_xll.DBGET(#REF!,#REF!,#REF!,#REF!,#REF!,#REF!,$A13,#REF!,#REF!,#REF!,#REF!)</f>
        <v>14835</v>
      </c>
      <c r="G13" s="173">
        <f ca="1">_xll.DBGET(#REF!,#REF!,#REF!,#REF!,#REF!,#REF!,$A13,#REF!,#REF!,#REF!,#REF!)</f>
        <v>130.44416130140999</v>
      </c>
      <c r="H13" s="172">
        <f ca="1">_xll.DBGET(#REF!,#REF!,#REF!,#REF!,#REF!,#REF!,$A13,#REF!,#REF!,#REF!,#REF!)</f>
        <v>72540</v>
      </c>
      <c r="I13" s="173">
        <f ca="1">_xll.DBGET(#REF!,#REF!,#REF!,#REF!,#REF!,#REF!,$A13,#REF!,#REF!,#REF!,#REF!)</f>
        <v>146.55687922812999</v>
      </c>
      <c r="J13" s="172">
        <f ca="1">_xll.DBGET(#REF!,#REF!,#REF!,#REF!,#REF!,#REF!,$A13,#REF!,#REF!,#REF!,#REF!)</f>
        <v>0</v>
      </c>
      <c r="K13" s="173">
        <f ca="1">_xll.DBGET(#REF!,#REF!,#REF!,#REF!,#REF!,#REF!,$A13,#REF!,#REF!,#REF!,#REF!)</f>
        <v>0</v>
      </c>
      <c r="L13" s="172">
        <f ca="1">_xll.DBGET(#REF!,#REF!,#REF!,#REF!,#REF!,#REF!,$A13,#REF!,#REF!,#REF!,#REF!)</f>
        <v>0</v>
      </c>
      <c r="M13" s="173">
        <f ca="1">IFERROR((_xll.DBGET(#REF!,#REF!,#REF!,#REF!,#REF!,#REF!,$A13,#REF!,#REF!,#REF!,#REF!))/L13,0)</f>
        <v>0</v>
      </c>
      <c r="N13" s="172">
        <f ca="1">_xll.DBGET(#REF!,#REF!,#REF!,#REF!,#REF!,#REF!,$A13,#REF!,#REF!,#REF!,#REF!)</f>
        <v>0</v>
      </c>
      <c r="O13" s="173">
        <f ca="1">IFERROR((_xll.DBGET(#REF!,#REF!,#REF!,#REF!,#REF!,#REF!,$A13,#REF!,#REF!,#REF!,#REF!))/N13,0)</f>
        <v>0</v>
      </c>
      <c r="P13" s="172">
        <f ca="1">_xll.DBGET(#REF!,#REF!,#REF!,#REF!,#REF!,#REF!,$A13,#REF!,#REF!,#REF!,#REF!)</f>
        <v>0</v>
      </c>
      <c r="Q13" s="173">
        <f ca="1">IFERROR((_xll.DBGET(#REF!,#REF!,#REF!,#REF!,#REF!,#REF!,$A13,#REF!,#REF!,#REF!,#REF!))/P13,0)</f>
        <v>0</v>
      </c>
      <c r="R13" s="172">
        <f ca="1">_xll.DBGET(#REF!,#REF!,#REF!,#REF!,#REF!,#REF!,$A13,#REF!,#REF!,#REF!,#REF!)</f>
        <v>0</v>
      </c>
      <c r="S13" s="173">
        <f ca="1">_xll.DBGET(#REF!,#REF!,#REF!,#REF!,#REF!,#REF!,$A13,#REF!,#REF!,#REF!,#REF!)</f>
        <v>0</v>
      </c>
    </row>
    <row r="14" spans="1:19" x14ac:dyDescent="0.2">
      <c r="A14" s="77" t="s">
        <v>22</v>
      </c>
      <c r="B14" s="172">
        <f ca="1">_xll.DBGET(#REF!,#REF!,#REF!,#REF!,#REF!,#REF!,$A14,#REF!,#REF!,#REF!,#REF!)</f>
        <v>175559</v>
      </c>
      <c r="C14" s="173">
        <f ca="1">_xll.DBGET(#REF!,#REF!,#REF!,#REF!,#REF!,#REF!,$A14,#REF!,#REF!,#REF!,#REF!)</f>
        <v>189.50699380493</v>
      </c>
      <c r="D14" s="172">
        <f ca="1">_xll.DBGET(#REF!,#REF!,#REF!,#REF!,#REF!,#REF!,$A14,#REF!,#REF!,#REF!,#REF!)</f>
        <v>2200</v>
      </c>
      <c r="E14" s="173">
        <f ca="1">_xll.DBGET(#REF!,#REF!,#REF!,#REF!,#REF!,#REF!,$A14,#REF!,#REF!,#REF!,#REF!)</f>
        <v>150.36370886936001</v>
      </c>
      <c r="F14" s="172">
        <f ca="1">_xll.DBGET(#REF!,#REF!,#REF!,#REF!,#REF!,#REF!,$A14,#REF!,#REF!,#REF!,#REF!)</f>
        <v>43062</v>
      </c>
      <c r="G14" s="173">
        <f ca="1">_xll.DBGET(#REF!,#REF!,#REF!,#REF!,#REF!,#REF!,$A14,#REF!,#REF!,#REF!,#REF!)</f>
        <v>173.69841569600001</v>
      </c>
      <c r="H14" s="172">
        <f ca="1">_xll.DBGET(#REF!,#REF!,#REF!,#REF!,#REF!,#REF!,$A14,#REF!,#REF!,#REF!,#REF!)</f>
        <v>39164</v>
      </c>
      <c r="I14" s="173">
        <f ca="1">_xll.DBGET(#REF!,#REF!,#REF!,#REF!,#REF!,#REF!,$A14,#REF!,#REF!,#REF!,#REF!)</f>
        <v>153.21859899115</v>
      </c>
      <c r="J14" s="172">
        <f ca="1">_xll.DBGET(#REF!,#REF!,#REF!,#REF!,#REF!,#REF!,$A14,#REF!,#REF!,#REF!,#REF!)</f>
        <v>0</v>
      </c>
      <c r="K14" s="173">
        <f ca="1">_xll.DBGET(#REF!,#REF!,#REF!,#REF!,#REF!,#REF!,$A14,#REF!,#REF!,#REF!,#REF!)</f>
        <v>0</v>
      </c>
      <c r="L14" s="172">
        <f ca="1">_xll.DBGET(#REF!,#REF!,#REF!,#REF!,#REF!,#REF!,$A14,#REF!,#REF!,#REF!,#REF!)</f>
        <v>0</v>
      </c>
      <c r="M14" s="173">
        <f ca="1">IFERROR((_xll.DBGET(#REF!,#REF!,#REF!,#REF!,#REF!,#REF!,$A14,#REF!,#REF!,#REF!,#REF!))/L14,0)</f>
        <v>0</v>
      </c>
      <c r="N14" s="172">
        <f ca="1">_xll.DBGET(#REF!,#REF!,#REF!,#REF!,#REF!,#REF!,$A14,#REF!,#REF!,#REF!,#REF!)</f>
        <v>0</v>
      </c>
      <c r="O14" s="173">
        <f ca="1">IFERROR((_xll.DBGET(#REF!,#REF!,#REF!,#REF!,#REF!,#REF!,$A14,#REF!,#REF!,#REF!,#REF!))/N14,0)</f>
        <v>0</v>
      </c>
      <c r="P14" s="172">
        <f ca="1">_xll.DBGET(#REF!,#REF!,#REF!,#REF!,#REF!,#REF!,$A14,#REF!,#REF!,#REF!,#REF!)</f>
        <v>0</v>
      </c>
      <c r="Q14" s="173">
        <f ca="1">IFERROR((_xll.DBGET(#REF!,#REF!,#REF!,#REF!,#REF!,#REF!,$A14,#REF!,#REF!,#REF!,#REF!))/P14,0)</f>
        <v>0</v>
      </c>
      <c r="R14" s="172">
        <f ca="1">_xll.DBGET(#REF!,#REF!,#REF!,#REF!,#REF!,#REF!,$A14,#REF!,#REF!,#REF!,#REF!)</f>
        <v>0</v>
      </c>
      <c r="S14" s="173">
        <f ca="1">_xll.DBGET(#REF!,#REF!,#REF!,#REF!,#REF!,#REF!,$A14,#REF!,#REF!,#REF!,#REF!)</f>
        <v>0</v>
      </c>
    </row>
    <row r="15" spans="1:19" x14ac:dyDescent="0.2">
      <c r="A15" s="77" t="s">
        <v>23</v>
      </c>
      <c r="B15" s="172">
        <f ca="1">_xll.DBGET(#REF!,#REF!,#REF!,#REF!,#REF!,#REF!,$A15,#REF!,#REF!,#REF!,#REF!)</f>
        <v>438776</v>
      </c>
      <c r="C15" s="173">
        <f ca="1">_xll.DBGET(#REF!,#REF!,#REF!,#REF!,#REF!,#REF!,$A15,#REF!,#REF!,#REF!,#REF!)</f>
        <v>129.65673897843001</v>
      </c>
      <c r="D15" s="172">
        <f ca="1">_xll.DBGET(#REF!,#REF!,#REF!,#REF!,#REF!,#REF!,$A15,#REF!,#REF!,#REF!,#REF!)</f>
        <v>120581</v>
      </c>
      <c r="E15" s="173">
        <f ca="1">_xll.DBGET(#REF!,#REF!,#REF!,#REF!,#REF!,#REF!,$A15,#REF!,#REF!,#REF!,#REF!)</f>
        <v>149.59150223149999</v>
      </c>
      <c r="F15" s="172">
        <f ca="1">_xll.DBGET(#REF!,#REF!,#REF!,#REF!,#REF!,#REF!,$A15,#REF!,#REF!,#REF!,#REF!)</f>
        <v>89384</v>
      </c>
      <c r="G15" s="173">
        <f ca="1">_xll.DBGET(#REF!,#REF!,#REF!,#REF!,#REF!,#REF!,$A15,#REF!,#REF!,#REF!,#REF!)</f>
        <v>142.42388932618999</v>
      </c>
      <c r="H15" s="172">
        <f ca="1">_xll.DBGET(#REF!,#REF!,#REF!,#REF!,#REF!,#REF!,$A15,#REF!,#REF!,#REF!,#REF!)</f>
        <v>125850</v>
      </c>
      <c r="I15" s="173">
        <f ca="1">_xll.DBGET(#REF!,#REF!,#REF!,#REF!,#REF!,#REF!,$A15,#REF!,#REF!,#REF!,#REF!)</f>
        <v>148.01224480559</v>
      </c>
      <c r="J15" s="172">
        <f ca="1">_xll.DBGET(#REF!,#REF!,#REF!,#REF!,#REF!,#REF!,$A15,#REF!,#REF!,#REF!,#REF!)</f>
        <v>0</v>
      </c>
      <c r="K15" s="173">
        <f ca="1">_xll.DBGET(#REF!,#REF!,#REF!,#REF!,#REF!,#REF!,$A15,#REF!,#REF!,#REF!,#REF!)</f>
        <v>0</v>
      </c>
      <c r="L15" s="172">
        <f ca="1">_xll.DBGET(#REF!,#REF!,#REF!,#REF!,#REF!,#REF!,$A15,#REF!,#REF!,#REF!,#REF!)</f>
        <v>0</v>
      </c>
      <c r="M15" s="173">
        <f ca="1">IFERROR((_xll.DBGET(#REF!,#REF!,#REF!,#REF!,#REF!,#REF!,$A15,#REF!,#REF!,#REF!,#REF!))/L15,0)</f>
        <v>0</v>
      </c>
      <c r="N15" s="172">
        <f ca="1">_xll.DBGET(#REF!,#REF!,#REF!,#REF!,#REF!,#REF!,$A15,#REF!,#REF!,#REF!,#REF!)</f>
        <v>0</v>
      </c>
      <c r="O15" s="173">
        <f ca="1">IFERROR((_xll.DBGET(#REF!,#REF!,#REF!,#REF!,#REF!,#REF!,$A15,#REF!,#REF!,#REF!,#REF!))/N15,0)</f>
        <v>0</v>
      </c>
      <c r="P15" s="172">
        <f ca="1">_xll.DBGET(#REF!,#REF!,#REF!,#REF!,#REF!,#REF!,$A15,#REF!,#REF!,#REF!,#REF!)</f>
        <v>0</v>
      </c>
      <c r="Q15" s="173">
        <f ca="1">IFERROR((_xll.DBGET(#REF!,#REF!,#REF!,#REF!,#REF!,#REF!,$A15,#REF!,#REF!,#REF!,#REF!))/P15,0)</f>
        <v>0</v>
      </c>
      <c r="R15" s="172">
        <f ca="1">_xll.DBGET(#REF!,#REF!,#REF!,#REF!,#REF!,#REF!,$A15,#REF!,#REF!,#REF!,#REF!)</f>
        <v>0</v>
      </c>
      <c r="S15" s="173">
        <f ca="1">_xll.DBGET(#REF!,#REF!,#REF!,#REF!,#REF!,#REF!,$A15,#REF!,#REF!,#REF!,#REF!)</f>
        <v>0</v>
      </c>
    </row>
    <row r="16" spans="1:19" x14ac:dyDescent="0.2">
      <c r="A16" s="77" t="s">
        <v>24</v>
      </c>
      <c r="B16" s="172">
        <f ca="1">_xll.DBGET(#REF!,#REF!,#REF!,#REF!,#REF!,#REF!,$A16,#REF!,#REF!,#REF!,#REF!)</f>
        <v>96322</v>
      </c>
      <c r="C16" s="173">
        <f ca="1">_xll.DBGET(#REF!,#REF!,#REF!,#REF!,#REF!,#REF!,$A16,#REF!,#REF!,#REF!,#REF!)</f>
        <v>175.03655224871</v>
      </c>
      <c r="D16" s="172">
        <f ca="1">_xll.DBGET(#REF!,#REF!,#REF!,#REF!,#REF!,#REF!,$A16,#REF!,#REF!,#REF!,#REF!)</f>
        <v>28469</v>
      </c>
      <c r="E16" s="173">
        <f ca="1">_xll.DBGET(#REF!,#REF!,#REF!,#REF!,#REF!,#REF!,$A16,#REF!,#REF!,#REF!,#REF!)</f>
        <v>156.761389646</v>
      </c>
      <c r="F16" s="172">
        <f ca="1">_xll.DBGET(#REF!,#REF!,#REF!,#REF!,#REF!,#REF!,$A16,#REF!,#REF!,#REF!,#REF!)</f>
        <v>21199</v>
      </c>
      <c r="G16" s="173">
        <f ca="1">_xll.DBGET(#REF!,#REF!,#REF!,#REF!,#REF!,#REF!,$A16,#REF!,#REF!,#REF!,#REF!)</f>
        <v>144.65466547052</v>
      </c>
      <c r="H16" s="172">
        <f ca="1">_xll.DBGET(#REF!,#REF!,#REF!,#REF!,#REF!,#REF!,$A16,#REF!,#REF!,#REF!,#REF!)</f>
        <v>25300</v>
      </c>
      <c r="I16" s="173">
        <f ca="1">_xll.DBGET(#REF!,#REF!,#REF!,#REF!,#REF!,#REF!,$A16,#REF!,#REF!,#REF!,#REF!)</f>
        <v>147.19985102947001</v>
      </c>
      <c r="J16" s="172">
        <f ca="1">_xll.DBGET(#REF!,#REF!,#REF!,#REF!,#REF!,#REF!,$A16,#REF!,#REF!,#REF!,#REF!)</f>
        <v>0</v>
      </c>
      <c r="K16" s="173">
        <f ca="1">_xll.DBGET(#REF!,#REF!,#REF!,#REF!,#REF!,#REF!,$A16,#REF!,#REF!,#REF!,#REF!)</f>
        <v>0</v>
      </c>
      <c r="L16" s="172">
        <f ca="1">_xll.DBGET(#REF!,#REF!,#REF!,#REF!,#REF!,#REF!,$A16,#REF!,#REF!,#REF!,#REF!)</f>
        <v>0</v>
      </c>
      <c r="M16" s="173">
        <f ca="1">IFERROR((_xll.DBGET(#REF!,#REF!,#REF!,#REF!,#REF!,#REF!,$A16,#REF!,#REF!,#REF!,#REF!))/L16,0)</f>
        <v>0</v>
      </c>
      <c r="N16" s="172">
        <f ca="1">_xll.DBGET(#REF!,#REF!,#REF!,#REF!,#REF!,#REF!,$A16,#REF!,#REF!,#REF!,#REF!)</f>
        <v>0</v>
      </c>
      <c r="O16" s="173">
        <f ca="1">IFERROR((_xll.DBGET(#REF!,#REF!,#REF!,#REF!,#REF!,#REF!,$A16,#REF!,#REF!,#REF!,#REF!))/N16,0)</f>
        <v>0</v>
      </c>
      <c r="P16" s="172">
        <f ca="1">_xll.DBGET(#REF!,#REF!,#REF!,#REF!,#REF!,#REF!,$A16,#REF!,#REF!,#REF!,#REF!)</f>
        <v>0</v>
      </c>
      <c r="Q16" s="173">
        <f ca="1">IFERROR((_xll.DBGET(#REF!,#REF!,#REF!,#REF!,#REF!,#REF!,$A16,#REF!,#REF!,#REF!,#REF!))/P16,0)</f>
        <v>0</v>
      </c>
      <c r="R16" s="172">
        <f ca="1">_xll.DBGET(#REF!,#REF!,#REF!,#REF!,#REF!,#REF!,$A16,#REF!,#REF!,#REF!,#REF!)</f>
        <v>0</v>
      </c>
      <c r="S16" s="173">
        <f ca="1">_xll.DBGET(#REF!,#REF!,#REF!,#REF!,#REF!,#REF!,$A16,#REF!,#REF!,#REF!,#REF!)</f>
        <v>0</v>
      </c>
    </row>
    <row r="17" spans="1:19" x14ac:dyDescent="0.2">
      <c r="A17" s="13" t="s">
        <v>9</v>
      </c>
      <c r="B17" s="165">
        <f ca="1">_xll.DBGET(#REF!,#REF!,#REF!,#REF!,#REF!,#REF!,$A17,#REF!,#REF!,#REF!,#REF!)</f>
        <v>2635991.69</v>
      </c>
      <c r="C17" s="166">
        <f ca="1">_xll.DBGET(#REF!,#REF!,#REF!,#REF!,#REF!,#REF!,$A17,#REF!,#REF!,#REF!,#REF!)</f>
        <v>169.09317278643999</v>
      </c>
      <c r="D17" s="165">
        <f ca="1">_xll.DBGET(#REF!,#REF!,#REF!,#REF!,#REF!,#REF!,$A17,#REF!,#REF!,#REF!,#REF!)</f>
        <v>684179.68</v>
      </c>
      <c r="E17" s="166">
        <f ca="1">_xll.DBGET(#REF!,#REF!,#REF!,#REF!,#REF!,#REF!,$A17,#REF!,#REF!,#REF!,#REF!)</f>
        <v>161.95816075766001</v>
      </c>
      <c r="F17" s="165">
        <f ca="1">_xll.DBGET(#REF!,#REF!,#REF!,#REF!,#REF!,#REF!,$A17,#REF!,#REF!,#REF!,#REF!)</f>
        <v>593777</v>
      </c>
      <c r="G17" s="166">
        <f ca="1">_xll.DBGET(#REF!,#REF!,#REF!,#REF!,#REF!,#REF!,$A17,#REF!,#REF!,#REF!,#REF!)</f>
        <v>157.61225397365999</v>
      </c>
      <c r="H17" s="165">
        <f ca="1">_xll.DBGET(#REF!,#REF!,#REF!,#REF!,#REF!,#REF!,$A17,#REF!,#REF!,#REF!,#REF!)</f>
        <v>587558</v>
      </c>
      <c r="I17" s="166">
        <f ca="1">_xll.DBGET(#REF!,#REF!,#REF!,#REF!,#REF!,#REF!,$A17,#REF!,#REF!,#REF!,#REF!)</f>
        <v>145.92021988662</v>
      </c>
      <c r="J17" s="165">
        <f ca="1">_xll.DBGET(#REF!,#REF!,#REF!,#REF!,#REF!,#REF!,$A17,#REF!,#REF!,#REF!,#REF!)</f>
        <v>0</v>
      </c>
      <c r="K17" s="166">
        <f ca="1">_xll.DBGET(#REF!,#REF!,#REF!,#REF!,#REF!,#REF!,$A17,#REF!,#REF!,#REF!,#REF!)</f>
        <v>0</v>
      </c>
      <c r="L17" s="165">
        <f ca="1">_xll.DBGET(#REF!,#REF!,#REF!,#REF!,#REF!,#REF!,$A17,#REF!,#REF!,#REF!,#REF!)</f>
        <v>0</v>
      </c>
      <c r="M17" s="166">
        <f ca="1">IFERROR((_xll.DBGET(#REF!,#REF!,#REF!,#REF!,#REF!,#REF!,$A17,#REF!,#REF!,#REF!,#REF!))/L17,0)</f>
        <v>0</v>
      </c>
      <c r="N17" s="165">
        <f ca="1">_xll.DBGET(#REF!,#REF!,#REF!,#REF!,#REF!,#REF!,$A17,#REF!,#REF!,#REF!,#REF!)</f>
        <v>0</v>
      </c>
      <c r="O17" s="166">
        <f ca="1">IFERROR((_xll.DBGET(#REF!,#REF!,#REF!,#REF!,#REF!,#REF!,$A17,#REF!,#REF!,#REF!,#REF!))/N17,0)</f>
        <v>0</v>
      </c>
      <c r="P17" s="165">
        <f ca="1">_xll.DBGET(#REF!,#REF!,#REF!,#REF!,#REF!,#REF!,$A17,#REF!,#REF!,#REF!,#REF!)</f>
        <v>0</v>
      </c>
      <c r="Q17" s="166">
        <f ca="1">IFERROR((_xll.DBGET(#REF!,#REF!,#REF!,#REF!,#REF!,#REF!,$A17,#REF!,#REF!,#REF!,#REF!))/P17,0)</f>
        <v>0</v>
      </c>
      <c r="R17" s="165">
        <f ca="1">_xll.DBGET(#REF!,#REF!,#REF!,#REF!,#REF!,#REF!,$A17,#REF!,#REF!,#REF!,#REF!)</f>
        <v>0</v>
      </c>
      <c r="S17" s="166">
        <f ca="1">_xll.DBGET(#REF!,#REF!,#REF!,#REF!,#REF!,#REF!,$A17,#REF!,#REF!,#REF!,#REF!)</f>
        <v>0</v>
      </c>
    </row>
    <row r="18" spans="1:19" x14ac:dyDescent="0.2">
      <c r="A18" s="77" t="s">
        <v>42</v>
      </c>
      <c r="B18" s="172">
        <f ca="1">_xll.DBGET(#REF!,#REF!,#REF!,#REF!,#REF!,#REF!,$A18,#REF!,#REF!,#REF!,#REF!)</f>
        <v>16042</v>
      </c>
      <c r="C18" s="173">
        <f ca="1">_xll.DBGET(#REF!,#REF!,#REF!,#REF!,#REF!,#REF!,$A18,#REF!,#REF!,#REF!,#REF!)</f>
        <v>159.57873121805</v>
      </c>
      <c r="D18" s="172">
        <f ca="1">_xll.DBGET(#REF!,#REF!,#REF!,#REF!,#REF!,#REF!,$A18,#REF!,#REF!,#REF!,#REF!)</f>
        <v>20868</v>
      </c>
      <c r="E18" s="173">
        <f ca="1">_xll.DBGET(#REF!,#REF!,#REF!,#REF!,#REF!,#REF!,$A18,#REF!,#REF!,#REF!,#REF!)</f>
        <v>149.90833682425</v>
      </c>
      <c r="F18" s="172">
        <f ca="1">_xll.DBGET(#REF!,#REF!,#REF!,#REF!,#REF!,#REF!,$A18,#REF!,#REF!,#REF!,#REF!)</f>
        <v>14577</v>
      </c>
      <c r="G18" s="173">
        <f ca="1">_xll.DBGET(#REF!,#REF!,#REF!,#REF!,#REF!,#REF!,$A18,#REF!,#REF!,#REF!,#REF!)</f>
        <v>118.23341131809001</v>
      </c>
      <c r="H18" s="172">
        <f ca="1">_xll.DBGET(#REF!,#REF!,#REF!,#REF!,#REF!,#REF!,$A18,#REF!,#REF!,#REF!,#REF!)</f>
        <v>17990</v>
      </c>
      <c r="I18" s="173">
        <f ca="1">_xll.DBGET(#REF!,#REF!,#REF!,#REF!,#REF!,#REF!,$A18,#REF!,#REF!,#REF!,#REF!)</f>
        <v>133.11169904124</v>
      </c>
      <c r="J18" s="172">
        <f ca="1">_xll.DBGET(#REF!,#REF!,#REF!,#REF!,#REF!,#REF!,$A18,#REF!,#REF!,#REF!,#REF!)</f>
        <v>0</v>
      </c>
      <c r="K18" s="173">
        <f ca="1">_xll.DBGET(#REF!,#REF!,#REF!,#REF!,#REF!,#REF!,$A18,#REF!,#REF!,#REF!,#REF!)</f>
        <v>0</v>
      </c>
      <c r="L18" s="172">
        <f ca="1">_xll.DBGET(#REF!,#REF!,#REF!,#REF!,#REF!,#REF!,$A18,#REF!,#REF!,#REF!,#REF!)</f>
        <v>0</v>
      </c>
      <c r="M18" s="173">
        <f ca="1">IFERROR((_xll.DBGET(#REF!,#REF!,#REF!,#REF!,#REF!,#REF!,$A18,#REF!,#REF!,#REF!,#REF!))/L18,0)</f>
        <v>0</v>
      </c>
      <c r="N18" s="172">
        <f ca="1">_xll.DBGET(#REF!,#REF!,#REF!,#REF!,#REF!,#REF!,$A18,#REF!,#REF!,#REF!,#REF!)</f>
        <v>0</v>
      </c>
      <c r="O18" s="173">
        <f ca="1">IFERROR((_xll.DBGET(#REF!,#REF!,#REF!,#REF!,#REF!,#REF!,$A18,#REF!,#REF!,#REF!,#REF!))/N18,0)</f>
        <v>0</v>
      </c>
      <c r="P18" s="172">
        <f ca="1">_xll.DBGET(#REF!,#REF!,#REF!,#REF!,#REF!,#REF!,$A18,#REF!,#REF!,#REF!,#REF!)</f>
        <v>0</v>
      </c>
      <c r="Q18" s="173">
        <f ca="1">IFERROR((_xll.DBGET(#REF!,#REF!,#REF!,#REF!,#REF!,#REF!,$A18,#REF!,#REF!,#REF!,#REF!))/P18,0)</f>
        <v>0</v>
      </c>
      <c r="R18" s="172">
        <f ca="1">_xll.DBGET(#REF!,#REF!,#REF!,#REF!,#REF!,#REF!,$A18,#REF!,#REF!,#REF!,#REF!)</f>
        <v>0</v>
      </c>
      <c r="S18" s="173">
        <f ca="1">_xll.DBGET(#REF!,#REF!,#REF!,#REF!,#REF!,#REF!,$A18,#REF!,#REF!,#REF!,#REF!)</f>
        <v>0</v>
      </c>
    </row>
    <row r="19" spans="1:19" hidden="1" outlineLevel="1" x14ac:dyDescent="0.2">
      <c r="A19" s="77" t="s">
        <v>43</v>
      </c>
      <c r="B19" s="172">
        <f ca="1">_xll.DBGET(#REF!,#REF!,#REF!,#REF!,#REF!,#REF!,$A19,#REF!,#REF!,#REF!,#REF!)</f>
        <v>0</v>
      </c>
      <c r="C19" s="173">
        <f ca="1">_xll.DBGET(#REF!,#REF!,#REF!,#REF!,#REF!,#REF!,$A19,#REF!,#REF!,#REF!,#REF!)</f>
        <v>0</v>
      </c>
      <c r="D19" s="172">
        <f ca="1">_xll.DBGET(#REF!,#REF!,#REF!,#REF!,#REF!,#REF!,$A19,#REF!,#REF!,#REF!,#REF!)</f>
        <v>0</v>
      </c>
      <c r="E19" s="173">
        <f ca="1">_xll.DBGET(#REF!,#REF!,#REF!,#REF!,#REF!,#REF!,$A19,#REF!,#REF!,#REF!,#REF!)</f>
        <v>0</v>
      </c>
      <c r="F19" s="172">
        <f ca="1">_xll.DBGET(#REF!,#REF!,#REF!,#REF!,#REF!,#REF!,$A19,#REF!,#REF!,#REF!,#REF!)</f>
        <v>0</v>
      </c>
      <c r="G19" s="173">
        <f ca="1">_xll.DBGET(#REF!,#REF!,#REF!,#REF!,#REF!,#REF!,$A19,#REF!,#REF!,#REF!,#REF!)</f>
        <v>0</v>
      </c>
      <c r="H19" s="172">
        <f ca="1">_xll.DBGET(#REF!,#REF!,#REF!,#REF!,#REF!,#REF!,$A19,#REF!,#REF!,#REF!,#REF!)</f>
        <v>0</v>
      </c>
      <c r="I19" s="173">
        <f ca="1">_xll.DBGET(#REF!,#REF!,#REF!,#REF!,#REF!,#REF!,$A19,#REF!,#REF!,#REF!,#REF!)</f>
        <v>0</v>
      </c>
      <c r="J19" s="172">
        <f ca="1">_xll.DBGET(#REF!,#REF!,#REF!,#REF!,#REF!,#REF!,$A19,#REF!,#REF!,#REF!,#REF!)</f>
        <v>0</v>
      </c>
      <c r="K19" s="173">
        <f ca="1">_xll.DBGET(#REF!,#REF!,#REF!,#REF!,#REF!,#REF!,$A19,#REF!,#REF!,#REF!,#REF!)</f>
        <v>0</v>
      </c>
      <c r="L19" s="172">
        <f ca="1">_xll.DBGET(#REF!,#REF!,#REF!,#REF!,#REF!,#REF!,$A19,#REF!,#REF!,#REF!,#REF!)-J19</f>
        <v>0</v>
      </c>
      <c r="M19" s="173">
        <f ca="1">IFERROR((_xll.DBGET(#REF!,#REF!,#REF!,#REF!,#REF!,#REF!,$A19,#REF!,#REF!,#REF!,#REF!)-(J19*K19))/L19,0)</f>
        <v>0</v>
      </c>
      <c r="N19" s="172">
        <f ca="1">_xll.DBGET(#REF!,#REF!,#REF!,#REF!,#REF!,#REF!,$A19,#REF!,#REF!,#REF!,#REF!)-J19-L19</f>
        <v>0</v>
      </c>
      <c r="O19" s="173">
        <f ca="1">IFERROR((_xll.DBGET(#REF!,#REF!,#REF!,#REF!,#REF!,#REF!,$A19,#REF!,#REF!,#REF!,#REF!)-(J19*K19)-(L19*M19))/N19,0)</f>
        <v>0</v>
      </c>
      <c r="P19" s="172">
        <f ca="1">_xll.DBGET(#REF!,#REF!,#REF!,#REF!,#REF!,#REF!,$A19,#REF!,#REF!,#REF!,#REF!)-J19-L19-N19</f>
        <v>0</v>
      </c>
      <c r="Q19" s="173">
        <f ca="1">IFERROR((_xll.DBGET(#REF!,#REF!,#REF!,#REF!,#REF!,#REF!,$A19,#REF!,#REF!,#REF!,#REF!)-(J19*K19)-(L19*M19)-(N19*O19))/P19,0)</f>
        <v>0</v>
      </c>
      <c r="R19" s="172">
        <f ca="1">_xll.DBGET(#REF!,#REF!,#REF!,#REF!,#REF!,#REF!,$A19,#REF!,#REF!,#REF!,#REF!)</f>
        <v>0</v>
      </c>
      <c r="S19" s="173">
        <f ca="1">_xll.DBGET(#REF!,#REF!,#REF!,#REF!,#REF!,#REF!,$A19,#REF!,#REF!,#REF!,#REF!)</f>
        <v>0</v>
      </c>
    </row>
    <row r="20" spans="1:19" hidden="1" outlineLevel="1" x14ac:dyDescent="0.2">
      <c r="A20" s="77" t="s">
        <v>44</v>
      </c>
      <c r="B20" s="172">
        <f ca="1">_xll.DBGET(#REF!,#REF!,#REF!,#REF!,#REF!,#REF!,$A20,#REF!,#REF!,#REF!,#REF!)</f>
        <v>0</v>
      </c>
      <c r="C20" s="173">
        <f ca="1">_xll.DBGET(#REF!,#REF!,#REF!,#REF!,#REF!,#REF!,$A20,#REF!,#REF!,#REF!,#REF!)</f>
        <v>0</v>
      </c>
      <c r="D20" s="172">
        <f ca="1">_xll.DBGET(#REF!,#REF!,#REF!,#REF!,#REF!,#REF!,$A20,#REF!,#REF!,#REF!,#REF!)</f>
        <v>0</v>
      </c>
      <c r="E20" s="173">
        <f ca="1">_xll.DBGET(#REF!,#REF!,#REF!,#REF!,#REF!,#REF!,$A20,#REF!,#REF!,#REF!,#REF!)</f>
        <v>0</v>
      </c>
      <c r="F20" s="172">
        <f ca="1">_xll.DBGET(#REF!,#REF!,#REF!,#REF!,#REF!,#REF!,$A20,#REF!,#REF!,#REF!,#REF!)</f>
        <v>0</v>
      </c>
      <c r="G20" s="173">
        <f ca="1">_xll.DBGET(#REF!,#REF!,#REF!,#REF!,#REF!,#REF!,$A20,#REF!,#REF!,#REF!,#REF!)</f>
        <v>0</v>
      </c>
      <c r="H20" s="172">
        <f ca="1">_xll.DBGET(#REF!,#REF!,#REF!,#REF!,#REF!,#REF!,$A20,#REF!,#REF!,#REF!,#REF!)</f>
        <v>0</v>
      </c>
      <c r="I20" s="173">
        <f ca="1">_xll.DBGET(#REF!,#REF!,#REF!,#REF!,#REF!,#REF!,$A20,#REF!,#REF!,#REF!,#REF!)</f>
        <v>0</v>
      </c>
      <c r="J20" s="172">
        <f ca="1">_xll.DBGET(#REF!,#REF!,#REF!,#REF!,#REF!,#REF!,$A20,#REF!,#REF!,#REF!,#REF!)</f>
        <v>0</v>
      </c>
      <c r="K20" s="173">
        <f ca="1">_xll.DBGET(#REF!,#REF!,#REF!,#REF!,#REF!,#REF!,$A20,#REF!,#REF!,#REF!,#REF!)</f>
        <v>0</v>
      </c>
      <c r="L20" s="172">
        <f ca="1">_xll.DBGET(#REF!,#REF!,#REF!,#REF!,#REF!,#REF!,$A20,#REF!,#REF!,#REF!,#REF!)-J20</f>
        <v>0</v>
      </c>
      <c r="M20" s="173">
        <f ca="1">IFERROR((_xll.DBGET(#REF!,#REF!,#REF!,#REF!,#REF!,#REF!,$A20,#REF!,#REF!,#REF!,#REF!)-(J20*K20))/L20,0)</f>
        <v>0</v>
      </c>
      <c r="N20" s="172">
        <f ca="1">_xll.DBGET(#REF!,#REF!,#REF!,#REF!,#REF!,#REF!,$A20,#REF!,#REF!,#REF!,#REF!)-J20-L20</f>
        <v>0</v>
      </c>
      <c r="O20" s="173">
        <f ca="1">IFERROR((_xll.DBGET(#REF!,#REF!,#REF!,#REF!,#REF!,#REF!,$A20,#REF!,#REF!,#REF!,#REF!)-(J20*K20)-(L20*M20))/N20,0)</f>
        <v>0</v>
      </c>
      <c r="P20" s="172">
        <f ca="1">_xll.DBGET(#REF!,#REF!,#REF!,#REF!,#REF!,#REF!,$A20,#REF!,#REF!,#REF!,#REF!)-J20-L20-N20</f>
        <v>0</v>
      </c>
      <c r="Q20" s="173">
        <f ca="1">IFERROR((_xll.DBGET(#REF!,#REF!,#REF!,#REF!,#REF!,#REF!,$A20,#REF!,#REF!,#REF!,#REF!)-(J20*K20)-(L20*M20)-(N20*O20))/P20,0)</f>
        <v>0</v>
      </c>
      <c r="R20" s="172">
        <f ca="1">_xll.DBGET(#REF!,#REF!,#REF!,#REF!,#REF!,#REF!,$A20,#REF!,#REF!,#REF!,#REF!)</f>
        <v>0</v>
      </c>
      <c r="S20" s="173">
        <f ca="1">_xll.DBGET(#REF!,#REF!,#REF!,#REF!,#REF!,#REF!,$A20,#REF!,#REF!,#REF!,#REF!)</f>
        <v>0</v>
      </c>
    </row>
    <row r="21" spans="1:19" hidden="1" outlineLevel="1" x14ac:dyDescent="0.2">
      <c r="A21" s="77" t="s">
        <v>45</v>
      </c>
      <c r="B21" s="172">
        <f ca="1">_xll.DBGET(#REF!,#REF!,#REF!,#REF!,#REF!,#REF!,$A21,#REF!,#REF!,#REF!,#REF!)</f>
        <v>0</v>
      </c>
      <c r="C21" s="173">
        <f ca="1">_xll.DBGET(#REF!,#REF!,#REF!,#REF!,#REF!,#REF!,$A21,#REF!,#REF!,#REF!,#REF!)</f>
        <v>0</v>
      </c>
      <c r="D21" s="172">
        <f ca="1">_xll.DBGET(#REF!,#REF!,#REF!,#REF!,#REF!,#REF!,$A21,#REF!,#REF!,#REF!,#REF!)</f>
        <v>0</v>
      </c>
      <c r="E21" s="173">
        <f ca="1">_xll.DBGET(#REF!,#REF!,#REF!,#REF!,#REF!,#REF!,$A21,#REF!,#REF!,#REF!,#REF!)</f>
        <v>0</v>
      </c>
      <c r="F21" s="172">
        <f ca="1">_xll.DBGET(#REF!,#REF!,#REF!,#REF!,#REF!,#REF!,$A21,#REF!,#REF!,#REF!,#REF!)</f>
        <v>0</v>
      </c>
      <c r="G21" s="173">
        <f ca="1">_xll.DBGET(#REF!,#REF!,#REF!,#REF!,#REF!,#REF!,$A21,#REF!,#REF!,#REF!,#REF!)</f>
        <v>0</v>
      </c>
      <c r="H21" s="172">
        <f ca="1">_xll.DBGET(#REF!,#REF!,#REF!,#REF!,#REF!,#REF!,$A21,#REF!,#REF!,#REF!,#REF!)</f>
        <v>0</v>
      </c>
      <c r="I21" s="173">
        <f ca="1">_xll.DBGET(#REF!,#REF!,#REF!,#REF!,#REF!,#REF!,$A21,#REF!,#REF!,#REF!,#REF!)</f>
        <v>0</v>
      </c>
      <c r="J21" s="172">
        <f ca="1">_xll.DBGET(#REF!,#REF!,#REF!,#REF!,#REF!,#REF!,$A21,#REF!,#REF!,#REF!,#REF!)</f>
        <v>0</v>
      </c>
      <c r="K21" s="173">
        <f ca="1">_xll.DBGET(#REF!,#REF!,#REF!,#REF!,#REF!,#REF!,$A21,#REF!,#REF!,#REF!,#REF!)</f>
        <v>0</v>
      </c>
      <c r="L21" s="172">
        <f ca="1">_xll.DBGET(#REF!,#REF!,#REF!,#REF!,#REF!,#REF!,$A21,#REF!,#REF!,#REF!,#REF!)-J21</f>
        <v>0</v>
      </c>
      <c r="M21" s="173">
        <f ca="1">IFERROR((_xll.DBGET(#REF!,#REF!,#REF!,#REF!,#REF!,#REF!,$A21,#REF!,#REF!,#REF!,#REF!)-(J21*K21))/L21,0)</f>
        <v>0</v>
      </c>
      <c r="N21" s="172">
        <f ca="1">_xll.DBGET(#REF!,#REF!,#REF!,#REF!,#REF!,#REF!,$A21,#REF!,#REF!,#REF!,#REF!)-J21-L21</f>
        <v>0</v>
      </c>
      <c r="O21" s="173">
        <f ca="1">IFERROR((_xll.DBGET(#REF!,#REF!,#REF!,#REF!,#REF!,#REF!,$A21,#REF!,#REF!,#REF!,#REF!)-(J21*K21)-(L21*M21))/N21,0)</f>
        <v>0</v>
      </c>
      <c r="P21" s="172">
        <f ca="1">_xll.DBGET(#REF!,#REF!,#REF!,#REF!,#REF!,#REF!,$A21,#REF!,#REF!,#REF!,#REF!)-J21-L21-N21</f>
        <v>0</v>
      </c>
      <c r="Q21" s="173">
        <f ca="1">IFERROR((_xll.DBGET(#REF!,#REF!,#REF!,#REF!,#REF!,#REF!,$A21,#REF!,#REF!,#REF!,#REF!)-(J21*K21)-(L21*M21)-(N21*O21))/P21,0)</f>
        <v>0</v>
      </c>
      <c r="R21" s="172">
        <f ca="1">_xll.DBGET(#REF!,#REF!,#REF!,#REF!,#REF!,#REF!,$A21,#REF!,#REF!,#REF!,#REF!)</f>
        <v>0</v>
      </c>
      <c r="S21" s="173">
        <f ca="1">_xll.DBGET(#REF!,#REF!,#REF!,#REF!,#REF!,#REF!,$A21,#REF!,#REF!,#REF!,#REF!)</f>
        <v>0</v>
      </c>
    </row>
    <row r="22" spans="1:19" hidden="1" outlineLevel="1" x14ac:dyDescent="0.2">
      <c r="A22" s="77" t="s">
        <v>46</v>
      </c>
      <c r="B22" s="172">
        <f ca="1">_xll.DBGET(#REF!,#REF!,#REF!,#REF!,#REF!,#REF!,$A22,#REF!,#REF!,#REF!,#REF!)</f>
        <v>0</v>
      </c>
      <c r="C22" s="173">
        <f ca="1">_xll.DBGET(#REF!,#REF!,#REF!,#REF!,#REF!,#REF!,$A22,#REF!,#REF!,#REF!,#REF!)</f>
        <v>0</v>
      </c>
      <c r="D22" s="172">
        <f ca="1">_xll.DBGET(#REF!,#REF!,#REF!,#REF!,#REF!,#REF!,$A22,#REF!,#REF!,#REF!,#REF!)</f>
        <v>0</v>
      </c>
      <c r="E22" s="173">
        <f ca="1">_xll.DBGET(#REF!,#REF!,#REF!,#REF!,#REF!,#REF!,$A22,#REF!,#REF!,#REF!,#REF!)</f>
        <v>0</v>
      </c>
      <c r="F22" s="172">
        <f ca="1">_xll.DBGET(#REF!,#REF!,#REF!,#REF!,#REF!,#REF!,$A22,#REF!,#REF!,#REF!,#REF!)</f>
        <v>0</v>
      </c>
      <c r="G22" s="173">
        <f ca="1">_xll.DBGET(#REF!,#REF!,#REF!,#REF!,#REF!,#REF!,$A22,#REF!,#REF!,#REF!,#REF!)</f>
        <v>0</v>
      </c>
      <c r="H22" s="172">
        <f ca="1">_xll.DBGET(#REF!,#REF!,#REF!,#REF!,#REF!,#REF!,$A22,#REF!,#REF!,#REF!,#REF!)</f>
        <v>0</v>
      </c>
      <c r="I22" s="173">
        <f ca="1">_xll.DBGET(#REF!,#REF!,#REF!,#REF!,#REF!,#REF!,$A22,#REF!,#REF!,#REF!,#REF!)</f>
        <v>0</v>
      </c>
      <c r="J22" s="172">
        <f ca="1">_xll.DBGET(#REF!,#REF!,#REF!,#REF!,#REF!,#REF!,$A22,#REF!,#REF!,#REF!,#REF!)</f>
        <v>0</v>
      </c>
      <c r="K22" s="173">
        <f ca="1">_xll.DBGET(#REF!,#REF!,#REF!,#REF!,#REF!,#REF!,$A22,#REF!,#REF!,#REF!,#REF!)</f>
        <v>0</v>
      </c>
      <c r="L22" s="172">
        <f ca="1">_xll.DBGET(#REF!,#REF!,#REF!,#REF!,#REF!,#REF!,$A22,#REF!,#REF!,#REF!,#REF!)-J22</f>
        <v>0</v>
      </c>
      <c r="M22" s="173">
        <f ca="1">IFERROR((_xll.DBGET(#REF!,#REF!,#REF!,#REF!,#REF!,#REF!,$A22,#REF!,#REF!,#REF!,#REF!)-(J22*K22))/L22,0)</f>
        <v>0</v>
      </c>
      <c r="N22" s="172">
        <f ca="1">_xll.DBGET(#REF!,#REF!,#REF!,#REF!,#REF!,#REF!,$A22,#REF!,#REF!,#REF!,#REF!)-J22-L22</f>
        <v>0</v>
      </c>
      <c r="O22" s="173">
        <f ca="1">IFERROR((_xll.DBGET(#REF!,#REF!,#REF!,#REF!,#REF!,#REF!,$A22,#REF!,#REF!,#REF!,#REF!)-(J22*K22)-(L22*M22))/N22,0)</f>
        <v>0</v>
      </c>
      <c r="P22" s="172">
        <f ca="1">_xll.DBGET(#REF!,#REF!,#REF!,#REF!,#REF!,#REF!,$A22,#REF!,#REF!,#REF!,#REF!)-J22-L22-N22</f>
        <v>0</v>
      </c>
      <c r="Q22" s="173">
        <f ca="1">IFERROR((_xll.DBGET(#REF!,#REF!,#REF!,#REF!,#REF!,#REF!,$A22,#REF!,#REF!,#REF!,#REF!)-(J22*K22)-(L22*M22)-(N22*O22))/P22,0)</f>
        <v>0</v>
      </c>
      <c r="R22" s="172">
        <f ca="1">_xll.DBGET(#REF!,#REF!,#REF!,#REF!,#REF!,#REF!,$A22,#REF!,#REF!,#REF!,#REF!)</f>
        <v>0</v>
      </c>
      <c r="S22" s="173">
        <f ca="1">_xll.DBGET(#REF!,#REF!,#REF!,#REF!,#REF!,#REF!,$A22,#REF!,#REF!,#REF!,#REF!)</f>
        <v>0</v>
      </c>
    </row>
    <row r="23" spans="1:19" hidden="1" outlineLevel="1" x14ac:dyDescent="0.2">
      <c r="A23" s="77" t="s">
        <v>47</v>
      </c>
      <c r="B23" s="172">
        <f ca="1">_xll.DBGET(#REF!,#REF!,#REF!,#REF!,#REF!,#REF!,$A23,#REF!,#REF!,#REF!,#REF!)</f>
        <v>0</v>
      </c>
      <c r="C23" s="173">
        <f ca="1">_xll.DBGET(#REF!,#REF!,#REF!,#REF!,#REF!,#REF!,$A23,#REF!,#REF!,#REF!,#REF!)</f>
        <v>0</v>
      </c>
      <c r="D23" s="172">
        <f ca="1">_xll.DBGET(#REF!,#REF!,#REF!,#REF!,#REF!,#REF!,$A23,#REF!,#REF!,#REF!,#REF!)</f>
        <v>0</v>
      </c>
      <c r="E23" s="173">
        <f ca="1">_xll.DBGET(#REF!,#REF!,#REF!,#REF!,#REF!,#REF!,$A23,#REF!,#REF!,#REF!,#REF!)</f>
        <v>0</v>
      </c>
      <c r="F23" s="172">
        <f ca="1">_xll.DBGET(#REF!,#REF!,#REF!,#REF!,#REF!,#REF!,$A23,#REF!,#REF!,#REF!,#REF!)</f>
        <v>0</v>
      </c>
      <c r="G23" s="173">
        <f ca="1">_xll.DBGET(#REF!,#REF!,#REF!,#REF!,#REF!,#REF!,$A23,#REF!,#REF!,#REF!,#REF!)</f>
        <v>0</v>
      </c>
      <c r="H23" s="172">
        <f ca="1">_xll.DBGET(#REF!,#REF!,#REF!,#REF!,#REF!,#REF!,$A23,#REF!,#REF!,#REF!,#REF!)</f>
        <v>0</v>
      </c>
      <c r="I23" s="173">
        <f ca="1">_xll.DBGET(#REF!,#REF!,#REF!,#REF!,#REF!,#REF!,$A23,#REF!,#REF!,#REF!,#REF!)</f>
        <v>0</v>
      </c>
      <c r="J23" s="172">
        <f ca="1">_xll.DBGET(#REF!,#REF!,#REF!,#REF!,#REF!,#REF!,$A23,#REF!,#REF!,#REF!,#REF!)</f>
        <v>0</v>
      </c>
      <c r="K23" s="173">
        <f ca="1">_xll.DBGET(#REF!,#REF!,#REF!,#REF!,#REF!,#REF!,$A23,#REF!,#REF!,#REF!,#REF!)</f>
        <v>0</v>
      </c>
      <c r="L23" s="172">
        <f ca="1">_xll.DBGET(#REF!,#REF!,#REF!,#REF!,#REF!,#REF!,$A23,#REF!,#REF!,#REF!,#REF!)-J23</f>
        <v>0</v>
      </c>
      <c r="M23" s="173">
        <f ca="1">IFERROR((_xll.DBGET(#REF!,#REF!,#REF!,#REF!,#REF!,#REF!,$A23,#REF!,#REF!,#REF!,#REF!)-(J23*K23))/L23,0)</f>
        <v>0</v>
      </c>
      <c r="N23" s="172">
        <f ca="1">_xll.DBGET(#REF!,#REF!,#REF!,#REF!,#REF!,#REF!,$A23,#REF!,#REF!,#REF!,#REF!)-J23-L23</f>
        <v>0</v>
      </c>
      <c r="O23" s="173">
        <f ca="1">IFERROR((_xll.DBGET(#REF!,#REF!,#REF!,#REF!,#REF!,#REF!,$A23,#REF!,#REF!,#REF!,#REF!)-(J23*K23)-(L23*M23))/N23,0)</f>
        <v>0</v>
      </c>
      <c r="P23" s="172">
        <f ca="1">_xll.DBGET(#REF!,#REF!,#REF!,#REF!,#REF!,#REF!,$A23,#REF!,#REF!,#REF!,#REF!)-J23-L23-N23</f>
        <v>0</v>
      </c>
      <c r="Q23" s="173">
        <f ca="1">IFERROR((_xll.DBGET(#REF!,#REF!,#REF!,#REF!,#REF!,#REF!,$A23,#REF!,#REF!,#REF!,#REF!)-(J23*K23)-(L23*M23)-(N23*O23))/P23,0)</f>
        <v>0</v>
      </c>
      <c r="R23" s="172">
        <f ca="1">_xll.DBGET(#REF!,#REF!,#REF!,#REF!,#REF!,#REF!,$A23,#REF!,#REF!,#REF!,#REF!)</f>
        <v>0</v>
      </c>
      <c r="S23" s="173">
        <f ca="1">_xll.DBGET(#REF!,#REF!,#REF!,#REF!,#REF!,#REF!,$A23,#REF!,#REF!,#REF!,#REF!)</f>
        <v>0</v>
      </c>
    </row>
    <row r="24" spans="1:19" hidden="1" outlineLevel="1" x14ac:dyDescent="0.2">
      <c r="A24" s="77" t="s">
        <v>48</v>
      </c>
      <c r="B24" s="172">
        <f ca="1">_xll.DBGET(#REF!,#REF!,#REF!,#REF!,#REF!,#REF!,$A24,#REF!,#REF!,#REF!,#REF!)</f>
        <v>0</v>
      </c>
      <c r="C24" s="173">
        <f ca="1">_xll.DBGET(#REF!,#REF!,#REF!,#REF!,#REF!,#REF!,$A24,#REF!,#REF!,#REF!,#REF!)</f>
        <v>0</v>
      </c>
      <c r="D24" s="172">
        <f ca="1">_xll.DBGET(#REF!,#REF!,#REF!,#REF!,#REF!,#REF!,$A24,#REF!,#REF!,#REF!,#REF!)</f>
        <v>0</v>
      </c>
      <c r="E24" s="173">
        <f ca="1">_xll.DBGET(#REF!,#REF!,#REF!,#REF!,#REF!,#REF!,$A24,#REF!,#REF!,#REF!,#REF!)</f>
        <v>0</v>
      </c>
      <c r="F24" s="172">
        <f ca="1">_xll.DBGET(#REF!,#REF!,#REF!,#REF!,#REF!,#REF!,$A24,#REF!,#REF!,#REF!,#REF!)</f>
        <v>0</v>
      </c>
      <c r="G24" s="173">
        <f ca="1">_xll.DBGET(#REF!,#REF!,#REF!,#REF!,#REF!,#REF!,$A24,#REF!,#REF!,#REF!,#REF!)</f>
        <v>0</v>
      </c>
      <c r="H24" s="172">
        <f ca="1">_xll.DBGET(#REF!,#REF!,#REF!,#REF!,#REF!,#REF!,$A24,#REF!,#REF!,#REF!,#REF!)</f>
        <v>0</v>
      </c>
      <c r="I24" s="173">
        <f ca="1">_xll.DBGET(#REF!,#REF!,#REF!,#REF!,#REF!,#REF!,$A24,#REF!,#REF!,#REF!,#REF!)</f>
        <v>0</v>
      </c>
      <c r="J24" s="172">
        <f ca="1">_xll.DBGET(#REF!,#REF!,#REF!,#REF!,#REF!,#REF!,$A24,#REF!,#REF!,#REF!,#REF!)</f>
        <v>0</v>
      </c>
      <c r="K24" s="173">
        <f ca="1">_xll.DBGET(#REF!,#REF!,#REF!,#REF!,#REF!,#REF!,$A24,#REF!,#REF!,#REF!,#REF!)</f>
        <v>0</v>
      </c>
      <c r="L24" s="172">
        <f ca="1">_xll.DBGET(#REF!,#REF!,#REF!,#REF!,#REF!,#REF!,$A24,#REF!,#REF!,#REF!,#REF!)-J24</f>
        <v>0</v>
      </c>
      <c r="M24" s="173">
        <f ca="1">IFERROR((_xll.DBGET(#REF!,#REF!,#REF!,#REF!,#REF!,#REF!,$A24,#REF!,#REF!,#REF!,#REF!)-(J24*K24))/L24,0)</f>
        <v>0</v>
      </c>
      <c r="N24" s="172">
        <f ca="1">_xll.DBGET(#REF!,#REF!,#REF!,#REF!,#REF!,#REF!,$A24,#REF!,#REF!,#REF!,#REF!)-J24-L24</f>
        <v>0</v>
      </c>
      <c r="O24" s="173">
        <f ca="1">IFERROR((_xll.DBGET(#REF!,#REF!,#REF!,#REF!,#REF!,#REF!,$A24,#REF!,#REF!,#REF!,#REF!)-(J24*K24)-(L24*M24))/N24,0)</f>
        <v>0</v>
      </c>
      <c r="P24" s="172">
        <f ca="1">_xll.DBGET(#REF!,#REF!,#REF!,#REF!,#REF!,#REF!,$A24,#REF!,#REF!,#REF!,#REF!)-J24-L24-N24</f>
        <v>0</v>
      </c>
      <c r="Q24" s="173">
        <f ca="1">IFERROR((_xll.DBGET(#REF!,#REF!,#REF!,#REF!,#REF!,#REF!,$A24,#REF!,#REF!,#REF!,#REF!)-(J24*K24)-(L24*M24)-(N24*O24))/P24,0)</f>
        <v>0</v>
      </c>
      <c r="R24" s="172">
        <f ca="1">_xll.DBGET(#REF!,#REF!,#REF!,#REF!,#REF!,#REF!,$A24,#REF!,#REF!,#REF!,#REF!)</f>
        <v>0</v>
      </c>
      <c r="S24" s="173">
        <f ca="1">_xll.DBGET(#REF!,#REF!,#REF!,#REF!,#REF!,#REF!,$A24,#REF!,#REF!,#REF!,#REF!)</f>
        <v>0</v>
      </c>
    </row>
    <row r="25" spans="1:19" hidden="1" outlineLevel="1" x14ac:dyDescent="0.2">
      <c r="A25" s="77" t="s">
        <v>49</v>
      </c>
      <c r="B25" s="172">
        <f ca="1">_xll.DBGET(#REF!,#REF!,#REF!,#REF!,#REF!,#REF!,$A25,#REF!,#REF!,#REF!,#REF!)</f>
        <v>0</v>
      </c>
      <c r="C25" s="173">
        <f ca="1">_xll.DBGET(#REF!,#REF!,#REF!,#REF!,#REF!,#REF!,$A25,#REF!,#REF!,#REF!,#REF!)</f>
        <v>0</v>
      </c>
      <c r="D25" s="172">
        <f ca="1">_xll.DBGET(#REF!,#REF!,#REF!,#REF!,#REF!,#REF!,$A25,#REF!,#REF!,#REF!,#REF!)</f>
        <v>0</v>
      </c>
      <c r="E25" s="173">
        <f ca="1">_xll.DBGET(#REF!,#REF!,#REF!,#REF!,#REF!,#REF!,$A25,#REF!,#REF!,#REF!,#REF!)</f>
        <v>0</v>
      </c>
      <c r="F25" s="172">
        <f ca="1">_xll.DBGET(#REF!,#REF!,#REF!,#REF!,#REF!,#REF!,$A25,#REF!,#REF!,#REF!,#REF!)</f>
        <v>0</v>
      </c>
      <c r="G25" s="173">
        <f ca="1">_xll.DBGET(#REF!,#REF!,#REF!,#REF!,#REF!,#REF!,$A25,#REF!,#REF!,#REF!,#REF!)</f>
        <v>0</v>
      </c>
      <c r="H25" s="172">
        <f ca="1">_xll.DBGET(#REF!,#REF!,#REF!,#REF!,#REF!,#REF!,$A25,#REF!,#REF!,#REF!,#REF!)</f>
        <v>0</v>
      </c>
      <c r="I25" s="173">
        <f ca="1">_xll.DBGET(#REF!,#REF!,#REF!,#REF!,#REF!,#REF!,$A25,#REF!,#REF!,#REF!,#REF!)</f>
        <v>0</v>
      </c>
      <c r="J25" s="172">
        <f ca="1">_xll.DBGET(#REF!,#REF!,#REF!,#REF!,#REF!,#REF!,$A25,#REF!,#REF!,#REF!,#REF!)</f>
        <v>0</v>
      </c>
      <c r="K25" s="173">
        <f ca="1">_xll.DBGET(#REF!,#REF!,#REF!,#REF!,#REF!,#REF!,$A25,#REF!,#REF!,#REF!,#REF!)</f>
        <v>0</v>
      </c>
      <c r="L25" s="172">
        <f ca="1">_xll.DBGET(#REF!,#REF!,#REF!,#REF!,#REF!,#REF!,$A25,#REF!,#REF!,#REF!,#REF!)-J25</f>
        <v>0</v>
      </c>
      <c r="M25" s="173">
        <f ca="1">IFERROR((_xll.DBGET(#REF!,#REF!,#REF!,#REF!,#REF!,#REF!,$A25,#REF!,#REF!,#REF!,#REF!)-(J25*K25))/L25,0)</f>
        <v>0</v>
      </c>
      <c r="N25" s="172">
        <f ca="1">_xll.DBGET(#REF!,#REF!,#REF!,#REF!,#REF!,#REF!,$A25,#REF!,#REF!,#REF!,#REF!)-J25-L25</f>
        <v>0</v>
      </c>
      <c r="O25" s="173">
        <f ca="1">IFERROR((_xll.DBGET(#REF!,#REF!,#REF!,#REF!,#REF!,#REF!,$A25,#REF!,#REF!,#REF!,#REF!)-(J25*K25)-(L25*M25))/N25,0)</f>
        <v>0</v>
      </c>
      <c r="P25" s="172">
        <f ca="1">_xll.DBGET(#REF!,#REF!,#REF!,#REF!,#REF!,#REF!,$A25,#REF!,#REF!,#REF!,#REF!)-J25-L25-N25</f>
        <v>0</v>
      </c>
      <c r="Q25" s="173">
        <f ca="1">IFERROR((_xll.DBGET(#REF!,#REF!,#REF!,#REF!,#REF!,#REF!,$A25,#REF!,#REF!,#REF!,#REF!)-(J25*K25)-(L25*M25)-(N25*O25))/P25,0)</f>
        <v>0</v>
      </c>
      <c r="R25" s="172">
        <f ca="1">_xll.DBGET(#REF!,#REF!,#REF!,#REF!,#REF!,#REF!,$A25,#REF!,#REF!,#REF!,#REF!)</f>
        <v>0</v>
      </c>
      <c r="S25" s="173">
        <f ca="1">_xll.DBGET(#REF!,#REF!,#REF!,#REF!,#REF!,#REF!,$A25,#REF!,#REF!,#REF!,#REF!)</f>
        <v>0</v>
      </c>
    </row>
    <row r="26" spans="1:19" hidden="1" outlineLevel="1" x14ac:dyDescent="0.2">
      <c r="A26" s="77" t="s">
        <v>50</v>
      </c>
      <c r="B26" s="172">
        <f ca="1">_xll.DBGET(#REF!,#REF!,#REF!,#REF!,#REF!,#REF!,$A26,#REF!,#REF!,#REF!,#REF!)</f>
        <v>0</v>
      </c>
      <c r="C26" s="173">
        <f ca="1">_xll.DBGET(#REF!,#REF!,#REF!,#REF!,#REF!,#REF!,$A26,#REF!,#REF!,#REF!,#REF!)</f>
        <v>0</v>
      </c>
      <c r="D26" s="172">
        <f ca="1">_xll.DBGET(#REF!,#REF!,#REF!,#REF!,#REF!,#REF!,$A26,#REF!,#REF!,#REF!,#REF!)</f>
        <v>0</v>
      </c>
      <c r="E26" s="173">
        <f ca="1">_xll.DBGET(#REF!,#REF!,#REF!,#REF!,#REF!,#REF!,$A26,#REF!,#REF!,#REF!,#REF!)</f>
        <v>0</v>
      </c>
      <c r="F26" s="172">
        <f ca="1">_xll.DBGET(#REF!,#REF!,#REF!,#REF!,#REF!,#REF!,$A26,#REF!,#REF!,#REF!,#REF!)</f>
        <v>0</v>
      </c>
      <c r="G26" s="173">
        <f ca="1">_xll.DBGET(#REF!,#REF!,#REF!,#REF!,#REF!,#REF!,$A26,#REF!,#REF!,#REF!,#REF!)</f>
        <v>0</v>
      </c>
      <c r="H26" s="172">
        <f ca="1">_xll.DBGET(#REF!,#REF!,#REF!,#REF!,#REF!,#REF!,$A26,#REF!,#REF!,#REF!,#REF!)</f>
        <v>0</v>
      </c>
      <c r="I26" s="173">
        <f ca="1">_xll.DBGET(#REF!,#REF!,#REF!,#REF!,#REF!,#REF!,$A26,#REF!,#REF!,#REF!,#REF!)</f>
        <v>0</v>
      </c>
      <c r="J26" s="172">
        <f ca="1">_xll.DBGET(#REF!,#REF!,#REF!,#REF!,#REF!,#REF!,$A26,#REF!,#REF!,#REF!,#REF!)</f>
        <v>0</v>
      </c>
      <c r="K26" s="173">
        <f ca="1">_xll.DBGET(#REF!,#REF!,#REF!,#REF!,#REF!,#REF!,$A26,#REF!,#REF!,#REF!,#REF!)</f>
        <v>0</v>
      </c>
      <c r="L26" s="172">
        <f ca="1">_xll.DBGET(#REF!,#REF!,#REF!,#REF!,#REF!,#REF!,$A26,#REF!,#REF!,#REF!,#REF!)-J26</f>
        <v>0</v>
      </c>
      <c r="M26" s="173">
        <f ca="1">IFERROR((_xll.DBGET(#REF!,#REF!,#REF!,#REF!,#REF!,#REF!,$A26,#REF!,#REF!,#REF!,#REF!)-(J26*K26))/L26,0)</f>
        <v>0</v>
      </c>
      <c r="N26" s="172">
        <f ca="1">_xll.DBGET(#REF!,#REF!,#REF!,#REF!,#REF!,#REF!,$A26,#REF!,#REF!,#REF!,#REF!)-J26-L26</f>
        <v>0</v>
      </c>
      <c r="O26" s="173">
        <f ca="1">IFERROR((_xll.DBGET(#REF!,#REF!,#REF!,#REF!,#REF!,#REF!,$A26,#REF!,#REF!,#REF!,#REF!)-(J26*K26)-(L26*M26))/N26,0)</f>
        <v>0</v>
      </c>
      <c r="P26" s="172">
        <f ca="1">_xll.DBGET(#REF!,#REF!,#REF!,#REF!,#REF!,#REF!,$A26,#REF!,#REF!,#REF!,#REF!)-J26-L26-N26</f>
        <v>0</v>
      </c>
      <c r="Q26" s="173">
        <f ca="1">IFERROR((_xll.DBGET(#REF!,#REF!,#REF!,#REF!,#REF!,#REF!,$A26,#REF!,#REF!,#REF!,#REF!)-(J26*K26)-(L26*M26)-(N26*O26))/P26,0)</f>
        <v>0</v>
      </c>
      <c r="R26" s="172">
        <f ca="1">_xll.DBGET(#REF!,#REF!,#REF!,#REF!,#REF!,#REF!,$A26,#REF!,#REF!,#REF!,#REF!)</f>
        <v>0</v>
      </c>
      <c r="S26" s="173">
        <f ca="1">_xll.DBGET(#REF!,#REF!,#REF!,#REF!,#REF!,#REF!,$A26,#REF!,#REF!,#REF!,#REF!)</f>
        <v>0</v>
      </c>
    </row>
    <row r="27" spans="1:19" hidden="1" outlineLevel="1" x14ac:dyDescent="0.2">
      <c r="A27" s="77" t="s">
        <v>51</v>
      </c>
      <c r="B27" s="172">
        <f ca="1">_xll.DBGET(#REF!,#REF!,#REF!,#REF!,#REF!,#REF!,$A27,#REF!,#REF!,#REF!,#REF!)</f>
        <v>0</v>
      </c>
      <c r="C27" s="173">
        <f ca="1">_xll.DBGET(#REF!,#REF!,#REF!,#REF!,#REF!,#REF!,$A27,#REF!,#REF!,#REF!,#REF!)</f>
        <v>0</v>
      </c>
      <c r="D27" s="172">
        <f ca="1">_xll.DBGET(#REF!,#REF!,#REF!,#REF!,#REF!,#REF!,$A27,#REF!,#REF!,#REF!,#REF!)</f>
        <v>0</v>
      </c>
      <c r="E27" s="173">
        <f ca="1">_xll.DBGET(#REF!,#REF!,#REF!,#REF!,#REF!,#REF!,$A27,#REF!,#REF!,#REF!,#REF!)</f>
        <v>0</v>
      </c>
      <c r="F27" s="172">
        <f ca="1">_xll.DBGET(#REF!,#REF!,#REF!,#REF!,#REF!,#REF!,$A27,#REF!,#REF!,#REF!,#REF!)</f>
        <v>0</v>
      </c>
      <c r="G27" s="173">
        <f ca="1">_xll.DBGET(#REF!,#REF!,#REF!,#REF!,#REF!,#REF!,$A27,#REF!,#REF!,#REF!,#REF!)</f>
        <v>0</v>
      </c>
      <c r="H27" s="172">
        <f ca="1">_xll.DBGET(#REF!,#REF!,#REF!,#REF!,#REF!,#REF!,$A27,#REF!,#REF!,#REF!,#REF!)</f>
        <v>0</v>
      </c>
      <c r="I27" s="173">
        <f ca="1">_xll.DBGET(#REF!,#REF!,#REF!,#REF!,#REF!,#REF!,$A27,#REF!,#REF!,#REF!,#REF!)</f>
        <v>0</v>
      </c>
      <c r="J27" s="172">
        <f ca="1">_xll.DBGET(#REF!,#REF!,#REF!,#REF!,#REF!,#REF!,$A27,#REF!,#REF!,#REF!,#REF!)</f>
        <v>0</v>
      </c>
      <c r="K27" s="173">
        <f ca="1">_xll.DBGET(#REF!,#REF!,#REF!,#REF!,#REF!,#REF!,$A27,#REF!,#REF!,#REF!,#REF!)</f>
        <v>0</v>
      </c>
      <c r="L27" s="172">
        <f ca="1">_xll.DBGET(#REF!,#REF!,#REF!,#REF!,#REF!,#REF!,$A27,#REF!,#REF!,#REF!,#REF!)-J27</f>
        <v>0</v>
      </c>
      <c r="M27" s="173">
        <f ca="1">IFERROR((_xll.DBGET(#REF!,#REF!,#REF!,#REF!,#REF!,#REF!,$A27,#REF!,#REF!,#REF!,#REF!)-(J27*K27))/L27,0)</f>
        <v>0</v>
      </c>
      <c r="N27" s="172">
        <f ca="1">_xll.DBGET(#REF!,#REF!,#REF!,#REF!,#REF!,#REF!,$A27,#REF!,#REF!,#REF!,#REF!)-J27-L27</f>
        <v>0</v>
      </c>
      <c r="O27" s="173">
        <f ca="1">IFERROR((_xll.DBGET(#REF!,#REF!,#REF!,#REF!,#REF!,#REF!,$A27,#REF!,#REF!,#REF!,#REF!)-(J27*K27)-(L27*M27))/N27,0)</f>
        <v>0</v>
      </c>
      <c r="P27" s="172">
        <f ca="1">_xll.DBGET(#REF!,#REF!,#REF!,#REF!,#REF!,#REF!,$A27,#REF!,#REF!,#REF!,#REF!)-J27-L27-N27</f>
        <v>0</v>
      </c>
      <c r="Q27" s="173">
        <f ca="1">IFERROR((_xll.DBGET(#REF!,#REF!,#REF!,#REF!,#REF!,#REF!,$A27,#REF!,#REF!,#REF!,#REF!)-(J27*K27)-(L27*M27)-(N27*O27))/P27,0)</f>
        <v>0</v>
      </c>
      <c r="R27" s="172">
        <f ca="1">_xll.DBGET(#REF!,#REF!,#REF!,#REF!,#REF!,#REF!,$A27,#REF!,#REF!,#REF!,#REF!)</f>
        <v>0</v>
      </c>
      <c r="S27" s="173">
        <f ca="1">_xll.DBGET(#REF!,#REF!,#REF!,#REF!,#REF!,#REF!,$A27,#REF!,#REF!,#REF!,#REF!)</f>
        <v>0</v>
      </c>
    </row>
    <row r="28" spans="1:19" hidden="1" outlineLevel="1" x14ac:dyDescent="0.2">
      <c r="A28" s="77" t="s">
        <v>52</v>
      </c>
      <c r="B28" s="172">
        <f ca="1">_xll.DBGET(#REF!,#REF!,#REF!,#REF!,#REF!,#REF!,$A28,#REF!,#REF!,#REF!,#REF!)</f>
        <v>0</v>
      </c>
      <c r="C28" s="173">
        <f ca="1">_xll.DBGET(#REF!,#REF!,#REF!,#REF!,#REF!,#REF!,$A28,#REF!,#REF!,#REF!,#REF!)</f>
        <v>0</v>
      </c>
      <c r="D28" s="172">
        <f ca="1">_xll.DBGET(#REF!,#REF!,#REF!,#REF!,#REF!,#REF!,$A28,#REF!,#REF!,#REF!,#REF!)</f>
        <v>0</v>
      </c>
      <c r="E28" s="173">
        <f ca="1">_xll.DBGET(#REF!,#REF!,#REF!,#REF!,#REF!,#REF!,$A28,#REF!,#REF!,#REF!,#REF!)</f>
        <v>0</v>
      </c>
      <c r="F28" s="172">
        <f ca="1">_xll.DBGET(#REF!,#REF!,#REF!,#REF!,#REF!,#REF!,$A28,#REF!,#REF!,#REF!,#REF!)</f>
        <v>0</v>
      </c>
      <c r="G28" s="173">
        <f ca="1">_xll.DBGET(#REF!,#REF!,#REF!,#REF!,#REF!,#REF!,$A28,#REF!,#REF!,#REF!,#REF!)</f>
        <v>0</v>
      </c>
      <c r="H28" s="172">
        <f ca="1">_xll.DBGET(#REF!,#REF!,#REF!,#REF!,#REF!,#REF!,$A28,#REF!,#REF!,#REF!,#REF!)</f>
        <v>0</v>
      </c>
      <c r="I28" s="173">
        <f ca="1">_xll.DBGET(#REF!,#REF!,#REF!,#REF!,#REF!,#REF!,$A28,#REF!,#REF!,#REF!,#REF!)</f>
        <v>0</v>
      </c>
      <c r="J28" s="172">
        <f ca="1">_xll.DBGET(#REF!,#REF!,#REF!,#REF!,#REF!,#REF!,$A28,#REF!,#REF!,#REF!,#REF!)</f>
        <v>0</v>
      </c>
      <c r="K28" s="173">
        <f ca="1">_xll.DBGET(#REF!,#REF!,#REF!,#REF!,#REF!,#REF!,$A28,#REF!,#REF!,#REF!,#REF!)</f>
        <v>0</v>
      </c>
      <c r="L28" s="172">
        <f ca="1">_xll.DBGET(#REF!,#REF!,#REF!,#REF!,#REF!,#REF!,$A28,#REF!,#REF!,#REF!,#REF!)-J28</f>
        <v>0</v>
      </c>
      <c r="M28" s="173">
        <f ca="1">IFERROR((_xll.DBGET(#REF!,#REF!,#REF!,#REF!,#REF!,#REF!,$A28,#REF!,#REF!,#REF!,#REF!)-(J28*K28))/L28,0)</f>
        <v>0</v>
      </c>
      <c r="N28" s="172">
        <f ca="1">_xll.DBGET(#REF!,#REF!,#REF!,#REF!,#REF!,#REF!,$A28,#REF!,#REF!,#REF!,#REF!)-J28-L28</f>
        <v>0</v>
      </c>
      <c r="O28" s="173">
        <f ca="1">IFERROR((_xll.DBGET(#REF!,#REF!,#REF!,#REF!,#REF!,#REF!,$A28,#REF!,#REF!,#REF!,#REF!)-(J28*K28)-(L28*M28))/N28,0)</f>
        <v>0</v>
      </c>
      <c r="P28" s="172">
        <f ca="1">_xll.DBGET(#REF!,#REF!,#REF!,#REF!,#REF!,#REF!,$A28,#REF!,#REF!,#REF!,#REF!)-J28-L28-N28</f>
        <v>0</v>
      </c>
      <c r="Q28" s="173">
        <f ca="1">IFERROR((_xll.DBGET(#REF!,#REF!,#REF!,#REF!,#REF!,#REF!,$A28,#REF!,#REF!,#REF!,#REF!)-(J28*K28)-(L28*M28)-(N28*O28))/P28,0)</f>
        <v>0</v>
      </c>
      <c r="R28" s="172">
        <f ca="1">_xll.DBGET(#REF!,#REF!,#REF!,#REF!,#REF!,#REF!,$A28,#REF!,#REF!,#REF!,#REF!)</f>
        <v>0</v>
      </c>
      <c r="S28" s="173">
        <f ca="1">_xll.DBGET(#REF!,#REF!,#REF!,#REF!,#REF!,#REF!,$A28,#REF!,#REF!,#REF!,#REF!)</f>
        <v>0</v>
      </c>
    </row>
    <row r="29" spans="1:19" hidden="1" outlineLevel="1" x14ac:dyDescent="0.2">
      <c r="A29" s="77" t="s">
        <v>53</v>
      </c>
      <c r="B29" s="172">
        <f ca="1">_xll.DBGET(#REF!,#REF!,#REF!,#REF!,#REF!,#REF!,$A29,#REF!,#REF!,#REF!,#REF!)</f>
        <v>0</v>
      </c>
      <c r="C29" s="173">
        <f ca="1">_xll.DBGET(#REF!,#REF!,#REF!,#REF!,#REF!,#REF!,$A29,#REF!,#REF!,#REF!,#REF!)</f>
        <v>0</v>
      </c>
      <c r="D29" s="172">
        <f ca="1">_xll.DBGET(#REF!,#REF!,#REF!,#REF!,#REF!,#REF!,$A29,#REF!,#REF!,#REF!,#REF!)</f>
        <v>0</v>
      </c>
      <c r="E29" s="173">
        <f ca="1">_xll.DBGET(#REF!,#REF!,#REF!,#REF!,#REF!,#REF!,$A29,#REF!,#REF!,#REF!,#REF!)</f>
        <v>0</v>
      </c>
      <c r="F29" s="172">
        <f ca="1">_xll.DBGET(#REF!,#REF!,#REF!,#REF!,#REF!,#REF!,$A29,#REF!,#REF!,#REF!,#REF!)</f>
        <v>0</v>
      </c>
      <c r="G29" s="173">
        <f ca="1">_xll.DBGET(#REF!,#REF!,#REF!,#REF!,#REF!,#REF!,$A29,#REF!,#REF!,#REF!,#REF!)</f>
        <v>0</v>
      </c>
      <c r="H29" s="172">
        <f ca="1">_xll.DBGET(#REF!,#REF!,#REF!,#REF!,#REF!,#REF!,$A29,#REF!,#REF!,#REF!,#REF!)</f>
        <v>0</v>
      </c>
      <c r="I29" s="173">
        <f ca="1">_xll.DBGET(#REF!,#REF!,#REF!,#REF!,#REF!,#REF!,$A29,#REF!,#REF!,#REF!,#REF!)</f>
        <v>0</v>
      </c>
      <c r="J29" s="172">
        <f ca="1">_xll.DBGET(#REF!,#REF!,#REF!,#REF!,#REF!,#REF!,$A29,#REF!,#REF!,#REF!,#REF!)</f>
        <v>0</v>
      </c>
      <c r="K29" s="173">
        <f ca="1">_xll.DBGET(#REF!,#REF!,#REF!,#REF!,#REF!,#REF!,$A29,#REF!,#REF!,#REF!,#REF!)</f>
        <v>0</v>
      </c>
      <c r="L29" s="172">
        <f ca="1">_xll.DBGET(#REF!,#REF!,#REF!,#REF!,#REF!,#REF!,$A29,#REF!,#REF!,#REF!,#REF!)-J29</f>
        <v>0</v>
      </c>
      <c r="M29" s="173">
        <f ca="1">IFERROR((_xll.DBGET(#REF!,#REF!,#REF!,#REF!,#REF!,#REF!,$A29,#REF!,#REF!,#REF!,#REF!)-(J29*K29))/L29,0)</f>
        <v>0</v>
      </c>
      <c r="N29" s="172">
        <f ca="1">_xll.DBGET(#REF!,#REF!,#REF!,#REF!,#REF!,#REF!,$A29,#REF!,#REF!,#REF!,#REF!)-J29-L29</f>
        <v>0</v>
      </c>
      <c r="O29" s="173">
        <f ca="1">IFERROR((_xll.DBGET(#REF!,#REF!,#REF!,#REF!,#REF!,#REF!,$A29,#REF!,#REF!,#REF!,#REF!)-(J29*K29)-(L29*M29))/N29,0)</f>
        <v>0</v>
      </c>
      <c r="P29" s="172">
        <f ca="1">_xll.DBGET(#REF!,#REF!,#REF!,#REF!,#REF!,#REF!,$A29,#REF!,#REF!,#REF!,#REF!)-J29-L29-N29</f>
        <v>0</v>
      </c>
      <c r="Q29" s="173">
        <f ca="1">IFERROR((_xll.DBGET(#REF!,#REF!,#REF!,#REF!,#REF!,#REF!,$A29,#REF!,#REF!,#REF!,#REF!)-(J29*K29)-(L29*M29)-(N29*O29))/P29,0)</f>
        <v>0</v>
      </c>
      <c r="R29" s="172">
        <f ca="1">_xll.DBGET(#REF!,#REF!,#REF!,#REF!,#REF!,#REF!,$A29,#REF!,#REF!,#REF!,#REF!)</f>
        <v>0</v>
      </c>
      <c r="S29" s="173">
        <f ca="1">_xll.DBGET(#REF!,#REF!,#REF!,#REF!,#REF!,#REF!,$A29,#REF!,#REF!,#REF!,#REF!)</f>
        <v>0</v>
      </c>
    </row>
    <row r="30" spans="1:19" hidden="1" outlineLevel="1" x14ac:dyDescent="0.2">
      <c r="A30" s="77" t="s">
        <v>54</v>
      </c>
      <c r="B30" s="172">
        <f ca="1">_xll.DBGET(#REF!,#REF!,#REF!,#REF!,#REF!,#REF!,$A30,#REF!,#REF!,#REF!,#REF!)</f>
        <v>0</v>
      </c>
      <c r="C30" s="173">
        <f ca="1">_xll.DBGET(#REF!,#REF!,#REF!,#REF!,#REF!,#REF!,$A30,#REF!,#REF!,#REF!,#REF!)</f>
        <v>0</v>
      </c>
      <c r="D30" s="172">
        <f ca="1">_xll.DBGET(#REF!,#REF!,#REF!,#REF!,#REF!,#REF!,$A30,#REF!,#REF!,#REF!,#REF!)</f>
        <v>0</v>
      </c>
      <c r="E30" s="173">
        <f ca="1">_xll.DBGET(#REF!,#REF!,#REF!,#REF!,#REF!,#REF!,$A30,#REF!,#REF!,#REF!,#REF!)</f>
        <v>0</v>
      </c>
      <c r="F30" s="172">
        <f ca="1">_xll.DBGET(#REF!,#REF!,#REF!,#REF!,#REF!,#REF!,$A30,#REF!,#REF!,#REF!,#REF!)</f>
        <v>0</v>
      </c>
      <c r="G30" s="173">
        <f ca="1">_xll.DBGET(#REF!,#REF!,#REF!,#REF!,#REF!,#REF!,$A30,#REF!,#REF!,#REF!,#REF!)</f>
        <v>0</v>
      </c>
      <c r="H30" s="172">
        <f ca="1">_xll.DBGET(#REF!,#REF!,#REF!,#REF!,#REF!,#REF!,$A30,#REF!,#REF!,#REF!,#REF!)</f>
        <v>0</v>
      </c>
      <c r="I30" s="173">
        <f ca="1">_xll.DBGET(#REF!,#REF!,#REF!,#REF!,#REF!,#REF!,$A30,#REF!,#REF!,#REF!,#REF!)</f>
        <v>0</v>
      </c>
      <c r="J30" s="172">
        <f ca="1">_xll.DBGET(#REF!,#REF!,#REF!,#REF!,#REF!,#REF!,$A30,#REF!,#REF!,#REF!,#REF!)</f>
        <v>0</v>
      </c>
      <c r="K30" s="173">
        <f ca="1">_xll.DBGET(#REF!,#REF!,#REF!,#REF!,#REF!,#REF!,$A30,#REF!,#REF!,#REF!,#REF!)</f>
        <v>0</v>
      </c>
      <c r="L30" s="172">
        <f ca="1">_xll.DBGET(#REF!,#REF!,#REF!,#REF!,#REF!,#REF!,$A30,#REF!,#REF!,#REF!,#REF!)-J30</f>
        <v>0</v>
      </c>
      <c r="M30" s="173">
        <f ca="1">IFERROR((_xll.DBGET(#REF!,#REF!,#REF!,#REF!,#REF!,#REF!,$A30,#REF!,#REF!,#REF!,#REF!)-(J30*K30))/L30,0)</f>
        <v>0</v>
      </c>
      <c r="N30" s="172">
        <f ca="1">_xll.DBGET(#REF!,#REF!,#REF!,#REF!,#REF!,#REF!,$A30,#REF!,#REF!,#REF!,#REF!)-J30-L30</f>
        <v>0</v>
      </c>
      <c r="O30" s="173">
        <f ca="1">IFERROR((_xll.DBGET(#REF!,#REF!,#REF!,#REF!,#REF!,#REF!,$A30,#REF!,#REF!,#REF!,#REF!)-(J30*K30)-(L30*M30))/N30,0)</f>
        <v>0</v>
      </c>
      <c r="P30" s="172">
        <f ca="1">_xll.DBGET(#REF!,#REF!,#REF!,#REF!,#REF!,#REF!,$A30,#REF!,#REF!,#REF!,#REF!)-J30-L30-N30</f>
        <v>0</v>
      </c>
      <c r="Q30" s="173">
        <f ca="1">IFERROR((_xll.DBGET(#REF!,#REF!,#REF!,#REF!,#REF!,#REF!,$A30,#REF!,#REF!,#REF!,#REF!)-(J30*K30)-(L30*M30)-(N30*O30))/P30,0)</f>
        <v>0</v>
      </c>
      <c r="R30" s="172">
        <f ca="1">_xll.DBGET(#REF!,#REF!,#REF!,#REF!,#REF!,#REF!,$A30,#REF!,#REF!,#REF!,#REF!)</f>
        <v>0</v>
      </c>
      <c r="S30" s="173">
        <f ca="1">_xll.DBGET(#REF!,#REF!,#REF!,#REF!,#REF!,#REF!,$A30,#REF!,#REF!,#REF!,#REF!)</f>
        <v>0</v>
      </c>
    </row>
    <row r="31" spans="1:19" hidden="1" outlineLevel="1" x14ac:dyDescent="0.2">
      <c r="A31" s="77" t="s">
        <v>55</v>
      </c>
      <c r="B31" s="172">
        <f ca="1">_xll.DBGET(#REF!,#REF!,#REF!,#REF!,#REF!,#REF!,$A31,#REF!,#REF!,#REF!,#REF!)</f>
        <v>0</v>
      </c>
      <c r="C31" s="173">
        <f ca="1">_xll.DBGET(#REF!,#REF!,#REF!,#REF!,#REF!,#REF!,$A31,#REF!,#REF!,#REF!,#REF!)</f>
        <v>0</v>
      </c>
      <c r="D31" s="172">
        <f ca="1">_xll.DBGET(#REF!,#REF!,#REF!,#REF!,#REF!,#REF!,$A31,#REF!,#REF!,#REF!,#REF!)</f>
        <v>0</v>
      </c>
      <c r="E31" s="173">
        <f ca="1">_xll.DBGET(#REF!,#REF!,#REF!,#REF!,#REF!,#REF!,$A31,#REF!,#REF!,#REF!,#REF!)</f>
        <v>0</v>
      </c>
      <c r="F31" s="172">
        <f ca="1">_xll.DBGET(#REF!,#REF!,#REF!,#REF!,#REF!,#REF!,$A31,#REF!,#REF!,#REF!,#REF!)</f>
        <v>0</v>
      </c>
      <c r="G31" s="173">
        <f ca="1">_xll.DBGET(#REF!,#REF!,#REF!,#REF!,#REF!,#REF!,$A31,#REF!,#REF!,#REF!,#REF!)</f>
        <v>0</v>
      </c>
      <c r="H31" s="172">
        <f ca="1">_xll.DBGET(#REF!,#REF!,#REF!,#REF!,#REF!,#REF!,$A31,#REF!,#REF!,#REF!,#REF!)</f>
        <v>0</v>
      </c>
      <c r="I31" s="173">
        <f ca="1">_xll.DBGET(#REF!,#REF!,#REF!,#REF!,#REF!,#REF!,$A31,#REF!,#REF!,#REF!,#REF!)</f>
        <v>0</v>
      </c>
      <c r="J31" s="172">
        <f ca="1">_xll.DBGET(#REF!,#REF!,#REF!,#REF!,#REF!,#REF!,$A31,#REF!,#REF!,#REF!,#REF!)</f>
        <v>0</v>
      </c>
      <c r="K31" s="173">
        <f ca="1">_xll.DBGET(#REF!,#REF!,#REF!,#REF!,#REF!,#REF!,$A31,#REF!,#REF!,#REF!,#REF!)</f>
        <v>0</v>
      </c>
      <c r="L31" s="172">
        <f ca="1">_xll.DBGET(#REF!,#REF!,#REF!,#REF!,#REF!,#REF!,$A31,#REF!,#REF!,#REF!,#REF!)-J31</f>
        <v>0</v>
      </c>
      <c r="M31" s="173">
        <f ca="1">IFERROR((_xll.DBGET(#REF!,#REF!,#REF!,#REF!,#REF!,#REF!,$A31,#REF!,#REF!,#REF!,#REF!)-(J31*K31))/L31,0)</f>
        <v>0</v>
      </c>
      <c r="N31" s="172">
        <f ca="1">_xll.DBGET(#REF!,#REF!,#REF!,#REF!,#REF!,#REF!,$A31,#REF!,#REF!,#REF!,#REF!)-J31-L31</f>
        <v>0</v>
      </c>
      <c r="O31" s="173">
        <f ca="1">IFERROR((_xll.DBGET(#REF!,#REF!,#REF!,#REF!,#REF!,#REF!,$A31,#REF!,#REF!,#REF!,#REF!)-(J31*K31)-(L31*M31))/N31,0)</f>
        <v>0</v>
      </c>
      <c r="P31" s="172">
        <f ca="1">_xll.DBGET(#REF!,#REF!,#REF!,#REF!,#REF!,#REF!,$A31,#REF!,#REF!,#REF!,#REF!)-J31-L31-N31</f>
        <v>0</v>
      </c>
      <c r="Q31" s="173">
        <f ca="1">IFERROR((_xll.DBGET(#REF!,#REF!,#REF!,#REF!,#REF!,#REF!,$A31,#REF!,#REF!,#REF!,#REF!)-(J31*K31)-(L31*M31)-(N31*O31))/P31,0)</f>
        <v>0</v>
      </c>
      <c r="R31" s="172">
        <f ca="1">_xll.DBGET(#REF!,#REF!,#REF!,#REF!,#REF!,#REF!,$A31,#REF!,#REF!,#REF!,#REF!)</f>
        <v>0</v>
      </c>
      <c r="S31" s="173">
        <f ca="1">_xll.DBGET(#REF!,#REF!,#REF!,#REF!,#REF!,#REF!,$A31,#REF!,#REF!,#REF!,#REF!)</f>
        <v>0</v>
      </c>
    </row>
    <row r="32" spans="1:19" hidden="1" outlineLevel="1" x14ac:dyDescent="0.2">
      <c r="A32" s="77" t="s">
        <v>56</v>
      </c>
      <c r="B32" s="172">
        <f ca="1">_xll.DBGET(#REF!,#REF!,#REF!,#REF!,#REF!,#REF!,$A32,#REF!,#REF!,#REF!,#REF!)</f>
        <v>0</v>
      </c>
      <c r="C32" s="173">
        <f ca="1">_xll.DBGET(#REF!,#REF!,#REF!,#REF!,#REF!,#REF!,$A32,#REF!,#REF!,#REF!,#REF!)</f>
        <v>0</v>
      </c>
      <c r="D32" s="172">
        <f ca="1">_xll.DBGET(#REF!,#REF!,#REF!,#REF!,#REF!,#REF!,$A32,#REF!,#REF!,#REF!,#REF!)</f>
        <v>0</v>
      </c>
      <c r="E32" s="173">
        <f ca="1">_xll.DBGET(#REF!,#REF!,#REF!,#REF!,#REF!,#REF!,$A32,#REF!,#REF!,#REF!,#REF!)</f>
        <v>0</v>
      </c>
      <c r="F32" s="172">
        <f ca="1">_xll.DBGET(#REF!,#REF!,#REF!,#REF!,#REF!,#REF!,$A32,#REF!,#REF!,#REF!,#REF!)</f>
        <v>0</v>
      </c>
      <c r="G32" s="173">
        <f ca="1">_xll.DBGET(#REF!,#REF!,#REF!,#REF!,#REF!,#REF!,$A32,#REF!,#REF!,#REF!,#REF!)</f>
        <v>0</v>
      </c>
      <c r="H32" s="172">
        <f ca="1">_xll.DBGET(#REF!,#REF!,#REF!,#REF!,#REF!,#REF!,$A32,#REF!,#REF!,#REF!,#REF!)</f>
        <v>0</v>
      </c>
      <c r="I32" s="173">
        <f ca="1">_xll.DBGET(#REF!,#REF!,#REF!,#REF!,#REF!,#REF!,$A32,#REF!,#REF!,#REF!,#REF!)</f>
        <v>0</v>
      </c>
      <c r="J32" s="172">
        <f ca="1">_xll.DBGET(#REF!,#REF!,#REF!,#REF!,#REF!,#REF!,$A32,#REF!,#REF!,#REF!,#REF!)</f>
        <v>0</v>
      </c>
      <c r="K32" s="173">
        <f ca="1">_xll.DBGET(#REF!,#REF!,#REF!,#REF!,#REF!,#REF!,$A32,#REF!,#REF!,#REF!,#REF!)</f>
        <v>0</v>
      </c>
      <c r="L32" s="172">
        <f ca="1">_xll.DBGET(#REF!,#REF!,#REF!,#REF!,#REF!,#REF!,$A32,#REF!,#REF!,#REF!,#REF!)-J32</f>
        <v>0</v>
      </c>
      <c r="M32" s="173">
        <f ca="1">IFERROR((_xll.DBGET(#REF!,#REF!,#REF!,#REF!,#REF!,#REF!,$A32,#REF!,#REF!,#REF!,#REF!)-(J32*K32))/L32,0)</f>
        <v>0</v>
      </c>
      <c r="N32" s="172">
        <f ca="1">_xll.DBGET(#REF!,#REF!,#REF!,#REF!,#REF!,#REF!,$A32,#REF!,#REF!,#REF!,#REF!)-J32-L32</f>
        <v>0</v>
      </c>
      <c r="O32" s="173">
        <f ca="1">IFERROR((_xll.DBGET(#REF!,#REF!,#REF!,#REF!,#REF!,#REF!,$A32,#REF!,#REF!,#REF!,#REF!)-(J32*K32)-(L32*M32))/N32,0)</f>
        <v>0</v>
      </c>
      <c r="P32" s="172">
        <f ca="1">_xll.DBGET(#REF!,#REF!,#REF!,#REF!,#REF!,#REF!,$A32,#REF!,#REF!,#REF!,#REF!)-J32-L32-N32</f>
        <v>0</v>
      </c>
      <c r="Q32" s="173">
        <f ca="1">IFERROR((_xll.DBGET(#REF!,#REF!,#REF!,#REF!,#REF!,#REF!,$A32,#REF!,#REF!,#REF!,#REF!)-(J32*K32)-(L32*M32)-(N32*O32))/P32,0)</f>
        <v>0</v>
      </c>
      <c r="R32" s="172">
        <f ca="1">_xll.DBGET(#REF!,#REF!,#REF!,#REF!,#REF!,#REF!,$A32,#REF!,#REF!,#REF!,#REF!)</f>
        <v>0</v>
      </c>
      <c r="S32" s="173">
        <f ca="1">_xll.DBGET(#REF!,#REF!,#REF!,#REF!,#REF!,#REF!,$A32,#REF!,#REF!,#REF!,#REF!)</f>
        <v>0</v>
      </c>
    </row>
    <row r="33" spans="1:19" collapsed="1" x14ac:dyDescent="0.2">
      <c r="A33" s="77" t="s">
        <v>25</v>
      </c>
      <c r="B33" s="172">
        <f ca="1">_xll.DBGET(#REF!,#REF!,#REF!,#REF!,#REF!,#REF!,$A33,#REF!,#REF!,#REF!,#REF!)</f>
        <v>253786</v>
      </c>
      <c r="C33" s="173">
        <f ca="1">_xll.DBGET(#REF!,#REF!,#REF!,#REF!,#REF!,#REF!,$A33,#REF!,#REF!,#REF!,#REF!)</f>
        <v>200.48420635810999</v>
      </c>
      <c r="D33" s="172">
        <f ca="1">_xll.DBGET(#REF!,#REF!,#REF!,#REF!,#REF!,#REF!,$A33,#REF!,#REF!,#REF!,#REF!)</f>
        <v>33848</v>
      </c>
      <c r="E33" s="173">
        <f ca="1">_xll.DBGET(#REF!,#REF!,#REF!,#REF!,#REF!,#REF!,$A33,#REF!,#REF!,#REF!,#REF!)</f>
        <v>190.52605365042001</v>
      </c>
      <c r="F33" s="172">
        <f ca="1">_xll.DBGET(#REF!,#REF!,#REF!,#REF!,#REF!,#REF!,$A33,#REF!,#REF!,#REF!,#REF!)</f>
        <v>39825</v>
      </c>
      <c r="G33" s="173">
        <f ca="1">_xll.DBGET(#REF!,#REF!,#REF!,#REF!,#REF!,#REF!,$A33,#REF!,#REF!,#REF!,#REF!)</f>
        <v>176.98486348957999</v>
      </c>
      <c r="H33" s="172">
        <f ca="1">_xll.DBGET(#REF!,#REF!,#REF!,#REF!,#REF!,#REF!,$A33,#REF!,#REF!,#REF!,#REF!)</f>
        <v>23300</v>
      </c>
      <c r="I33" s="173">
        <f ca="1">_xll.DBGET(#REF!,#REF!,#REF!,#REF!,#REF!,#REF!,$A33,#REF!,#REF!,#REF!,#REF!)</f>
        <v>166.86267689296</v>
      </c>
      <c r="J33" s="172">
        <f ca="1">_xll.DBGET(#REF!,#REF!,#REF!,#REF!,#REF!,#REF!,$A33,#REF!,#REF!,#REF!,#REF!)</f>
        <v>0</v>
      </c>
      <c r="K33" s="173">
        <f ca="1">_xll.DBGET(#REF!,#REF!,#REF!,#REF!,#REF!,#REF!,$A33,#REF!,#REF!,#REF!,#REF!)</f>
        <v>0</v>
      </c>
      <c r="L33" s="172">
        <f ca="1">_xll.DBGET(#REF!,#REF!,#REF!,#REF!,#REF!,#REF!,$A33,#REF!,#REF!,#REF!,#REF!)</f>
        <v>0</v>
      </c>
      <c r="M33" s="173">
        <f ca="1">IFERROR((_xll.DBGET(#REF!,#REF!,#REF!,#REF!,#REF!,#REF!,$A33,#REF!,#REF!,#REF!,#REF!))/L33,0)</f>
        <v>0</v>
      </c>
      <c r="N33" s="172">
        <f ca="1">_xll.DBGET(#REF!,#REF!,#REF!,#REF!,#REF!,#REF!,$A33,#REF!,#REF!,#REF!,#REF!)</f>
        <v>0</v>
      </c>
      <c r="O33" s="173">
        <f ca="1">IFERROR((_xll.DBGET(#REF!,#REF!,#REF!,#REF!,#REF!,#REF!,$A33,#REF!,#REF!,#REF!,#REF!))/N33,0)</f>
        <v>0</v>
      </c>
      <c r="P33" s="172">
        <f ca="1">_xll.DBGET(#REF!,#REF!,#REF!,#REF!,#REF!,#REF!,$A33,#REF!,#REF!,#REF!,#REF!)</f>
        <v>0</v>
      </c>
      <c r="Q33" s="173">
        <f ca="1">IFERROR((_xll.DBGET(#REF!,#REF!,#REF!,#REF!,#REF!,#REF!,$A33,#REF!,#REF!,#REF!,#REF!))/P33,0)</f>
        <v>0</v>
      </c>
      <c r="R33" s="172">
        <f ca="1">_xll.DBGET(#REF!,#REF!,#REF!,#REF!,#REF!,#REF!,$A33,#REF!,#REF!,#REF!,#REF!)</f>
        <v>0</v>
      </c>
      <c r="S33" s="173">
        <f ca="1">_xll.DBGET(#REF!,#REF!,#REF!,#REF!,#REF!,#REF!,$A33,#REF!,#REF!,#REF!,#REF!)</f>
        <v>0</v>
      </c>
    </row>
    <row r="34" spans="1:19" x14ac:dyDescent="0.2">
      <c r="A34" s="77" t="s">
        <v>26</v>
      </c>
      <c r="B34" s="172">
        <f ca="1">_xll.DBGET(#REF!,#REF!,#REF!,#REF!,#REF!,#REF!,$A34,#REF!,#REF!,#REF!,#REF!)</f>
        <v>243904</v>
      </c>
      <c r="C34" s="173">
        <f ca="1">_xll.DBGET(#REF!,#REF!,#REF!,#REF!,#REF!,#REF!,$A34,#REF!,#REF!,#REF!,#REF!)</f>
        <v>122.16265040221001</v>
      </c>
      <c r="D34" s="172">
        <f ca="1">_xll.DBGET(#REF!,#REF!,#REF!,#REF!,#REF!,#REF!,$A34,#REF!,#REF!,#REF!,#REF!)</f>
        <v>38017</v>
      </c>
      <c r="E34" s="173">
        <f ca="1">_xll.DBGET(#REF!,#REF!,#REF!,#REF!,#REF!,#REF!,$A34,#REF!,#REF!,#REF!,#REF!)</f>
        <v>153.80404127065</v>
      </c>
      <c r="F34" s="172">
        <f ca="1">_xll.DBGET(#REF!,#REF!,#REF!,#REF!,#REF!,#REF!,$A34,#REF!,#REF!,#REF!,#REF!)</f>
        <v>0</v>
      </c>
      <c r="G34" s="173">
        <f ca="1">_xll.DBGET(#REF!,#REF!,#REF!,#REF!,#REF!,#REF!,$A34,#REF!,#REF!,#REF!,#REF!)</f>
        <v>0</v>
      </c>
      <c r="H34" s="172">
        <f ca="1">_xll.DBGET(#REF!,#REF!,#REF!,#REF!,#REF!,#REF!,$A34,#REF!,#REF!,#REF!,#REF!)</f>
        <v>0</v>
      </c>
      <c r="I34" s="173">
        <f ca="1">_xll.DBGET(#REF!,#REF!,#REF!,#REF!,#REF!,#REF!,$A34,#REF!,#REF!,#REF!,#REF!)</f>
        <v>0</v>
      </c>
      <c r="J34" s="172">
        <f ca="1">_xll.DBGET(#REF!,#REF!,#REF!,#REF!,#REF!,#REF!,$A34,#REF!,#REF!,#REF!,#REF!)</f>
        <v>0</v>
      </c>
      <c r="K34" s="173">
        <f ca="1">_xll.DBGET(#REF!,#REF!,#REF!,#REF!,#REF!,#REF!,$A34,#REF!,#REF!,#REF!,#REF!)</f>
        <v>0</v>
      </c>
      <c r="L34" s="172">
        <f ca="1">_xll.DBGET(#REF!,#REF!,#REF!,#REF!,#REF!,#REF!,$A34,#REF!,#REF!,#REF!,#REF!)</f>
        <v>0</v>
      </c>
      <c r="M34" s="173">
        <f ca="1">IFERROR((_xll.DBGET(#REF!,#REF!,#REF!,#REF!,#REF!,#REF!,$A34,#REF!,#REF!,#REF!,#REF!))/L34,0)</f>
        <v>0</v>
      </c>
      <c r="N34" s="172">
        <f ca="1">_xll.DBGET(#REF!,#REF!,#REF!,#REF!,#REF!,#REF!,$A34,#REF!,#REF!,#REF!,#REF!)</f>
        <v>0</v>
      </c>
      <c r="O34" s="173">
        <f ca="1">IFERROR((_xll.DBGET(#REF!,#REF!,#REF!,#REF!,#REF!,#REF!,$A34,#REF!,#REF!,#REF!,#REF!))/N34,0)</f>
        <v>0</v>
      </c>
      <c r="P34" s="172">
        <f ca="1">_xll.DBGET(#REF!,#REF!,#REF!,#REF!,#REF!,#REF!,$A34,#REF!,#REF!,#REF!,#REF!)</f>
        <v>0</v>
      </c>
      <c r="Q34" s="173">
        <f ca="1">IFERROR((_xll.DBGET(#REF!,#REF!,#REF!,#REF!,#REF!,#REF!,$A34,#REF!,#REF!,#REF!,#REF!))/P34,0)</f>
        <v>0</v>
      </c>
      <c r="R34" s="172">
        <f ca="1">_xll.DBGET(#REF!,#REF!,#REF!,#REF!,#REF!,#REF!,$A34,#REF!,#REF!,#REF!,#REF!)</f>
        <v>0</v>
      </c>
      <c r="S34" s="173">
        <f ca="1">_xll.DBGET(#REF!,#REF!,#REF!,#REF!,#REF!,#REF!,$A34,#REF!,#REF!,#REF!,#REF!)</f>
        <v>0</v>
      </c>
    </row>
    <row r="35" spans="1:19" x14ac:dyDescent="0.2">
      <c r="A35" s="77" t="s">
        <v>27</v>
      </c>
      <c r="B35" s="172">
        <f ca="1">_xll.DBGET(#REF!,#REF!,#REF!,#REF!,#REF!,#REF!,$A35,#REF!,#REF!,#REF!,#REF!)</f>
        <v>8424</v>
      </c>
      <c r="C35" s="173">
        <f ca="1">_xll.DBGET(#REF!,#REF!,#REF!,#REF!,#REF!,#REF!,$A35,#REF!,#REF!,#REF!,#REF!)</f>
        <v>222.48682250712</v>
      </c>
      <c r="D35" s="172">
        <f ca="1">_xll.DBGET(#REF!,#REF!,#REF!,#REF!,#REF!,#REF!,$A35,#REF!,#REF!,#REF!,#REF!)</f>
        <v>4024</v>
      </c>
      <c r="E35" s="173">
        <f ca="1">_xll.DBGET(#REF!,#REF!,#REF!,#REF!,#REF!,#REF!,$A35,#REF!,#REF!,#REF!,#REF!)</f>
        <v>232.98918609662999</v>
      </c>
      <c r="F35" s="172">
        <f ca="1">_xll.DBGET(#REF!,#REF!,#REF!,#REF!,#REF!,#REF!,$A35,#REF!,#REF!,#REF!,#REF!)</f>
        <v>0</v>
      </c>
      <c r="G35" s="173">
        <f ca="1">_xll.DBGET(#REF!,#REF!,#REF!,#REF!,#REF!,#REF!,$A35,#REF!,#REF!,#REF!,#REF!)</f>
        <v>0</v>
      </c>
      <c r="H35" s="172">
        <f ca="1">_xll.DBGET(#REF!,#REF!,#REF!,#REF!,#REF!,#REF!,$A35,#REF!,#REF!,#REF!,#REF!)</f>
        <v>0</v>
      </c>
      <c r="I35" s="173">
        <f ca="1">_xll.DBGET(#REF!,#REF!,#REF!,#REF!,#REF!,#REF!,$A35,#REF!,#REF!,#REF!,#REF!)</f>
        <v>0</v>
      </c>
      <c r="J35" s="172">
        <f ca="1">_xll.DBGET(#REF!,#REF!,#REF!,#REF!,#REF!,#REF!,$A35,#REF!,#REF!,#REF!,#REF!)</f>
        <v>0</v>
      </c>
      <c r="K35" s="173">
        <f ca="1">_xll.DBGET(#REF!,#REF!,#REF!,#REF!,#REF!,#REF!,$A35,#REF!,#REF!,#REF!,#REF!)</f>
        <v>0</v>
      </c>
      <c r="L35" s="172">
        <f ca="1">_xll.DBGET(#REF!,#REF!,#REF!,#REF!,#REF!,#REF!,$A35,#REF!,#REF!,#REF!,#REF!)</f>
        <v>0</v>
      </c>
      <c r="M35" s="173">
        <f ca="1">IFERROR((_xll.DBGET(#REF!,#REF!,#REF!,#REF!,#REF!,#REF!,$A35,#REF!,#REF!,#REF!,#REF!))/L35,0)</f>
        <v>0</v>
      </c>
      <c r="N35" s="172">
        <f ca="1">_xll.DBGET(#REF!,#REF!,#REF!,#REF!,#REF!,#REF!,$A35,#REF!,#REF!,#REF!,#REF!)</f>
        <v>0</v>
      </c>
      <c r="O35" s="173">
        <f ca="1">IFERROR((_xll.DBGET(#REF!,#REF!,#REF!,#REF!,#REF!,#REF!,$A35,#REF!,#REF!,#REF!,#REF!))/N35,0)</f>
        <v>0</v>
      </c>
      <c r="P35" s="172">
        <f ca="1">_xll.DBGET(#REF!,#REF!,#REF!,#REF!,#REF!,#REF!,$A35,#REF!,#REF!,#REF!,#REF!)</f>
        <v>0</v>
      </c>
      <c r="Q35" s="173">
        <f ca="1">IFERROR((_xll.DBGET(#REF!,#REF!,#REF!,#REF!,#REF!,#REF!,$A35,#REF!,#REF!,#REF!,#REF!))/P35,0)</f>
        <v>0</v>
      </c>
      <c r="R35" s="172">
        <f ca="1">_xll.DBGET(#REF!,#REF!,#REF!,#REF!,#REF!,#REF!,$A35,#REF!,#REF!,#REF!,#REF!)</f>
        <v>0</v>
      </c>
      <c r="S35" s="173">
        <f ca="1">_xll.DBGET(#REF!,#REF!,#REF!,#REF!,#REF!,#REF!,$A35,#REF!,#REF!,#REF!,#REF!)</f>
        <v>0</v>
      </c>
    </row>
    <row r="36" spans="1:19" x14ac:dyDescent="0.2">
      <c r="A36" s="77" t="s">
        <v>28</v>
      </c>
      <c r="B36" s="172">
        <f ca="1">_xll.DBGET(#REF!,#REF!,#REF!,#REF!,#REF!,#REF!,$A36,#REF!,#REF!,#REF!,#REF!)</f>
        <v>20582</v>
      </c>
      <c r="C36" s="173">
        <f ca="1">_xll.DBGET(#REF!,#REF!,#REF!,#REF!,#REF!,#REF!,$A36,#REF!,#REF!,#REF!,#REF!)</f>
        <v>190.52565096686001</v>
      </c>
      <c r="D36" s="172">
        <f ca="1">_xll.DBGET(#REF!,#REF!,#REF!,#REF!,#REF!,#REF!,$A36,#REF!,#REF!,#REF!,#REF!)</f>
        <v>0</v>
      </c>
      <c r="E36" s="173">
        <f ca="1">_xll.DBGET(#REF!,#REF!,#REF!,#REF!,#REF!,#REF!,$A36,#REF!,#REF!,#REF!,#REF!)</f>
        <v>0</v>
      </c>
      <c r="F36" s="172">
        <f ca="1">_xll.DBGET(#REF!,#REF!,#REF!,#REF!,#REF!,#REF!,$A36,#REF!,#REF!,#REF!,#REF!)</f>
        <v>6533</v>
      </c>
      <c r="G36" s="173">
        <f ca="1">_xll.DBGET(#REF!,#REF!,#REF!,#REF!,#REF!,#REF!,$A36,#REF!,#REF!,#REF!,#REF!)</f>
        <v>198.22626099103999</v>
      </c>
      <c r="H36" s="172">
        <f ca="1">_xll.DBGET(#REF!,#REF!,#REF!,#REF!,#REF!,#REF!,$A36,#REF!,#REF!,#REF!,#REF!)</f>
        <v>10000</v>
      </c>
      <c r="I36" s="173">
        <f ca="1">_xll.DBGET(#REF!,#REF!,#REF!,#REF!,#REF!,#REF!,$A36,#REF!,#REF!,#REF!,#REF!)</f>
        <v>192.70024267801</v>
      </c>
      <c r="J36" s="172">
        <f ca="1">_xll.DBGET(#REF!,#REF!,#REF!,#REF!,#REF!,#REF!,$A36,#REF!,#REF!,#REF!,#REF!)</f>
        <v>0</v>
      </c>
      <c r="K36" s="173">
        <f ca="1">_xll.DBGET(#REF!,#REF!,#REF!,#REF!,#REF!,#REF!,$A36,#REF!,#REF!,#REF!,#REF!)</f>
        <v>0</v>
      </c>
      <c r="L36" s="172">
        <f ca="1">_xll.DBGET(#REF!,#REF!,#REF!,#REF!,#REF!,#REF!,$A36,#REF!,#REF!,#REF!,#REF!)</f>
        <v>0</v>
      </c>
      <c r="M36" s="173">
        <f ca="1">IFERROR((_xll.DBGET(#REF!,#REF!,#REF!,#REF!,#REF!,#REF!,$A36,#REF!,#REF!,#REF!,#REF!))/L36,0)</f>
        <v>0</v>
      </c>
      <c r="N36" s="172">
        <f ca="1">_xll.DBGET(#REF!,#REF!,#REF!,#REF!,#REF!,#REF!,$A36,#REF!,#REF!,#REF!,#REF!)</f>
        <v>0</v>
      </c>
      <c r="O36" s="173">
        <f ca="1">IFERROR((_xll.DBGET(#REF!,#REF!,#REF!,#REF!,#REF!,#REF!,$A36,#REF!,#REF!,#REF!,#REF!))/N36,0)</f>
        <v>0</v>
      </c>
      <c r="P36" s="172">
        <f ca="1">_xll.DBGET(#REF!,#REF!,#REF!,#REF!,#REF!,#REF!,$A36,#REF!,#REF!,#REF!,#REF!)</f>
        <v>0</v>
      </c>
      <c r="Q36" s="173">
        <f ca="1">IFERROR((_xll.DBGET(#REF!,#REF!,#REF!,#REF!,#REF!,#REF!,$A36,#REF!,#REF!,#REF!,#REF!))/P36,0)</f>
        <v>0</v>
      </c>
      <c r="R36" s="172">
        <f ca="1">_xll.DBGET(#REF!,#REF!,#REF!,#REF!,#REF!,#REF!,$A36,#REF!,#REF!,#REF!,#REF!)</f>
        <v>0</v>
      </c>
      <c r="S36" s="173">
        <f ca="1">_xll.DBGET(#REF!,#REF!,#REF!,#REF!,#REF!,#REF!,$A36,#REF!,#REF!,#REF!,#REF!)</f>
        <v>0</v>
      </c>
    </row>
    <row r="37" spans="1:19" x14ac:dyDescent="0.2">
      <c r="A37" s="77" t="s">
        <v>29</v>
      </c>
      <c r="B37" s="172">
        <f ca="1">_xll.DBGET(#REF!,#REF!,#REF!,#REF!,#REF!,#REF!,$A37,#REF!,#REF!,#REF!,#REF!)</f>
        <v>1697383</v>
      </c>
      <c r="C37" s="173">
        <f ca="1">_xll.DBGET(#REF!,#REF!,#REF!,#REF!,#REF!,#REF!,$A37,#REF!,#REF!,#REF!,#REF!)</f>
        <v>158.24922354436001</v>
      </c>
      <c r="D37" s="172">
        <f ca="1">_xll.DBGET(#REF!,#REF!,#REF!,#REF!,#REF!,#REF!,$A37,#REF!,#REF!,#REF!,#REF!)</f>
        <v>496650</v>
      </c>
      <c r="E37" s="173">
        <f ca="1">_xll.DBGET(#REF!,#REF!,#REF!,#REF!,#REF!,#REF!,$A37,#REF!,#REF!,#REF!,#REF!)</f>
        <v>153.64746543813999</v>
      </c>
      <c r="F37" s="172">
        <f ca="1">_xll.DBGET(#REF!,#REF!,#REF!,#REF!,#REF!,#REF!,$A37,#REF!,#REF!,#REF!,#REF!)</f>
        <v>423562</v>
      </c>
      <c r="G37" s="173">
        <f ca="1">_xll.DBGET(#REF!,#REF!,#REF!,#REF!,#REF!,#REF!,$A37,#REF!,#REF!,#REF!,#REF!)</f>
        <v>145.434903701</v>
      </c>
      <c r="H37" s="172">
        <f ca="1">_xll.DBGET(#REF!,#REF!,#REF!,#REF!,#REF!,#REF!,$A37,#REF!,#REF!,#REF!,#REF!)</f>
        <v>464018</v>
      </c>
      <c r="I37" s="173">
        <f ca="1">_xll.DBGET(#REF!,#REF!,#REF!,#REF!,#REF!,#REF!,$A37,#REF!,#REF!,#REF!,#REF!)</f>
        <v>138.02754777570999</v>
      </c>
      <c r="J37" s="172">
        <f ca="1">_xll.DBGET(#REF!,#REF!,#REF!,#REF!,#REF!,#REF!,$A37,#REF!,#REF!,#REF!,#REF!)</f>
        <v>0</v>
      </c>
      <c r="K37" s="173">
        <f ca="1">_xll.DBGET(#REF!,#REF!,#REF!,#REF!,#REF!,#REF!,$A37,#REF!,#REF!,#REF!,#REF!)</f>
        <v>0</v>
      </c>
      <c r="L37" s="172">
        <f ca="1">_xll.DBGET(#REF!,#REF!,#REF!,#REF!,#REF!,#REF!,$A37,#REF!,#REF!,#REF!,#REF!)</f>
        <v>0</v>
      </c>
      <c r="M37" s="173">
        <f ca="1">IFERROR((_xll.DBGET(#REF!,#REF!,#REF!,#REF!,#REF!,#REF!,$A37,#REF!,#REF!,#REF!,#REF!))/L37,0)</f>
        <v>0</v>
      </c>
      <c r="N37" s="172">
        <f ca="1">_xll.DBGET(#REF!,#REF!,#REF!,#REF!,#REF!,#REF!,$A37,#REF!,#REF!,#REF!,#REF!)</f>
        <v>0</v>
      </c>
      <c r="O37" s="173">
        <f ca="1">IFERROR((_xll.DBGET(#REF!,#REF!,#REF!,#REF!,#REF!,#REF!,$A37,#REF!,#REF!,#REF!,#REF!))/N37,0)</f>
        <v>0</v>
      </c>
      <c r="P37" s="172">
        <f ca="1">_xll.DBGET(#REF!,#REF!,#REF!,#REF!,#REF!,#REF!,$A37,#REF!,#REF!,#REF!,#REF!)</f>
        <v>0</v>
      </c>
      <c r="Q37" s="173">
        <f ca="1">IFERROR((_xll.DBGET(#REF!,#REF!,#REF!,#REF!,#REF!,#REF!,$A37,#REF!,#REF!,#REF!,#REF!))/P37,0)</f>
        <v>0</v>
      </c>
      <c r="R37" s="172">
        <f ca="1">_xll.DBGET(#REF!,#REF!,#REF!,#REF!,#REF!,#REF!,$A37,#REF!,#REF!,#REF!,#REF!)</f>
        <v>0</v>
      </c>
      <c r="S37" s="173">
        <f ca="1">_xll.DBGET(#REF!,#REF!,#REF!,#REF!,#REF!,#REF!,$A37,#REF!,#REF!,#REF!,#REF!)</f>
        <v>0</v>
      </c>
    </row>
    <row r="38" spans="1:19" x14ac:dyDescent="0.2">
      <c r="A38" s="77" t="s">
        <v>30</v>
      </c>
      <c r="B38" s="172">
        <f ca="1">_xll.DBGET(#REF!,#REF!,#REF!,#REF!,#REF!,#REF!,$A38,#REF!,#REF!,#REF!,#REF!)</f>
        <v>13029</v>
      </c>
      <c r="C38" s="173">
        <f ca="1">_xll.DBGET(#REF!,#REF!,#REF!,#REF!,#REF!,#REF!,$A38,#REF!,#REF!,#REF!,#REF!)</f>
        <v>270.42979177220002</v>
      </c>
      <c r="D38" s="172">
        <f ca="1">_xll.DBGET(#REF!,#REF!,#REF!,#REF!,#REF!,#REF!,$A38,#REF!,#REF!,#REF!,#REF!)</f>
        <v>0</v>
      </c>
      <c r="E38" s="173">
        <f ca="1">_xll.DBGET(#REF!,#REF!,#REF!,#REF!,#REF!,#REF!,$A38,#REF!,#REF!,#REF!,#REF!)</f>
        <v>0</v>
      </c>
      <c r="F38" s="172">
        <f ca="1">_xll.DBGET(#REF!,#REF!,#REF!,#REF!,#REF!,#REF!,$A38,#REF!,#REF!,#REF!,#REF!)</f>
        <v>0</v>
      </c>
      <c r="G38" s="173">
        <f ca="1">_xll.DBGET(#REF!,#REF!,#REF!,#REF!,#REF!,#REF!,$A38,#REF!,#REF!,#REF!,#REF!)</f>
        <v>0</v>
      </c>
      <c r="H38" s="172">
        <f ca="1">_xll.DBGET(#REF!,#REF!,#REF!,#REF!,#REF!,#REF!,$A38,#REF!,#REF!,#REF!,#REF!)</f>
        <v>0</v>
      </c>
      <c r="I38" s="173">
        <f ca="1">_xll.DBGET(#REF!,#REF!,#REF!,#REF!,#REF!,#REF!,$A38,#REF!,#REF!,#REF!,#REF!)</f>
        <v>0</v>
      </c>
      <c r="J38" s="172">
        <f ca="1">_xll.DBGET(#REF!,#REF!,#REF!,#REF!,#REF!,#REF!,$A38,#REF!,#REF!,#REF!,#REF!)</f>
        <v>0</v>
      </c>
      <c r="K38" s="173">
        <f ca="1">_xll.DBGET(#REF!,#REF!,#REF!,#REF!,#REF!,#REF!,$A38,#REF!,#REF!,#REF!,#REF!)</f>
        <v>0</v>
      </c>
      <c r="L38" s="172">
        <f ca="1">_xll.DBGET(#REF!,#REF!,#REF!,#REF!,#REF!,#REF!,$A38,#REF!,#REF!,#REF!,#REF!)</f>
        <v>0</v>
      </c>
      <c r="M38" s="173">
        <f ca="1">IFERROR((_xll.DBGET(#REF!,#REF!,#REF!,#REF!,#REF!,#REF!,$A38,#REF!,#REF!,#REF!,#REF!))/L38,0)</f>
        <v>0</v>
      </c>
      <c r="N38" s="172">
        <f ca="1">_xll.DBGET(#REF!,#REF!,#REF!,#REF!,#REF!,#REF!,$A38,#REF!,#REF!,#REF!,#REF!)</f>
        <v>0</v>
      </c>
      <c r="O38" s="173">
        <f ca="1">IFERROR((_xll.DBGET(#REF!,#REF!,#REF!,#REF!,#REF!,#REF!,$A38,#REF!,#REF!,#REF!,#REF!))/N38,0)</f>
        <v>0</v>
      </c>
      <c r="P38" s="172">
        <f ca="1">_xll.DBGET(#REF!,#REF!,#REF!,#REF!,#REF!,#REF!,$A38,#REF!,#REF!,#REF!,#REF!)</f>
        <v>0</v>
      </c>
      <c r="Q38" s="173">
        <f ca="1">IFERROR((_xll.DBGET(#REF!,#REF!,#REF!,#REF!,#REF!,#REF!,$A38,#REF!,#REF!,#REF!,#REF!))/P38,0)</f>
        <v>0</v>
      </c>
      <c r="R38" s="172">
        <f ca="1">_xll.DBGET(#REF!,#REF!,#REF!,#REF!,#REF!,#REF!,$A38,#REF!,#REF!,#REF!,#REF!)</f>
        <v>0</v>
      </c>
      <c r="S38" s="173">
        <f ca="1">_xll.DBGET(#REF!,#REF!,#REF!,#REF!,#REF!,#REF!,$A38,#REF!,#REF!,#REF!,#REF!)</f>
        <v>0</v>
      </c>
    </row>
    <row r="39" spans="1:19" hidden="1" outlineLevel="1" x14ac:dyDescent="0.2">
      <c r="A39" s="77" t="s">
        <v>57</v>
      </c>
      <c r="B39" s="172">
        <f ca="1">_xll.DBGET(#REF!,#REF!,#REF!,#REF!,#REF!,#REF!,$A39,#REF!,#REF!,#REF!,#REF!)</f>
        <v>0</v>
      </c>
      <c r="C39" s="173">
        <f ca="1">_xll.DBGET(#REF!,#REF!,#REF!,#REF!,#REF!,#REF!,$A39,#REF!,#REF!,#REF!,#REF!)</f>
        <v>0</v>
      </c>
      <c r="D39" s="172">
        <f ca="1">_xll.DBGET(#REF!,#REF!,#REF!,#REF!,#REF!,#REF!,$A39,#REF!,#REF!,#REF!,#REF!)</f>
        <v>0</v>
      </c>
      <c r="E39" s="173">
        <f ca="1">_xll.DBGET(#REF!,#REF!,#REF!,#REF!,#REF!,#REF!,$A39,#REF!,#REF!,#REF!,#REF!)</f>
        <v>0</v>
      </c>
      <c r="F39" s="172">
        <f ca="1">_xll.DBGET(#REF!,#REF!,#REF!,#REF!,#REF!,#REF!,$A39,#REF!,#REF!,#REF!,#REF!)</f>
        <v>0</v>
      </c>
      <c r="G39" s="173">
        <f ca="1">_xll.DBGET(#REF!,#REF!,#REF!,#REF!,#REF!,#REF!,$A39,#REF!,#REF!,#REF!,#REF!)</f>
        <v>0</v>
      </c>
      <c r="H39" s="172">
        <f ca="1">_xll.DBGET(#REF!,#REF!,#REF!,#REF!,#REF!,#REF!,$A39,#REF!,#REF!,#REF!,#REF!)</f>
        <v>0</v>
      </c>
      <c r="I39" s="173">
        <f ca="1">_xll.DBGET(#REF!,#REF!,#REF!,#REF!,#REF!,#REF!,$A39,#REF!,#REF!,#REF!,#REF!)</f>
        <v>0</v>
      </c>
      <c r="J39" s="172">
        <f ca="1">_xll.DBGET(#REF!,#REF!,#REF!,#REF!,#REF!,#REF!,$A39,#REF!,#REF!,#REF!,#REF!)</f>
        <v>0</v>
      </c>
      <c r="K39" s="173">
        <f ca="1">_xll.DBGET(#REF!,#REF!,#REF!,#REF!,#REF!,#REF!,$A39,#REF!,#REF!,#REF!,#REF!)</f>
        <v>0</v>
      </c>
      <c r="L39" s="172">
        <f ca="1">_xll.DBGET(#REF!,#REF!,#REF!,#REF!,#REF!,#REF!,$A39,#REF!,#REF!,#REF!,#REF!)</f>
        <v>0</v>
      </c>
      <c r="M39" s="173">
        <f ca="1">IFERROR((_xll.DBGET(#REF!,#REF!,#REF!,#REF!,#REF!,#REF!,$A39,#REF!,#REF!,#REF!,#REF!))/L39,0)</f>
        <v>0</v>
      </c>
      <c r="N39" s="172">
        <f ca="1">_xll.DBGET(#REF!,#REF!,#REF!,#REF!,#REF!,#REF!,$A39,#REF!,#REF!,#REF!,#REF!)</f>
        <v>0</v>
      </c>
      <c r="O39" s="173">
        <f ca="1">IFERROR((_xll.DBGET(#REF!,#REF!,#REF!,#REF!,#REF!,#REF!,$A39,#REF!,#REF!,#REF!,#REF!))/N39,0)</f>
        <v>0</v>
      </c>
      <c r="P39" s="172">
        <f ca="1">_xll.DBGET(#REF!,#REF!,#REF!,#REF!,#REF!,#REF!,$A39,#REF!,#REF!,#REF!,#REF!)</f>
        <v>0</v>
      </c>
      <c r="Q39" s="173">
        <f ca="1">IFERROR((_xll.DBGET(#REF!,#REF!,#REF!,#REF!,#REF!,#REF!,$A39,#REF!,#REF!,#REF!,#REF!))/P39,0)</f>
        <v>0</v>
      </c>
      <c r="R39" s="172">
        <f ca="1">_xll.DBGET(#REF!,#REF!,#REF!,#REF!,#REF!,#REF!,$A39,#REF!,#REF!,#REF!,#REF!)</f>
        <v>0</v>
      </c>
      <c r="S39" s="173">
        <f ca="1">_xll.DBGET(#REF!,#REF!,#REF!,#REF!,#REF!,#REF!,$A39,#REF!,#REF!,#REF!,#REF!)</f>
        <v>0</v>
      </c>
    </row>
    <row r="40" spans="1:19" collapsed="1" x14ac:dyDescent="0.2">
      <c r="A40" s="77" t="s">
        <v>31</v>
      </c>
      <c r="B40" s="172">
        <f ca="1">_xll.DBGET(#REF!,#REF!,#REF!,#REF!,#REF!,#REF!,$A40,#REF!,#REF!,#REF!,#REF!)</f>
        <v>122716</v>
      </c>
      <c r="C40" s="173">
        <f ca="1">_xll.DBGET(#REF!,#REF!,#REF!,#REF!,#REF!,#REF!,$A40,#REF!,#REF!,#REF!,#REF!)</f>
        <v>217.15250749860999</v>
      </c>
      <c r="D40" s="172">
        <f ca="1">_xll.DBGET(#REF!,#REF!,#REF!,#REF!,#REF!,#REF!,$A40,#REF!,#REF!,#REF!,#REF!)</f>
        <v>15011</v>
      </c>
      <c r="E40" s="173">
        <f ca="1">_xll.DBGET(#REF!,#REF!,#REF!,#REF!,#REF!,#REF!,$A40,#REF!,#REF!,#REF!,#REF!)</f>
        <v>202.42890140540001</v>
      </c>
      <c r="F40" s="172">
        <f ca="1">_xll.DBGET(#REF!,#REF!,#REF!,#REF!,#REF!,#REF!,$A40,#REF!,#REF!,#REF!,#REF!)</f>
        <v>29940</v>
      </c>
      <c r="G40" s="173">
        <f ca="1">_xll.DBGET(#REF!,#REF!,#REF!,#REF!,#REF!,#REF!,$A40,#REF!,#REF!,#REF!,#REF!)</f>
        <v>204.46493456497001</v>
      </c>
      <c r="H40" s="172">
        <f ca="1">_xll.DBGET(#REF!,#REF!,#REF!,#REF!,#REF!,#REF!,$A40,#REF!,#REF!,#REF!,#REF!)</f>
        <v>20000</v>
      </c>
      <c r="I40" s="173">
        <f ca="1">_xll.DBGET(#REF!,#REF!,#REF!,#REF!,#REF!,#REF!,$A40,#REF!,#REF!,#REF!,#REF!)</f>
        <v>174.64586679224001</v>
      </c>
      <c r="J40" s="172">
        <f ca="1">_xll.DBGET(#REF!,#REF!,#REF!,#REF!,#REF!,#REF!,$A40,#REF!,#REF!,#REF!,#REF!)</f>
        <v>0</v>
      </c>
      <c r="K40" s="173">
        <f ca="1">_xll.DBGET(#REF!,#REF!,#REF!,#REF!,#REF!,#REF!,$A40,#REF!,#REF!,#REF!,#REF!)</f>
        <v>0</v>
      </c>
      <c r="L40" s="172">
        <f ca="1">_xll.DBGET(#REF!,#REF!,#REF!,#REF!,#REF!,#REF!,$A40,#REF!,#REF!,#REF!,#REF!)</f>
        <v>0</v>
      </c>
      <c r="M40" s="173">
        <f ca="1">IFERROR((_xll.DBGET(#REF!,#REF!,#REF!,#REF!,#REF!,#REF!,$A40,#REF!,#REF!,#REF!,#REF!))/L40,0)</f>
        <v>0</v>
      </c>
      <c r="N40" s="172">
        <f ca="1">_xll.DBGET(#REF!,#REF!,#REF!,#REF!,#REF!,#REF!,$A40,#REF!,#REF!,#REF!,#REF!)</f>
        <v>0</v>
      </c>
      <c r="O40" s="173">
        <f ca="1">IFERROR((_xll.DBGET(#REF!,#REF!,#REF!,#REF!,#REF!,#REF!,$A40,#REF!,#REF!,#REF!,#REF!))/N40,0)</f>
        <v>0</v>
      </c>
      <c r="P40" s="172">
        <f ca="1">_xll.DBGET(#REF!,#REF!,#REF!,#REF!,#REF!,#REF!,$A40,#REF!,#REF!,#REF!,#REF!)</f>
        <v>0</v>
      </c>
      <c r="Q40" s="173">
        <f ca="1">IFERROR((_xll.DBGET(#REF!,#REF!,#REF!,#REF!,#REF!,#REF!,$A40,#REF!,#REF!,#REF!,#REF!))/P40,0)</f>
        <v>0</v>
      </c>
      <c r="R40" s="172">
        <f ca="1">_xll.DBGET(#REF!,#REF!,#REF!,#REF!,#REF!,#REF!,$A40,#REF!,#REF!,#REF!,#REF!)</f>
        <v>0</v>
      </c>
      <c r="S40" s="173">
        <f ca="1">_xll.DBGET(#REF!,#REF!,#REF!,#REF!,#REF!,#REF!,$A40,#REF!,#REF!,#REF!,#REF!)</f>
        <v>0</v>
      </c>
    </row>
    <row r="41" spans="1:19" x14ac:dyDescent="0.2">
      <c r="A41" s="77" t="s">
        <v>32</v>
      </c>
      <c r="B41" s="172">
        <f ca="1">_xll.DBGET(#REF!,#REF!,#REF!,#REF!,#REF!,#REF!,$A41,#REF!,#REF!,#REF!,#REF!)</f>
        <v>40089</v>
      </c>
      <c r="C41" s="173">
        <f ca="1">_xll.DBGET(#REF!,#REF!,#REF!,#REF!,#REF!,#REF!,$A41,#REF!,#REF!,#REF!,#REF!)</f>
        <v>238.13988328719</v>
      </c>
      <c r="D41" s="172">
        <f ca="1">_xll.DBGET(#REF!,#REF!,#REF!,#REF!,#REF!,#REF!,$A41,#REF!,#REF!,#REF!,#REF!)</f>
        <v>15281</v>
      </c>
      <c r="E41" s="173">
        <f ca="1">_xll.DBGET(#REF!,#REF!,#REF!,#REF!,#REF!,#REF!,$A41,#REF!,#REF!,#REF!,#REF!)</f>
        <v>224.71002532181001</v>
      </c>
      <c r="F41" s="172">
        <f ca="1">_xll.DBGET(#REF!,#REF!,#REF!,#REF!,#REF!,#REF!,$A41,#REF!,#REF!,#REF!,#REF!)</f>
        <v>6810</v>
      </c>
      <c r="G41" s="173">
        <f ca="1">_xll.DBGET(#REF!,#REF!,#REF!,#REF!,#REF!,#REF!,$A41,#REF!,#REF!,#REF!,#REF!)</f>
        <v>220.44828782613001</v>
      </c>
      <c r="H41" s="172">
        <f ca="1">_xll.DBGET(#REF!,#REF!,#REF!,#REF!,#REF!,#REF!,$A41,#REF!,#REF!,#REF!,#REF!)</f>
        <v>8400</v>
      </c>
      <c r="I41" s="173">
        <f ca="1">_xll.DBGET(#REF!,#REF!,#REF!,#REF!,#REF!,#REF!,$A41,#REF!,#REF!,#REF!,#REF!)</f>
        <v>197.5918091332</v>
      </c>
      <c r="J41" s="172">
        <f ca="1">_xll.DBGET(#REF!,#REF!,#REF!,#REF!,#REF!,#REF!,$A41,#REF!,#REF!,#REF!,#REF!)</f>
        <v>0</v>
      </c>
      <c r="K41" s="173">
        <f ca="1">_xll.DBGET(#REF!,#REF!,#REF!,#REF!,#REF!,#REF!,$A41,#REF!,#REF!,#REF!,#REF!)</f>
        <v>0</v>
      </c>
      <c r="L41" s="172">
        <f ca="1">_xll.DBGET(#REF!,#REF!,#REF!,#REF!,#REF!,#REF!,$A41,#REF!,#REF!,#REF!,#REF!)</f>
        <v>0</v>
      </c>
      <c r="M41" s="173">
        <f ca="1">IFERROR((_xll.DBGET(#REF!,#REF!,#REF!,#REF!,#REF!,#REF!,$A41,#REF!,#REF!,#REF!,#REF!))/L41,0)</f>
        <v>0</v>
      </c>
      <c r="N41" s="172">
        <f ca="1">_xll.DBGET(#REF!,#REF!,#REF!,#REF!,#REF!,#REF!,$A41,#REF!,#REF!,#REF!,#REF!)</f>
        <v>0</v>
      </c>
      <c r="O41" s="173">
        <f ca="1">IFERROR((_xll.DBGET(#REF!,#REF!,#REF!,#REF!,#REF!,#REF!,$A41,#REF!,#REF!,#REF!,#REF!))/N41,0)</f>
        <v>0</v>
      </c>
      <c r="P41" s="172">
        <f ca="1">_xll.DBGET(#REF!,#REF!,#REF!,#REF!,#REF!,#REF!,$A41,#REF!,#REF!,#REF!,#REF!)</f>
        <v>0</v>
      </c>
      <c r="Q41" s="173">
        <f ca="1">IFERROR((_xll.DBGET(#REF!,#REF!,#REF!,#REF!,#REF!,#REF!,$A41,#REF!,#REF!,#REF!,#REF!))/P41,0)</f>
        <v>0</v>
      </c>
      <c r="R41" s="172">
        <f ca="1">_xll.DBGET(#REF!,#REF!,#REF!,#REF!,#REF!,#REF!,$A41,#REF!,#REF!,#REF!,#REF!)</f>
        <v>0</v>
      </c>
      <c r="S41" s="173">
        <f ca="1">_xll.DBGET(#REF!,#REF!,#REF!,#REF!,#REF!,#REF!,$A41,#REF!,#REF!,#REF!,#REF!)</f>
        <v>0</v>
      </c>
    </row>
    <row r="42" spans="1:19" x14ac:dyDescent="0.2">
      <c r="A42" s="77" t="s">
        <v>33</v>
      </c>
      <c r="B42" s="172">
        <f ca="1">_xll.DBGET(#REF!,#REF!,#REF!,#REF!,#REF!,#REF!,$A42,#REF!,#REF!,#REF!,#REF!)</f>
        <v>74301</v>
      </c>
      <c r="C42" s="173">
        <f ca="1">_xll.DBGET(#REF!,#REF!,#REF!,#REF!,#REF!,#REF!,$A42,#REF!,#REF!,#REF!,#REF!)</f>
        <v>222.21304403843999</v>
      </c>
      <c r="D42" s="172">
        <f ca="1">_xll.DBGET(#REF!,#REF!,#REF!,#REF!,#REF!,#REF!,$A42,#REF!,#REF!,#REF!,#REF!)</f>
        <v>17490</v>
      </c>
      <c r="E42" s="173">
        <f ca="1">_xll.DBGET(#REF!,#REF!,#REF!,#REF!,#REF!,#REF!,$A42,#REF!,#REF!,#REF!,#REF!)</f>
        <v>207.71842599947001</v>
      </c>
      <c r="F42" s="172">
        <f ca="1">_xll.DBGET(#REF!,#REF!,#REF!,#REF!,#REF!,#REF!,$A42,#REF!,#REF!,#REF!,#REF!)</f>
        <v>33509</v>
      </c>
      <c r="G42" s="173">
        <f ca="1">_xll.DBGET(#REF!,#REF!,#REF!,#REF!,#REF!,#REF!,$A42,#REF!,#REF!,#REF!,#REF!)</f>
        <v>201.39697112759001</v>
      </c>
      <c r="H42" s="172">
        <f ca="1">_xll.DBGET(#REF!,#REF!,#REF!,#REF!,#REF!,#REF!,$A42,#REF!,#REF!,#REF!,#REF!)</f>
        <v>0</v>
      </c>
      <c r="I42" s="173">
        <f ca="1">_xll.DBGET(#REF!,#REF!,#REF!,#REF!,#REF!,#REF!,$A42,#REF!,#REF!,#REF!,#REF!)</f>
        <v>0</v>
      </c>
      <c r="J42" s="172">
        <f ca="1">_xll.DBGET(#REF!,#REF!,#REF!,#REF!,#REF!,#REF!,$A42,#REF!,#REF!,#REF!,#REF!)</f>
        <v>0</v>
      </c>
      <c r="K42" s="173">
        <f ca="1">_xll.DBGET(#REF!,#REF!,#REF!,#REF!,#REF!,#REF!,$A42,#REF!,#REF!,#REF!,#REF!)</f>
        <v>0</v>
      </c>
      <c r="L42" s="172">
        <f ca="1">_xll.DBGET(#REF!,#REF!,#REF!,#REF!,#REF!,#REF!,$A42,#REF!,#REF!,#REF!,#REF!)</f>
        <v>0</v>
      </c>
      <c r="M42" s="173">
        <f ca="1">IFERROR((_xll.DBGET(#REF!,#REF!,#REF!,#REF!,#REF!,#REF!,$A42,#REF!,#REF!,#REF!,#REF!))/L42,0)</f>
        <v>0</v>
      </c>
      <c r="N42" s="172">
        <f ca="1">_xll.DBGET(#REF!,#REF!,#REF!,#REF!,#REF!,#REF!,$A42,#REF!,#REF!,#REF!,#REF!)</f>
        <v>0</v>
      </c>
      <c r="O42" s="173">
        <f ca="1">IFERROR((_xll.DBGET(#REF!,#REF!,#REF!,#REF!,#REF!,#REF!,$A42,#REF!,#REF!,#REF!,#REF!))/N42,0)</f>
        <v>0</v>
      </c>
      <c r="P42" s="172">
        <f ca="1">_xll.DBGET(#REF!,#REF!,#REF!,#REF!,#REF!,#REF!,$A42,#REF!,#REF!,#REF!,#REF!)</f>
        <v>0</v>
      </c>
      <c r="Q42" s="173">
        <f ca="1">IFERROR((_xll.DBGET(#REF!,#REF!,#REF!,#REF!,#REF!,#REF!,$A42,#REF!,#REF!,#REF!,#REF!))/P42,0)</f>
        <v>0</v>
      </c>
      <c r="R42" s="172">
        <f ca="1">_xll.DBGET(#REF!,#REF!,#REF!,#REF!,#REF!,#REF!,$A42,#REF!,#REF!,#REF!,#REF!)</f>
        <v>0</v>
      </c>
      <c r="S42" s="173">
        <f ca="1">_xll.DBGET(#REF!,#REF!,#REF!,#REF!,#REF!,#REF!,$A42,#REF!,#REF!,#REF!,#REF!)</f>
        <v>0</v>
      </c>
    </row>
    <row r="43" spans="1:19" x14ac:dyDescent="0.2">
      <c r="A43" s="77" t="s">
        <v>34</v>
      </c>
      <c r="B43" s="172">
        <f ca="1">_xll.DBGET(#REF!,#REF!,#REF!,#REF!,#REF!,#REF!,$A43,#REF!,#REF!,#REF!,#REF!)</f>
        <v>145663.69</v>
      </c>
      <c r="C43" s="173">
        <f ca="1">_xll.DBGET(#REF!,#REF!,#REF!,#REF!,#REF!,#REF!,$A43,#REF!,#REF!,#REF!,#REF!)</f>
        <v>218.32043082528</v>
      </c>
      <c r="D43" s="172">
        <f ca="1">_xll.DBGET(#REF!,#REF!,#REF!,#REF!,#REF!,#REF!,$A43,#REF!,#REF!,#REF!,#REF!)</f>
        <v>42990.68</v>
      </c>
      <c r="E43" s="173">
        <f ca="1">_xll.DBGET(#REF!,#REF!,#REF!,#REF!,#REF!,#REF!,$A43,#REF!,#REF!,#REF!,#REF!)</f>
        <v>186.83327933856</v>
      </c>
      <c r="F43" s="172">
        <f ca="1">_xll.DBGET(#REF!,#REF!,#REF!,#REF!,#REF!,#REF!,$A43,#REF!,#REF!,#REF!,#REF!)</f>
        <v>38985</v>
      </c>
      <c r="G43" s="173">
        <f ca="1">_xll.DBGET(#REF!,#REF!,#REF!,#REF!,#REF!,#REF!,$A43,#REF!,#REF!,#REF!,#REF!)</f>
        <v>192.83173464449001</v>
      </c>
      <c r="H43" s="172">
        <f ca="1">_xll.DBGET(#REF!,#REF!,#REF!,#REF!,#REF!,#REF!,$A43,#REF!,#REF!,#REF!,#REF!)</f>
        <v>43850</v>
      </c>
      <c r="I43" s="173">
        <f ca="1">_xll.DBGET(#REF!,#REF!,#REF!,#REF!,#REF!,#REF!,$A43,#REF!,#REF!,#REF!,#REF!)</f>
        <v>189.89863388034999</v>
      </c>
      <c r="J43" s="172">
        <f ca="1">_xll.DBGET(#REF!,#REF!,#REF!,#REF!,#REF!,#REF!,$A43,#REF!,#REF!,#REF!,#REF!)</f>
        <v>0</v>
      </c>
      <c r="K43" s="173">
        <f ca="1">_xll.DBGET(#REF!,#REF!,#REF!,#REF!,#REF!,#REF!,$A43,#REF!,#REF!,#REF!,#REF!)</f>
        <v>0</v>
      </c>
      <c r="L43" s="172">
        <f ca="1">_xll.DBGET(#REF!,#REF!,#REF!,#REF!,#REF!,#REF!,$A43,#REF!,#REF!,#REF!,#REF!)</f>
        <v>0</v>
      </c>
      <c r="M43" s="173">
        <f ca="1">IFERROR((_xll.DBGET(#REF!,#REF!,#REF!,#REF!,#REF!,#REF!,$A43,#REF!,#REF!,#REF!,#REF!))/L43,0)</f>
        <v>0</v>
      </c>
      <c r="N43" s="172">
        <f ca="1">_xll.DBGET(#REF!,#REF!,#REF!,#REF!,#REF!,#REF!,$A43,#REF!,#REF!,#REF!,#REF!)</f>
        <v>0</v>
      </c>
      <c r="O43" s="173">
        <f ca="1">IFERROR((_xll.DBGET(#REF!,#REF!,#REF!,#REF!,#REF!,#REF!,$A43,#REF!,#REF!,#REF!,#REF!))/N43,0)</f>
        <v>0</v>
      </c>
      <c r="P43" s="172">
        <f ca="1">_xll.DBGET(#REF!,#REF!,#REF!,#REF!,#REF!,#REF!,$A43,#REF!,#REF!,#REF!,#REF!)</f>
        <v>0</v>
      </c>
      <c r="Q43" s="173">
        <f ca="1">IFERROR((_xll.DBGET(#REF!,#REF!,#REF!,#REF!,#REF!,#REF!,$A43,#REF!,#REF!,#REF!,#REF!))/P43,0)</f>
        <v>0</v>
      </c>
      <c r="R43" s="172">
        <f ca="1">_xll.DBGET(#REF!,#REF!,#REF!,#REF!,#REF!,#REF!,$A43,#REF!,#REF!,#REF!,#REF!)</f>
        <v>0</v>
      </c>
      <c r="S43" s="173">
        <f ca="1">_xll.DBGET(#REF!,#REF!,#REF!,#REF!,#REF!,#REF!,$A43,#REF!,#REF!,#REF!,#REF!)</f>
        <v>0</v>
      </c>
    </row>
    <row r="44" spans="1:19" hidden="1" outlineLevel="1" x14ac:dyDescent="0.2">
      <c r="A44" s="77" t="s">
        <v>58</v>
      </c>
      <c r="B44" s="172">
        <f ca="1">_xll.DBGET(#REF!,#REF!,#REF!,#REF!,#REF!,#REF!,$A44,#REF!,#REF!,#REF!,#REF!)</f>
        <v>0</v>
      </c>
      <c r="C44" s="173">
        <f ca="1">_xll.DBGET(#REF!,#REF!,#REF!,#REF!,#REF!,#REF!,$A44,#REF!,#REF!,#REF!,#REF!)</f>
        <v>0</v>
      </c>
      <c r="D44" s="172">
        <f ca="1">_xll.DBGET(#REF!,#REF!,#REF!,#REF!,#REF!,#REF!,$A44,#REF!,#REF!,#REF!,#REF!)</f>
        <v>0</v>
      </c>
      <c r="E44" s="173">
        <f ca="1">_xll.DBGET(#REF!,#REF!,#REF!,#REF!,#REF!,#REF!,$A44,#REF!,#REF!,#REF!,#REF!)</f>
        <v>0</v>
      </c>
      <c r="F44" s="172">
        <f ca="1">_xll.DBGET(#REF!,#REF!,#REF!,#REF!,#REF!,#REF!,$A44,#REF!,#REF!,#REF!,#REF!)</f>
        <v>0</v>
      </c>
      <c r="G44" s="173">
        <f ca="1">_xll.DBGET(#REF!,#REF!,#REF!,#REF!,#REF!,#REF!,$A44,#REF!,#REF!,#REF!,#REF!)</f>
        <v>0</v>
      </c>
      <c r="H44" s="172">
        <f ca="1">_xll.DBGET(#REF!,#REF!,#REF!,#REF!,#REF!,#REF!,$A44,#REF!,#REF!,#REF!,#REF!)</f>
        <v>0</v>
      </c>
      <c r="I44" s="173">
        <f ca="1">_xll.DBGET(#REF!,#REF!,#REF!,#REF!,#REF!,#REF!,$A44,#REF!,#REF!,#REF!,#REF!)</f>
        <v>0</v>
      </c>
      <c r="J44" s="172">
        <f ca="1">_xll.DBGET(#REF!,#REF!,#REF!,#REF!,#REF!,#REF!,$A44,#REF!,#REF!,#REF!,#REF!)</f>
        <v>0</v>
      </c>
      <c r="K44" s="173">
        <f ca="1">_xll.DBGET(#REF!,#REF!,#REF!,#REF!,#REF!,#REF!,$A44,#REF!,#REF!,#REF!,#REF!)</f>
        <v>0</v>
      </c>
      <c r="L44" s="172">
        <f ca="1">_xll.DBGET(#REF!,#REF!,#REF!,#REF!,#REF!,#REF!,$A44,#REF!,#REF!,#REF!,#REF!)-J44</f>
        <v>0</v>
      </c>
      <c r="M44" s="173">
        <f ca="1">IFERROR((_xll.DBGET(#REF!,#REF!,#REF!,#REF!,#REF!,#REF!,$A44,#REF!,#REF!,#REF!,#REF!)-(J44*K44))/L44,0)</f>
        <v>0</v>
      </c>
      <c r="N44" s="172">
        <f ca="1">_xll.DBGET(#REF!,#REF!,#REF!,#REF!,#REF!,#REF!,$A44,#REF!,#REF!,#REF!,#REF!)-J44-L44</f>
        <v>0</v>
      </c>
      <c r="O44" s="173">
        <f ca="1">IFERROR((_xll.DBGET(#REF!,#REF!,#REF!,#REF!,#REF!,#REF!,$A44,#REF!,#REF!,#REF!,#REF!)-(J44*K44)-(L44*M44))/N44,0)</f>
        <v>0</v>
      </c>
      <c r="P44" s="172">
        <f ca="1">_xll.DBGET(#REF!,#REF!,#REF!,#REF!,#REF!,#REF!,$A44,#REF!,#REF!,#REF!,#REF!)-J44-L44-N44</f>
        <v>0</v>
      </c>
      <c r="Q44" s="173">
        <f ca="1">IFERROR((_xll.DBGET(#REF!,#REF!,#REF!,#REF!,#REF!,#REF!,$A44,#REF!,#REF!,#REF!,#REF!)-(J44*K44)-(L44*M44)-(N44*O44))/P44,0)</f>
        <v>0</v>
      </c>
      <c r="R44" s="172">
        <f ca="1">_xll.DBGET(#REF!,#REF!,#REF!,#REF!,#REF!,#REF!,$A44,#REF!,#REF!,#REF!,#REF!)</f>
        <v>0</v>
      </c>
      <c r="S44" s="173">
        <f ca="1">_xll.DBGET(#REF!,#REF!,#REF!,#REF!,#REF!,#REF!,$A44,#REF!,#REF!,#REF!,#REF!)</f>
        <v>0</v>
      </c>
    </row>
    <row r="45" spans="1:19" collapsed="1" x14ac:dyDescent="0.2">
      <c r="A45" s="77" t="s">
        <v>35</v>
      </c>
      <c r="B45" s="172">
        <f ca="1">_xll.DBGET(#REF!,#REF!,#REF!,#REF!,#REF!,#REF!,$A45,#REF!,#REF!,#REF!,#REF!)</f>
        <v>72</v>
      </c>
      <c r="C45" s="173">
        <f ca="1">_xll.DBGET(#REF!,#REF!,#REF!,#REF!,#REF!,#REF!,$A45,#REF!,#REF!,#REF!,#REF!)</f>
        <v>787.57052638889002</v>
      </c>
      <c r="D45" s="172">
        <f ca="1">_xll.DBGET(#REF!,#REF!,#REF!,#REF!,#REF!,#REF!,$A45,#REF!,#REF!,#REF!,#REF!)</f>
        <v>0</v>
      </c>
      <c r="E45" s="173">
        <f ca="1">_xll.DBGET(#REF!,#REF!,#REF!,#REF!,#REF!,#REF!,$A45,#REF!,#REF!,#REF!,#REF!)</f>
        <v>0</v>
      </c>
      <c r="F45" s="172">
        <f ca="1">_xll.DBGET(#REF!,#REF!,#REF!,#REF!,#REF!,#REF!,$A45,#REF!,#REF!,#REF!,#REF!)</f>
        <v>36</v>
      </c>
      <c r="G45" s="173">
        <f ca="1">_xll.DBGET(#REF!,#REF!,#REF!,#REF!,#REF!,#REF!,$A45,#REF!,#REF!,#REF!,#REF!)</f>
        <v>828.34990000000005</v>
      </c>
      <c r="H45" s="172">
        <f ca="1">_xll.DBGET(#REF!,#REF!,#REF!,#REF!,#REF!,#REF!,$A45,#REF!,#REF!,#REF!,#REF!)</f>
        <v>0</v>
      </c>
      <c r="I45" s="173">
        <f ca="1">_xll.DBGET(#REF!,#REF!,#REF!,#REF!,#REF!,#REF!,$A45,#REF!,#REF!,#REF!,#REF!)</f>
        <v>0</v>
      </c>
      <c r="J45" s="172">
        <f ca="1">_xll.DBGET(#REF!,#REF!,#REF!,#REF!,#REF!,#REF!,$A45,#REF!,#REF!,#REF!,#REF!)</f>
        <v>0</v>
      </c>
      <c r="K45" s="173">
        <f ca="1">_xll.DBGET(#REF!,#REF!,#REF!,#REF!,#REF!,#REF!,$A45,#REF!,#REF!,#REF!,#REF!)</f>
        <v>0</v>
      </c>
      <c r="L45" s="172">
        <f ca="1">_xll.DBGET(#REF!,#REF!,#REF!,#REF!,#REF!,#REF!,$A45,#REF!,#REF!,#REF!,#REF!)</f>
        <v>0</v>
      </c>
      <c r="M45" s="173">
        <f ca="1">IFERROR((_xll.DBGET(#REF!,#REF!,#REF!,#REF!,#REF!,#REF!,$A45,#REF!,#REF!,#REF!,#REF!))/L45,0)</f>
        <v>0</v>
      </c>
      <c r="N45" s="172">
        <f ca="1">_xll.DBGET(#REF!,#REF!,#REF!,#REF!,#REF!,#REF!,$A45,#REF!,#REF!,#REF!,#REF!)</f>
        <v>0</v>
      </c>
      <c r="O45" s="173">
        <f ca="1">IFERROR((_xll.DBGET(#REF!,#REF!,#REF!,#REF!,#REF!,#REF!,$A45,#REF!,#REF!,#REF!,#REF!))/N45,0)</f>
        <v>0</v>
      </c>
      <c r="P45" s="172">
        <f ca="1">_xll.DBGET(#REF!,#REF!,#REF!,#REF!,#REF!,#REF!,$A45,#REF!,#REF!,#REF!,#REF!)</f>
        <v>0</v>
      </c>
      <c r="Q45" s="173">
        <f ca="1">IFERROR((_xll.DBGET(#REF!,#REF!,#REF!,#REF!,#REF!,#REF!,$A45,#REF!,#REF!,#REF!,#REF!))/P45,0)</f>
        <v>0</v>
      </c>
      <c r="R45" s="172">
        <f ca="1">_xll.DBGET(#REF!,#REF!,#REF!,#REF!,#REF!,#REF!,$A45,#REF!,#REF!,#REF!,#REF!)</f>
        <v>0</v>
      </c>
      <c r="S45" s="173">
        <f ca="1">_xll.DBGET(#REF!,#REF!,#REF!,#REF!,#REF!,#REF!,$A45,#REF!,#REF!,#REF!,#REF!)</f>
        <v>0</v>
      </c>
    </row>
    <row r="46" spans="1:19" hidden="1" outlineLevel="1" x14ac:dyDescent="0.2">
      <c r="A46" s="77" t="s">
        <v>59</v>
      </c>
      <c r="B46" s="79">
        <f ca="1">_xll.DBGET(#REF!,#REF!,#REF!,#REF!,#REF!,#REF!,$A46,#REF!,#REF!,#REF!,#REF!)</f>
        <v>0</v>
      </c>
      <c r="C46" s="78">
        <f ca="1">_xll.DBGET(#REF!,#REF!,#REF!,#REF!,#REF!,#REF!,$A46,#REF!,#REF!,#REF!,#REF!)</f>
        <v>0</v>
      </c>
      <c r="D46" s="79">
        <f ca="1">_xll.DBGET(#REF!,#REF!,#REF!,#REF!,#REF!,#REF!,$A46,#REF!,#REF!,#REF!,#REF!)</f>
        <v>0</v>
      </c>
      <c r="E46" s="78">
        <f ca="1">_xll.DBGET(#REF!,#REF!,#REF!,#REF!,#REF!,#REF!,$A46,#REF!,#REF!,#REF!,#REF!)</f>
        <v>0</v>
      </c>
      <c r="F46" s="79">
        <f ca="1">_xll.DBGET(#REF!,#REF!,#REF!,#REF!,#REF!,#REF!,$A46,#REF!,#REF!,#REF!,#REF!)</f>
        <v>0</v>
      </c>
      <c r="G46" s="78">
        <f ca="1">_xll.DBGET(#REF!,#REF!,#REF!,#REF!,#REF!,#REF!,$A46,#REF!,#REF!,#REF!,#REF!)</f>
        <v>0</v>
      </c>
      <c r="H46" s="79">
        <f ca="1">_xll.DBGET(#REF!,#REF!,#REF!,#REF!,#REF!,#REF!,$A46,#REF!,#REF!,#REF!,#REF!)</f>
        <v>0</v>
      </c>
      <c r="I46" s="78">
        <f ca="1">_xll.DBGET(#REF!,#REF!,#REF!,#REF!,#REF!,#REF!,$A46,#REF!,#REF!,#REF!,#REF!)</f>
        <v>0</v>
      </c>
      <c r="J46" s="79">
        <f ca="1">_xll.DBGET(#REF!,#REF!,#REF!,#REF!,#REF!,#REF!,$A46,#REF!,#REF!,#REF!,#REF!)</f>
        <v>0</v>
      </c>
      <c r="K46" s="78">
        <f ca="1">_xll.DBGET(#REF!,#REF!,#REF!,#REF!,#REF!,#REF!,$A46,#REF!,#REF!,#REF!,#REF!)</f>
        <v>0</v>
      </c>
      <c r="L46" s="79">
        <f ca="1">_xll.DBGET(#REF!,#REF!,#REF!,#REF!,#REF!,#REF!,$A46,#REF!,#REF!,#REF!,#REF!)-J46</f>
        <v>0</v>
      </c>
      <c r="M46" s="78">
        <f ca="1">IFERROR((_xll.DBGET(#REF!,#REF!,#REF!,#REF!,#REF!,#REF!,$A46,#REF!,#REF!,#REF!,#REF!)-(J46*K46))/L46,0)</f>
        <v>0</v>
      </c>
      <c r="N46" s="79">
        <f ca="1">_xll.DBGET(#REF!,#REF!,#REF!,#REF!,#REF!,#REF!,$A46,#REF!,#REF!,#REF!,#REF!)-J46-L46</f>
        <v>0</v>
      </c>
      <c r="O46" s="78">
        <f ca="1">IFERROR((_xll.DBGET(#REF!,#REF!,#REF!,#REF!,#REF!,#REF!,$A46,#REF!,#REF!,#REF!,#REF!)-(J46*K46)-(L46*M46))/N46,0)</f>
        <v>0</v>
      </c>
      <c r="P46" s="79">
        <f ca="1">_xll.DBGET(#REF!,#REF!,#REF!,#REF!,#REF!,#REF!,$A46,#REF!,#REF!,#REF!,#REF!)-J46-L46-N46</f>
        <v>0</v>
      </c>
      <c r="Q46" s="78">
        <f ca="1">IFERROR((_xll.DBGET(#REF!,#REF!,#REF!,#REF!,#REF!,#REF!,$A46,#REF!,#REF!,#REF!,#REF!)-(J46*K46)-(L46*M46)-(N46*O46))/P46,0)</f>
        <v>0</v>
      </c>
      <c r="R46" s="79">
        <f ca="1">_xll.DBGET(#REF!,#REF!,#REF!,#REF!,#REF!,#REF!,$A46,#REF!,#REF!,#REF!,#REF!)</f>
        <v>0</v>
      </c>
      <c r="S46" s="76">
        <f ca="1">_xll.DBGET(#REF!,#REF!,#REF!,#REF!,#REF!,#REF!,$A46,#REF!,#REF!,#REF!,#REF!)</f>
        <v>0</v>
      </c>
    </row>
    <row r="47" spans="1:19" collapsed="1" x14ac:dyDescent="0.2">
      <c r="B47" s="80"/>
      <c r="C47" s="81"/>
      <c r="D47" s="80"/>
      <c r="E47" s="81"/>
      <c r="F47" s="80"/>
      <c r="G47" s="81"/>
      <c r="H47" s="80"/>
      <c r="I47" s="81"/>
      <c r="J47" s="80"/>
      <c r="K47" s="81"/>
      <c r="L47" s="80"/>
      <c r="M47" s="81"/>
      <c r="N47" s="80"/>
      <c r="O47" s="81"/>
      <c r="P47" s="80"/>
      <c r="Q47" s="81"/>
      <c r="R47" s="80"/>
      <c r="S47" s="81"/>
    </row>
    <row r="48" spans="1:19" ht="37.5" customHeight="1" x14ac:dyDescent="0.35">
      <c r="A48" s="121"/>
      <c r="B48" s="221" t="str">
        <f ca="1">CONCATENATE(#REF!,"
 Forecast")</f>
        <v>Sep-20
 Forecast</v>
      </c>
      <c r="C48" s="221"/>
    </row>
    <row r="49" spans="1:3" ht="18" x14ac:dyDescent="0.35">
      <c r="A49" s="122"/>
      <c r="B49" s="123" t="s">
        <v>0</v>
      </c>
      <c r="C49" s="124" t="s">
        <v>61</v>
      </c>
    </row>
    <row r="50" spans="1:3" x14ac:dyDescent="0.2">
      <c r="A50" s="11" t="s">
        <v>7</v>
      </c>
      <c r="B50" s="170">
        <f ca="1">_xll.DBGET(#REF!,#REF!,#REF!,#REF!,#REF!,#REF!,$A50,#REF!,#REF!,#REF!,#REF!)</f>
        <v>1113721</v>
      </c>
      <c r="C50" s="171">
        <f ca="1">_xll.DBGET(#REF!,#REF!,#REF!,#REF!,#REF!,#REF!,$A50,#REF!,#REF!,#REF!,#REF!)</f>
        <v>156.37791915974</v>
      </c>
    </row>
    <row r="51" spans="1:3" x14ac:dyDescent="0.2">
      <c r="A51" s="13" t="s">
        <v>8</v>
      </c>
      <c r="B51" s="165">
        <f ca="1">_xll.DBGET(#REF!,#REF!,#REF!,#REF!,#REF!,#REF!,$A51,#REF!,#REF!,#REF!,#REF!)</f>
        <v>468450</v>
      </c>
      <c r="C51" s="166">
        <f ca="1">_xll.DBGET(#REF!,#REF!,#REF!,#REF!,#REF!,#REF!,$A51,#REF!,#REF!,#REF!,#REF!)</f>
        <v>150.32563825317001</v>
      </c>
    </row>
    <row r="52" spans="1:3" hidden="1" outlineLevel="1" x14ac:dyDescent="0.2">
      <c r="A52" s="77" t="s">
        <v>36</v>
      </c>
      <c r="B52" s="172">
        <f ca="1">_xll.DBGET(#REF!,#REF!,#REF!,#REF!,#REF!,#REF!,$A52,#REF!,#REF!,#REF!,#REF!)</f>
        <v>0</v>
      </c>
      <c r="C52" s="173">
        <f ca="1">_xll.DBGET(#REF!,#REF!,#REF!,#REF!,#REF!,#REF!,$A52,#REF!,#REF!,#REF!,#REF!)</f>
        <v>0</v>
      </c>
    </row>
    <row r="53" spans="1:3" hidden="1" outlineLevel="1" x14ac:dyDescent="0.2">
      <c r="A53" s="77" t="s">
        <v>37</v>
      </c>
      <c r="B53" s="172">
        <f ca="1">_xll.DBGET(#REF!,#REF!,#REF!,#REF!,#REF!,#REF!,$A53,#REF!,#REF!,#REF!,#REF!)</f>
        <v>0</v>
      </c>
      <c r="C53" s="173">
        <f ca="1">_xll.DBGET(#REF!,#REF!,#REF!,#REF!,#REF!,#REF!,$A53,#REF!,#REF!,#REF!,#REF!)</f>
        <v>0</v>
      </c>
    </row>
    <row r="54" spans="1:3" hidden="1" outlineLevel="1" x14ac:dyDescent="0.2">
      <c r="A54" s="77" t="s">
        <v>38</v>
      </c>
      <c r="B54" s="172">
        <f ca="1">_xll.DBGET(#REF!,#REF!,#REF!,#REF!,#REF!,#REF!,$A54,#REF!,#REF!,#REF!,#REF!)</f>
        <v>0</v>
      </c>
      <c r="C54" s="173">
        <f ca="1">_xll.DBGET(#REF!,#REF!,#REF!,#REF!,#REF!,#REF!,$A54,#REF!,#REF!,#REF!,#REF!)</f>
        <v>0</v>
      </c>
    </row>
    <row r="55" spans="1:3" hidden="1" outlineLevel="1" x14ac:dyDescent="0.2">
      <c r="A55" s="77" t="s">
        <v>39</v>
      </c>
      <c r="B55" s="172">
        <f ca="1">_xll.DBGET(#REF!,#REF!,#REF!,#REF!,#REF!,#REF!,$A55,#REF!,#REF!,#REF!,#REF!)</f>
        <v>0</v>
      </c>
      <c r="C55" s="173">
        <f ca="1">_xll.DBGET(#REF!,#REF!,#REF!,#REF!,#REF!,#REF!,$A55,#REF!,#REF!,#REF!,#REF!)</f>
        <v>0</v>
      </c>
    </row>
    <row r="56" spans="1:3" collapsed="1" x14ac:dyDescent="0.2">
      <c r="A56" s="77" t="s">
        <v>40</v>
      </c>
      <c r="B56" s="172">
        <f ca="1">_xll.DBGET(#REF!,#REF!,#REF!,#REF!,#REF!,#REF!,$A56,#REF!,#REF!,#REF!,#REF!)</f>
        <v>0</v>
      </c>
      <c r="C56" s="173">
        <f ca="1">_xll.DBGET(#REF!,#REF!,#REF!,#REF!,#REF!,#REF!,$A56,#REF!,#REF!,#REF!,#REF!)</f>
        <v>0</v>
      </c>
    </row>
    <row r="57" spans="1:3" hidden="1" outlineLevel="1" x14ac:dyDescent="0.2">
      <c r="A57" s="77" t="s">
        <v>41</v>
      </c>
      <c r="B57" s="172">
        <f ca="1">_xll.DBGET(#REF!,#REF!,#REF!,#REF!,#REF!,#REF!,$A57,#REF!,#REF!,#REF!,#REF!)</f>
        <v>0</v>
      </c>
      <c r="C57" s="173">
        <f ca="1">_xll.DBGET(#REF!,#REF!,#REF!,#REF!,#REF!,#REF!,$A57,#REF!,#REF!,#REF!,#REF!)</f>
        <v>0</v>
      </c>
    </row>
    <row r="58" spans="1:3" collapsed="1" x14ac:dyDescent="0.2">
      <c r="A58" s="77" t="s">
        <v>20</v>
      </c>
      <c r="B58" s="172">
        <f ca="1">_xll.DBGET(#REF!,#REF!,#REF!,#REF!,#REF!,#REF!,$A58,#REF!,#REF!,#REF!,#REF!)</f>
        <v>255450</v>
      </c>
      <c r="C58" s="173">
        <f ca="1">_xll.DBGET(#REF!,#REF!,#REF!,#REF!,#REF!,#REF!,$A58,#REF!,#REF!,#REF!,#REF!)</f>
        <v>150.81137054899</v>
      </c>
    </row>
    <row r="59" spans="1:3" x14ac:dyDescent="0.2">
      <c r="A59" s="77" t="s">
        <v>21</v>
      </c>
      <c r="B59" s="172">
        <f ca="1">_xll.DBGET(#REF!,#REF!,#REF!,#REF!,#REF!,#REF!,$A59,#REF!,#REF!,#REF!,#REF!)</f>
        <v>30000</v>
      </c>
      <c r="C59" s="173">
        <f ca="1">_xll.DBGET(#REF!,#REF!,#REF!,#REF!,#REF!,#REF!,$A59,#REF!,#REF!,#REF!,#REF!)</f>
        <v>142.38082755212</v>
      </c>
    </row>
    <row r="60" spans="1:3" x14ac:dyDescent="0.2">
      <c r="A60" s="77" t="s">
        <v>22</v>
      </c>
      <c r="B60" s="172">
        <f ca="1">_xll.DBGET(#REF!,#REF!,#REF!,#REF!,#REF!,#REF!,$A60,#REF!,#REF!,#REF!,#REF!)</f>
        <v>41500</v>
      </c>
      <c r="C60" s="173">
        <f ca="1">_xll.DBGET(#REF!,#REF!,#REF!,#REF!,#REF!,#REF!,$A60,#REF!,#REF!,#REF!,#REF!)</f>
        <v>157.59366281735001</v>
      </c>
    </row>
    <row r="61" spans="1:3" x14ac:dyDescent="0.2">
      <c r="A61" s="77" t="s">
        <v>23</v>
      </c>
      <c r="B61" s="172">
        <f ca="1">_xll.DBGET(#REF!,#REF!,#REF!,#REF!,#REF!,#REF!,$A61,#REF!,#REF!,#REF!,#REF!)</f>
        <v>105400</v>
      </c>
      <c r="C61" s="173">
        <f ca="1">_xll.DBGET(#REF!,#REF!,#REF!,#REF!,#REF!,#REF!,$A61,#REF!,#REF!,#REF!,#REF!)</f>
        <v>144.27079021499</v>
      </c>
    </row>
    <row r="62" spans="1:3" x14ac:dyDescent="0.2">
      <c r="A62" s="77" t="s">
        <v>24</v>
      </c>
      <c r="B62" s="172">
        <f ca="1">_xll.DBGET(#REF!,#REF!,#REF!,#REF!,#REF!,#REF!,$A62,#REF!,#REF!,#REF!,#REF!)</f>
        <v>36100</v>
      </c>
      <c r="C62" s="173">
        <f ca="1">_xll.DBGET(#REF!,#REF!,#REF!,#REF!,#REF!,#REF!,$A62,#REF!,#REF!,#REF!,#REF!)</f>
        <v>162.81378146307</v>
      </c>
    </row>
    <row r="63" spans="1:3" x14ac:dyDescent="0.2">
      <c r="A63" s="13" t="s">
        <v>9</v>
      </c>
      <c r="B63" s="165">
        <f ca="1">_xll.DBGET(#REF!,#REF!,#REF!,#REF!,#REF!,#REF!,$A63,#REF!,#REF!,#REF!,#REF!)</f>
        <v>645271</v>
      </c>
      <c r="C63" s="166">
        <f ca="1">_xll.DBGET(#REF!,#REF!,#REF!,#REF!,#REF!,#REF!,$A63,#REF!,#REF!,#REF!,#REF!)</f>
        <v>160.77171802980001</v>
      </c>
    </row>
    <row r="64" spans="1:3" x14ac:dyDescent="0.2">
      <c r="A64" s="77" t="s">
        <v>42</v>
      </c>
      <c r="B64" s="172">
        <f ca="1">_xll.DBGET(#REF!,#REF!,#REF!,#REF!,#REF!,#REF!,$A64,#REF!,#REF!,#REF!,#REF!)</f>
        <v>10000</v>
      </c>
      <c r="C64" s="173">
        <f ca="1">_xll.DBGET(#REF!,#REF!,#REF!,#REF!,#REF!,#REF!,$A64,#REF!,#REF!,#REF!,#REF!)</f>
        <v>131.70138612164001</v>
      </c>
    </row>
    <row r="65" spans="1:3" hidden="1" outlineLevel="1" x14ac:dyDescent="0.2">
      <c r="A65" s="77" t="s">
        <v>43</v>
      </c>
      <c r="B65" s="172">
        <f ca="1">_xll.DBGET(#REF!,#REF!,#REF!,#REF!,#REF!,#REF!,$A65,#REF!,#REF!,#REF!,#REF!)</f>
        <v>0</v>
      </c>
      <c r="C65" s="173">
        <f ca="1">_xll.DBGET(#REF!,#REF!,#REF!,#REF!,#REF!,#REF!,$A65,#REF!,#REF!,#REF!,#REF!)</f>
        <v>0</v>
      </c>
    </row>
    <row r="66" spans="1:3" hidden="1" outlineLevel="1" x14ac:dyDescent="0.2">
      <c r="A66" s="77" t="s">
        <v>44</v>
      </c>
      <c r="B66" s="172">
        <f ca="1">_xll.DBGET(#REF!,#REF!,#REF!,#REF!,#REF!,#REF!,$A66,#REF!,#REF!,#REF!,#REF!)</f>
        <v>0</v>
      </c>
      <c r="C66" s="173">
        <f ca="1">_xll.DBGET(#REF!,#REF!,#REF!,#REF!,#REF!,#REF!,$A66,#REF!,#REF!,#REF!,#REF!)</f>
        <v>0</v>
      </c>
    </row>
    <row r="67" spans="1:3" hidden="1" outlineLevel="1" x14ac:dyDescent="0.2">
      <c r="A67" s="77" t="s">
        <v>45</v>
      </c>
      <c r="B67" s="172">
        <f ca="1">_xll.DBGET(#REF!,#REF!,#REF!,#REF!,#REF!,#REF!,$A67,#REF!,#REF!,#REF!,#REF!)</f>
        <v>0</v>
      </c>
      <c r="C67" s="173">
        <f ca="1">_xll.DBGET(#REF!,#REF!,#REF!,#REF!,#REF!,#REF!,$A67,#REF!,#REF!,#REF!,#REF!)</f>
        <v>0</v>
      </c>
    </row>
    <row r="68" spans="1:3" hidden="1" outlineLevel="1" x14ac:dyDescent="0.2">
      <c r="A68" s="77" t="s">
        <v>46</v>
      </c>
      <c r="B68" s="172">
        <f ca="1">_xll.DBGET(#REF!,#REF!,#REF!,#REF!,#REF!,#REF!,$A68,#REF!,#REF!,#REF!,#REF!)</f>
        <v>0</v>
      </c>
      <c r="C68" s="173">
        <f ca="1">_xll.DBGET(#REF!,#REF!,#REF!,#REF!,#REF!,#REF!,$A68,#REF!,#REF!,#REF!,#REF!)</f>
        <v>0</v>
      </c>
    </row>
    <row r="69" spans="1:3" hidden="1" outlineLevel="1" x14ac:dyDescent="0.2">
      <c r="A69" s="77" t="s">
        <v>47</v>
      </c>
      <c r="B69" s="172">
        <f ca="1">_xll.DBGET(#REF!,#REF!,#REF!,#REF!,#REF!,#REF!,$A69,#REF!,#REF!,#REF!,#REF!)</f>
        <v>0</v>
      </c>
      <c r="C69" s="173">
        <f ca="1">_xll.DBGET(#REF!,#REF!,#REF!,#REF!,#REF!,#REF!,$A69,#REF!,#REF!,#REF!,#REF!)</f>
        <v>0</v>
      </c>
    </row>
    <row r="70" spans="1:3" hidden="1" outlineLevel="1" x14ac:dyDescent="0.2">
      <c r="A70" s="77" t="s">
        <v>48</v>
      </c>
      <c r="B70" s="172">
        <f ca="1">_xll.DBGET(#REF!,#REF!,#REF!,#REF!,#REF!,#REF!,$A70,#REF!,#REF!,#REF!,#REF!)</f>
        <v>0</v>
      </c>
      <c r="C70" s="173">
        <f ca="1">_xll.DBGET(#REF!,#REF!,#REF!,#REF!,#REF!,#REF!,$A70,#REF!,#REF!,#REF!,#REF!)</f>
        <v>0</v>
      </c>
    </row>
    <row r="71" spans="1:3" hidden="1" outlineLevel="1" x14ac:dyDescent="0.2">
      <c r="A71" s="77" t="s">
        <v>49</v>
      </c>
      <c r="B71" s="172">
        <f ca="1">_xll.DBGET(#REF!,#REF!,#REF!,#REF!,#REF!,#REF!,$A71,#REF!,#REF!,#REF!,#REF!)</f>
        <v>0</v>
      </c>
      <c r="C71" s="173">
        <f ca="1">_xll.DBGET(#REF!,#REF!,#REF!,#REF!,#REF!,#REF!,$A71,#REF!,#REF!,#REF!,#REF!)</f>
        <v>0</v>
      </c>
    </row>
    <row r="72" spans="1:3" hidden="1" outlineLevel="1" x14ac:dyDescent="0.2">
      <c r="A72" s="77" t="s">
        <v>50</v>
      </c>
      <c r="B72" s="172">
        <f ca="1">_xll.DBGET(#REF!,#REF!,#REF!,#REF!,#REF!,#REF!,$A72,#REF!,#REF!,#REF!,#REF!)</f>
        <v>0</v>
      </c>
      <c r="C72" s="173">
        <f ca="1">_xll.DBGET(#REF!,#REF!,#REF!,#REF!,#REF!,#REF!,$A72,#REF!,#REF!,#REF!,#REF!)</f>
        <v>0</v>
      </c>
    </row>
    <row r="73" spans="1:3" hidden="1" outlineLevel="1" x14ac:dyDescent="0.2">
      <c r="A73" s="77" t="s">
        <v>51</v>
      </c>
      <c r="B73" s="172">
        <f ca="1">_xll.DBGET(#REF!,#REF!,#REF!,#REF!,#REF!,#REF!,$A73,#REF!,#REF!,#REF!,#REF!)</f>
        <v>0</v>
      </c>
      <c r="C73" s="173">
        <f ca="1">_xll.DBGET(#REF!,#REF!,#REF!,#REF!,#REF!,#REF!,$A73,#REF!,#REF!,#REF!,#REF!)</f>
        <v>0</v>
      </c>
    </row>
    <row r="74" spans="1:3" hidden="1" outlineLevel="1" x14ac:dyDescent="0.2">
      <c r="A74" s="77" t="s">
        <v>52</v>
      </c>
      <c r="B74" s="172">
        <f ca="1">_xll.DBGET(#REF!,#REF!,#REF!,#REF!,#REF!,#REF!,$A74,#REF!,#REF!,#REF!,#REF!)</f>
        <v>0</v>
      </c>
      <c r="C74" s="173">
        <f ca="1">_xll.DBGET(#REF!,#REF!,#REF!,#REF!,#REF!,#REF!,$A74,#REF!,#REF!,#REF!,#REF!)</f>
        <v>0</v>
      </c>
    </row>
    <row r="75" spans="1:3" hidden="1" outlineLevel="1" x14ac:dyDescent="0.2">
      <c r="A75" s="77" t="s">
        <v>53</v>
      </c>
      <c r="B75" s="172">
        <f ca="1">_xll.DBGET(#REF!,#REF!,#REF!,#REF!,#REF!,#REF!,$A75,#REF!,#REF!,#REF!,#REF!)</f>
        <v>0</v>
      </c>
      <c r="C75" s="173">
        <f ca="1">_xll.DBGET(#REF!,#REF!,#REF!,#REF!,#REF!,#REF!,$A75,#REF!,#REF!,#REF!,#REF!)</f>
        <v>0</v>
      </c>
    </row>
    <row r="76" spans="1:3" hidden="1" outlineLevel="1" x14ac:dyDescent="0.2">
      <c r="A76" s="77" t="s">
        <v>54</v>
      </c>
      <c r="B76" s="172">
        <f ca="1">_xll.DBGET(#REF!,#REF!,#REF!,#REF!,#REF!,#REF!,$A76,#REF!,#REF!,#REF!,#REF!)</f>
        <v>0</v>
      </c>
      <c r="C76" s="173">
        <f ca="1">_xll.DBGET(#REF!,#REF!,#REF!,#REF!,#REF!,#REF!,$A76,#REF!,#REF!,#REF!,#REF!)</f>
        <v>0</v>
      </c>
    </row>
    <row r="77" spans="1:3" hidden="1" outlineLevel="1" x14ac:dyDescent="0.2">
      <c r="A77" s="77" t="s">
        <v>55</v>
      </c>
      <c r="B77" s="172">
        <f ca="1">_xll.DBGET(#REF!,#REF!,#REF!,#REF!,#REF!,#REF!,$A77,#REF!,#REF!,#REF!,#REF!)</f>
        <v>0</v>
      </c>
      <c r="C77" s="173">
        <f ca="1">_xll.DBGET(#REF!,#REF!,#REF!,#REF!,#REF!,#REF!,$A77,#REF!,#REF!,#REF!,#REF!)</f>
        <v>0</v>
      </c>
    </row>
    <row r="78" spans="1:3" hidden="1" outlineLevel="1" x14ac:dyDescent="0.2">
      <c r="A78" s="77" t="s">
        <v>56</v>
      </c>
      <c r="B78" s="172">
        <f ca="1">_xll.DBGET(#REF!,#REF!,#REF!,#REF!,#REF!,#REF!,$A78,#REF!,#REF!,#REF!,#REF!)</f>
        <v>0</v>
      </c>
      <c r="C78" s="173">
        <f ca="1">_xll.DBGET(#REF!,#REF!,#REF!,#REF!,#REF!,#REF!,$A78,#REF!,#REF!,#REF!,#REF!)</f>
        <v>0</v>
      </c>
    </row>
    <row r="79" spans="1:3" collapsed="1" x14ac:dyDescent="0.2">
      <c r="A79" s="77" t="s">
        <v>25</v>
      </c>
      <c r="B79" s="172">
        <f ca="1">_xll.DBGET(#REF!,#REF!,#REF!,#REF!,#REF!,#REF!,$A79,#REF!,#REF!,#REF!,#REF!)</f>
        <v>95750</v>
      </c>
      <c r="C79" s="173">
        <f ca="1">_xll.DBGET(#REF!,#REF!,#REF!,#REF!,#REF!,#REF!,$A79,#REF!,#REF!,#REF!,#REF!)</f>
        <v>164.72604006281</v>
      </c>
    </row>
    <row r="80" spans="1:3" x14ac:dyDescent="0.2">
      <c r="A80" s="77" t="s">
        <v>26</v>
      </c>
      <c r="B80" s="172">
        <f ca="1">_xll.DBGET(#REF!,#REF!,#REF!,#REF!,#REF!,#REF!,$A80,#REF!,#REF!,#REF!,#REF!)</f>
        <v>0</v>
      </c>
      <c r="C80" s="173">
        <f ca="1">_xll.DBGET(#REF!,#REF!,#REF!,#REF!,#REF!,#REF!,$A80,#REF!,#REF!,#REF!,#REF!)</f>
        <v>0</v>
      </c>
    </row>
    <row r="81" spans="1:3" x14ac:dyDescent="0.2">
      <c r="A81" s="77" t="s">
        <v>27</v>
      </c>
      <c r="B81" s="172">
        <f ca="1">_xll.DBGET(#REF!,#REF!,#REF!,#REF!,#REF!,#REF!,$A81,#REF!,#REF!,#REF!,#REF!)</f>
        <v>0</v>
      </c>
      <c r="C81" s="173">
        <f ca="1">_xll.DBGET(#REF!,#REF!,#REF!,#REF!,#REF!,#REF!,$A81,#REF!,#REF!,#REF!,#REF!)</f>
        <v>0</v>
      </c>
    </row>
    <row r="82" spans="1:3" x14ac:dyDescent="0.2">
      <c r="A82" s="77" t="s">
        <v>28</v>
      </c>
      <c r="B82" s="172">
        <f ca="1">_xll.DBGET(#REF!,#REF!,#REF!,#REF!,#REF!,#REF!,$A82,#REF!,#REF!,#REF!,#REF!)</f>
        <v>0</v>
      </c>
      <c r="C82" s="173">
        <f ca="1">_xll.DBGET(#REF!,#REF!,#REF!,#REF!,#REF!,#REF!,$A82,#REF!,#REF!,#REF!,#REF!)</f>
        <v>0</v>
      </c>
    </row>
    <row r="83" spans="1:3" x14ac:dyDescent="0.2">
      <c r="A83" s="77" t="s">
        <v>29</v>
      </c>
      <c r="B83" s="172">
        <f ca="1">_xll.DBGET(#REF!,#REF!,#REF!,#REF!,#REF!,#REF!,$A83,#REF!,#REF!,#REF!,#REF!)</f>
        <v>435185</v>
      </c>
      <c r="C83" s="173">
        <f ca="1">_xll.DBGET(#REF!,#REF!,#REF!,#REF!,#REF!,#REF!,$A83,#REF!,#REF!,#REF!,#REF!)</f>
        <v>149.4792233979</v>
      </c>
    </row>
    <row r="84" spans="1:3" x14ac:dyDescent="0.2">
      <c r="A84" s="77" t="s">
        <v>30</v>
      </c>
      <c r="B84" s="172">
        <f ca="1">_xll.DBGET(#REF!,#REF!,#REF!,#REF!,#REF!,#REF!,$A84,#REF!,#REF!,#REF!,#REF!)</f>
        <v>6600</v>
      </c>
      <c r="C84" s="173">
        <f ca="1">_xll.DBGET(#REF!,#REF!,#REF!,#REF!,#REF!,#REF!,$A84,#REF!,#REF!,#REF!,#REF!)</f>
        <v>234.19976219163999</v>
      </c>
    </row>
    <row r="85" spans="1:3" hidden="1" outlineLevel="1" x14ac:dyDescent="0.2">
      <c r="A85" s="77" t="s">
        <v>57</v>
      </c>
      <c r="B85" s="172">
        <f ca="1">_xll.DBGET(#REF!,#REF!,#REF!,#REF!,#REF!,#REF!,$A85,#REF!,#REF!,#REF!,#REF!)</f>
        <v>0</v>
      </c>
      <c r="C85" s="173">
        <f ca="1">_xll.DBGET(#REF!,#REF!,#REF!,#REF!,#REF!,#REF!,$A85,#REF!,#REF!,#REF!,#REF!)</f>
        <v>0</v>
      </c>
    </row>
    <row r="86" spans="1:3" collapsed="1" x14ac:dyDescent="0.2">
      <c r="A86" s="77" t="s">
        <v>31</v>
      </c>
      <c r="B86" s="172">
        <f ca="1">_xll.DBGET(#REF!,#REF!,#REF!,#REF!,#REF!,#REF!,$A86,#REF!,#REF!,#REF!,#REF!)</f>
        <v>21700</v>
      </c>
      <c r="C86" s="173">
        <f ca="1">_xll.DBGET(#REF!,#REF!,#REF!,#REF!,#REF!,#REF!,$A86,#REF!,#REF!,#REF!,#REF!)</f>
        <v>186.73800517781001</v>
      </c>
    </row>
    <row r="87" spans="1:3" x14ac:dyDescent="0.2">
      <c r="A87" s="77" t="s">
        <v>32</v>
      </c>
      <c r="B87" s="172">
        <f ca="1">_xll.DBGET(#REF!,#REF!,#REF!,#REF!,#REF!,#REF!,$A87,#REF!,#REF!,#REF!,#REF!)</f>
        <v>13500</v>
      </c>
      <c r="C87" s="173">
        <f ca="1">_xll.DBGET(#REF!,#REF!,#REF!,#REF!,#REF!,#REF!,$A87,#REF!,#REF!,#REF!,#REF!)</f>
        <v>189.54024404348999</v>
      </c>
    </row>
    <row r="88" spans="1:3" x14ac:dyDescent="0.2">
      <c r="A88" s="77" t="s">
        <v>33</v>
      </c>
      <c r="B88" s="172">
        <f ca="1">_xll.DBGET(#REF!,#REF!,#REF!,#REF!,#REF!,#REF!,$A88,#REF!,#REF!,#REF!,#REF!)</f>
        <v>20500</v>
      </c>
      <c r="C88" s="173">
        <f ca="1">_xll.DBGET(#REF!,#REF!,#REF!,#REF!,#REF!,#REF!,$A88,#REF!,#REF!,#REF!,#REF!)</f>
        <v>227.93861536237</v>
      </c>
    </row>
    <row r="89" spans="1:3" x14ac:dyDescent="0.2">
      <c r="A89" s="77" t="s">
        <v>34</v>
      </c>
      <c r="B89" s="172">
        <f ca="1">_xll.DBGET(#REF!,#REF!,#REF!,#REF!,#REF!,#REF!,$A89,#REF!,#REF!,#REF!,#REF!)</f>
        <v>42000</v>
      </c>
      <c r="C89" s="173">
        <f ca="1">_xll.DBGET(#REF!,#REF!,#REF!,#REF!,#REF!,#REF!,$A89,#REF!,#REF!,#REF!,#REF!)</f>
        <v>208.12839533387</v>
      </c>
    </row>
    <row r="90" spans="1:3" hidden="1" outlineLevel="1" x14ac:dyDescent="0.2">
      <c r="A90" s="77" t="s">
        <v>58</v>
      </c>
      <c r="B90" s="172">
        <f ca="1">_xll.DBGET(#REF!,#REF!,#REF!,#REF!,#REF!,#REF!,$A90,#REF!,#REF!,#REF!,#REF!)</f>
        <v>0</v>
      </c>
      <c r="C90" s="173">
        <f ca="1">_xll.DBGET(#REF!,#REF!,#REF!,#REF!,#REF!,#REF!,$A90,#REF!,#REF!,#REF!,#REF!)</f>
        <v>0</v>
      </c>
    </row>
    <row r="91" spans="1:3" collapsed="1" x14ac:dyDescent="0.2">
      <c r="A91" s="77" t="s">
        <v>35</v>
      </c>
      <c r="B91" s="172">
        <f ca="1">_xll.DBGET(#REF!,#REF!,#REF!,#REF!,#REF!,#REF!,$A91,#REF!,#REF!,#REF!,#REF!)</f>
        <v>36</v>
      </c>
      <c r="C91" s="173">
        <f ca="1">_xll.DBGET(#REF!,#REF!,#REF!,#REF!,#REF!,#REF!,$A91,#REF!,#REF!,#REF!,#REF!)</f>
        <v>828.29380000000003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  <pageSetUpPr fitToPage="1"/>
  </sheetPr>
  <dimension ref="A1:V60"/>
  <sheetViews>
    <sheetView view="pageBreakPreview" zoomScale="60" zoomScaleNormal="100" workbookViewId="0">
      <selection activeCell="I30" sqref="I30"/>
    </sheetView>
  </sheetViews>
  <sheetFormatPr baseColWidth="10" defaultColWidth="9.1640625" defaultRowHeight="15" outlineLevelRow="1" outlineLevelCol="1" x14ac:dyDescent="0.2"/>
  <cols>
    <col min="1" max="1" width="25.83203125" style="22" customWidth="1"/>
    <col min="2" max="2" width="12.6640625" style="22" hidden="1" customWidth="1" outlineLevel="1"/>
    <col min="3" max="3" width="12.6640625" style="22" customWidth="1" collapsed="1"/>
    <col min="4" max="5" width="12.6640625" style="22" customWidth="1"/>
    <col min="6" max="6" width="12.6640625" style="99" customWidth="1"/>
    <col min="7" max="9" width="12.6640625" style="22" customWidth="1"/>
    <col min="10" max="11" width="12.6640625" style="99" customWidth="1"/>
    <col min="12" max="14" width="12.6640625" style="22" customWidth="1"/>
    <col min="15" max="15" width="12.6640625" style="99" customWidth="1"/>
    <col min="16" max="18" width="12.6640625" style="22" hidden="1" customWidth="1" outlineLevel="1"/>
    <col min="19" max="20" width="12.6640625" style="99" hidden="1" customWidth="1" outlineLevel="1"/>
    <col min="21" max="21" width="14.6640625" style="22" customWidth="1" collapsed="1"/>
    <col min="22" max="22" width="10.5" style="22" bestFit="1" customWidth="1"/>
    <col min="23" max="16384" width="9.1640625" style="22"/>
  </cols>
  <sheetData>
    <row r="1" spans="1:22" ht="27" x14ac:dyDescent="0.45">
      <c r="A1" s="217" t="s">
        <v>137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</row>
    <row r="2" spans="1:22" ht="38" x14ac:dyDescent="0.35">
      <c r="A2" s="133"/>
      <c r="B2" s="134"/>
      <c r="C2" s="135">
        <v>43466</v>
      </c>
      <c r="D2" s="135">
        <v>43497</v>
      </c>
      <c r="E2" s="135">
        <v>43525</v>
      </c>
      <c r="F2" s="159" t="s">
        <v>141</v>
      </c>
      <c r="G2" s="135">
        <v>43556</v>
      </c>
      <c r="H2" s="135">
        <v>43586</v>
      </c>
      <c r="I2" s="135">
        <v>43617</v>
      </c>
      <c r="J2" s="159" t="s">
        <v>142</v>
      </c>
      <c r="K2" s="196" t="s">
        <v>143</v>
      </c>
      <c r="L2" s="135">
        <v>43647</v>
      </c>
      <c r="M2" s="135">
        <v>43678</v>
      </c>
      <c r="N2" s="135">
        <v>43709</v>
      </c>
      <c r="O2" s="159" t="s">
        <v>144</v>
      </c>
      <c r="P2" s="135">
        <v>43739</v>
      </c>
      <c r="Q2" s="135">
        <v>43770</v>
      </c>
      <c r="R2" s="135">
        <v>43800</v>
      </c>
      <c r="S2" s="145" t="s">
        <v>145</v>
      </c>
      <c r="T2" s="145" t="s">
        <v>146</v>
      </c>
      <c r="U2" s="196" t="s">
        <v>157</v>
      </c>
    </row>
    <row r="3" spans="1:22" s="91" customFormat="1" hidden="1" outlineLevel="1" x14ac:dyDescent="0.2">
      <c r="A3" s="136"/>
      <c r="B3" s="89"/>
      <c r="C3" s="93" t="s">
        <v>69</v>
      </c>
      <c r="D3" s="93" t="s">
        <v>66</v>
      </c>
      <c r="E3" s="93" t="s">
        <v>68</v>
      </c>
      <c r="F3" s="154"/>
      <c r="G3" s="93" t="s">
        <v>67</v>
      </c>
      <c r="H3" s="93" t="s">
        <v>123</v>
      </c>
      <c r="I3" s="93" t="s">
        <v>124</v>
      </c>
      <c r="J3" s="154"/>
      <c r="K3" s="197"/>
      <c r="L3" s="150" t="s">
        <v>125</v>
      </c>
      <c r="M3" s="93" t="s">
        <v>126</v>
      </c>
      <c r="N3" s="93" t="s">
        <v>127</v>
      </c>
      <c r="O3" s="154"/>
      <c r="P3" s="93" t="s">
        <v>128</v>
      </c>
      <c r="Q3" s="93" t="s">
        <v>129</v>
      </c>
      <c r="R3" s="109" t="s">
        <v>130</v>
      </c>
      <c r="S3" s="146"/>
      <c r="T3" s="146"/>
      <c r="U3" s="197" t="s">
        <v>70</v>
      </c>
    </row>
    <row r="4" spans="1:22" collapsed="1" x14ac:dyDescent="0.2">
      <c r="A4" s="137" t="s">
        <v>107</v>
      </c>
      <c r="B4" s="11"/>
      <c r="C4" s="12">
        <f ca="1">SUM(C5,C9,C12,C15,C18)</f>
        <v>1181690.31</v>
      </c>
      <c r="D4" s="12">
        <f ca="1">SUM(D5,D9,D12,D15,D18)</f>
        <v>906871.27</v>
      </c>
      <c r="E4" s="12">
        <f t="shared" ref="E4:R4" ca="1" si="0">SUM(E5,E9,E12,E15,E18)</f>
        <v>986140.72</v>
      </c>
      <c r="F4" s="160">
        <f ca="1">SUM(C4:E4)</f>
        <v>3074702.3</v>
      </c>
      <c r="G4" s="12">
        <f t="shared" ca="1" si="0"/>
        <v>1205536.33</v>
      </c>
      <c r="H4" s="12">
        <f t="shared" ca="1" si="0"/>
        <v>1371924.24</v>
      </c>
      <c r="I4" s="12">
        <f t="shared" ca="1" si="0"/>
        <v>1223823.96</v>
      </c>
      <c r="J4" s="160">
        <f t="shared" ref="J4:J19" ca="1" si="1">SUM(G4:I4)</f>
        <v>3801284.5300000003</v>
      </c>
      <c r="K4" s="198">
        <f ca="1">SUM(F4,J4)</f>
        <v>6875986.8300000001</v>
      </c>
      <c r="L4" s="12">
        <f ca="1">SUM(L5,L9,L12,L15,L18)</f>
        <v>1087338.17</v>
      </c>
      <c r="M4" s="12">
        <f t="shared" ca="1" si="0"/>
        <v>1031304.97</v>
      </c>
      <c r="N4" s="12">
        <f t="shared" ca="1" si="0"/>
        <v>559082.25</v>
      </c>
      <c r="O4" s="160">
        <f t="shared" ref="O4:O19" ca="1" si="2">SUM(L4:N4)</f>
        <v>2677725.3899999997</v>
      </c>
      <c r="P4" s="12">
        <f t="shared" ca="1" si="0"/>
        <v>349752.54</v>
      </c>
      <c r="Q4" s="12">
        <f t="shared" ca="1" si="0"/>
        <v>616726.26</v>
      </c>
      <c r="R4" s="12">
        <f t="shared" ca="1" si="0"/>
        <v>1060699.1399999999</v>
      </c>
      <c r="S4" s="12"/>
      <c r="T4" s="12"/>
      <c r="U4" s="198">
        <f ca="1">SUM(C4:E4,G4:I4,L4:N4,P4:R4)-P4</f>
        <v>11231137.620000001</v>
      </c>
    </row>
    <row r="5" spans="1:22" x14ac:dyDescent="0.2">
      <c r="A5" s="138" t="s">
        <v>114</v>
      </c>
      <c r="B5" s="13" t="s">
        <v>110</v>
      </c>
      <c r="C5" s="14">
        <f ca="1">SUM(C6+C8)</f>
        <v>828766</v>
      </c>
      <c r="D5" s="14">
        <f t="shared" ref="D5:R5" ca="1" si="3">SUM(D6+D8)</f>
        <v>555812</v>
      </c>
      <c r="E5" s="14">
        <f t="shared" ca="1" si="3"/>
        <v>655100</v>
      </c>
      <c r="F5" s="155">
        <f ca="1">SUM(C5:E5)</f>
        <v>2039678</v>
      </c>
      <c r="G5" s="14">
        <f t="shared" ca="1" si="3"/>
        <v>869093</v>
      </c>
      <c r="H5" s="14">
        <f t="shared" ca="1" si="3"/>
        <v>877620</v>
      </c>
      <c r="I5" s="14">
        <f t="shared" ca="1" si="3"/>
        <v>851365</v>
      </c>
      <c r="J5" s="155">
        <f t="shared" ca="1" si="1"/>
        <v>2598078</v>
      </c>
      <c r="K5" s="199">
        <f t="shared" ref="K5:K19" ca="1" si="4">SUM(F5,J5)</f>
        <v>4637756</v>
      </c>
      <c r="L5" s="14">
        <f ca="1">SUM(L6+L8)</f>
        <v>818968</v>
      </c>
      <c r="M5" s="14">
        <f t="shared" ca="1" si="3"/>
        <v>756189</v>
      </c>
      <c r="N5" s="14">
        <f t="shared" ca="1" si="3"/>
        <v>364969</v>
      </c>
      <c r="O5" s="155">
        <f t="shared" ca="1" si="2"/>
        <v>1940126</v>
      </c>
      <c r="P5" s="14">
        <f t="shared" ca="1" si="3"/>
        <v>248822</v>
      </c>
      <c r="Q5" s="14">
        <f t="shared" ca="1" si="3"/>
        <v>368393</v>
      </c>
      <c r="R5" s="14">
        <f t="shared" ca="1" si="3"/>
        <v>622004</v>
      </c>
      <c r="S5" s="14"/>
      <c r="T5" s="14"/>
      <c r="U5" s="199">
        <f t="shared" ref="U5:U19" ca="1" si="5">SUM(C5:E5,G5:I5,L5:N5,P5:R5)-P5</f>
        <v>7568279</v>
      </c>
      <c r="V5" s="98"/>
    </row>
    <row r="6" spans="1:22" x14ac:dyDescent="0.2">
      <c r="A6" s="139" t="s">
        <v>112</v>
      </c>
      <c r="B6" s="87" t="s">
        <v>110</v>
      </c>
      <c r="C6" s="75">
        <f ca="1">_xll.DBGET(#REF!,#REF!,#REF!,#REF!,$B6,#REF!,#REF!,#REF!,#REF!,C$3,#REF!)+_xll.DBGET(#REF!,#REF!,#REF!,#REF!,$B7,#REF!,#REF!,#REF!,#REF!,C$3,#REF!)</f>
        <v>838916</v>
      </c>
      <c r="D6" s="75">
        <f ca="1">_xll.DBGET(#REF!,#REF!,#REF!,#REF!,$B6,#REF!,#REF!,#REF!,#REF!,D$3,#REF!)+_xll.DBGET(#REF!,#REF!,#REF!,#REF!,$B7,#REF!,#REF!,#REF!,#REF!,D$3,#REF!)</f>
        <v>555812</v>
      </c>
      <c r="E6" s="75">
        <f ca="1">_xll.DBGET(#REF!,#REF!,#REF!,#REF!,$B6,#REF!,#REF!,#REF!,#REF!,E$3,#REF!)+_xll.DBGET(#REF!,#REF!,#REF!,#REF!,$B7,#REF!,#REF!,#REF!,#REF!,E$3,#REF!)</f>
        <v>655100</v>
      </c>
      <c r="F6" s="156">
        <f t="shared" ref="F6:F19" ca="1" si="6">SUM(C6:E6)</f>
        <v>2049828</v>
      </c>
      <c r="G6" s="75">
        <f ca="1">_xll.DBGET(#REF!,#REF!,#REF!,#REF!,$B6,#REF!,#REF!,#REF!,#REF!,G$3,#REF!)+_xll.DBGET(#REF!,#REF!,#REF!,#REF!,$B7,#REF!,#REF!,#REF!,#REF!,G$3,#REF!)</f>
        <v>869093</v>
      </c>
      <c r="H6" s="75">
        <f ca="1">_xll.DBGET(#REF!,#REF!,#REF!,#REF!,$B6,#REF!,#REF!,#REF!,#REF!,H$3,#REF!)+_xll.DBGET(#REF!,#REF!,#REF!,#REF!,$B7,#REF!,#REF!,#REF!,#REF!,H$3,#REF!)</f>
        <v>877620</v>
      </c>
      <c r="I6" s="75">
        <f ca="1">_xll.DBGET(#REF!,#REF!,#REF!,#REF!,$B6,#REF!,#REF!,#REF!,#REF!,I$3,#REF!)+_xll.DBGET(#REF!,#REF!,#REF!,#REF!,$B7,#REF!,#REF!,#REF!,#REF!,I$3,#REF!)</f>
        <v>851365</v>
      </c>
      <c r="J6" s="156">
        <f t="shared" ca="1" si="1"/>
        <v>2598078</v>
      </c>
      <c r="K6" s="200">
        <f t="shared" ca="1" si="4"/>
        <v>4647906</v>
      </c>
      <c r="L6" s="151">
        <f ca="1">_xll.DBGET(#REF!,#REF!,#REF!,#REF!,$B6,#REF!,#REF!,#REF!,#REF!,L$3,#REF!)+_xll.DBGET(#REF!,#REF!,#REF!,#REF!,$B7,#REF!,#REF!,#REF!,#REF!,L$3,#REF!)</f>
        <v>818968</v>
      </c>
      <c r="M6" s="75">
        <f ca="1">_xll.DBGET(#REF!,#REF!,#REF!,#REF!,$B6,#REF!,#REF!,#REF!,#REF!,M$3,#REF!)+_xll.DBGET(#REF!,#REF!,#REF!,#REF!,$B7,#REF!,#REF!,#REF!,#REF!,M$3,#REF!)</f>
        <v>763389</v>
      </c>
      <c r="N6" s="75">
        <f ca="1">_xll.DBGET(#REF!,#REF!,#REF!,#REF!,$B6,#REF!,#REF!,#REF!,#REF!,N$3,#REF!)+_xll.DBGET(#REF!,#REF!,#REF!,#REF!,$B7,#REF!,#REF!,#REF!,#REF!,N$3,#REF!)</f>
        <v>364969</v>
      </c>
      <c r="O6" s="156">
        <f t="shared" ca="1" si="2"/>
        <v>1947326</v>
      </c>
      <c r="P6" s="75">
        <f ca="1">_xll.DBGET(#REF!,#REF!,#REF!,#REF!,$B6,#REF!,#REF!,#REF!,#REF!,P$3,#REF!)+_xll.DBGET(#REF!,#REF!,#REF!,#REF!,$B7,#REF!,#REF!,#REF!,#REF!,P$3,#REF!)</f>
        <v>248822</v>
      </c>
      <c r="Q6" s="75">
        <f ca="1">_xll.DBGET(#REF!,#REF!,#REF!,#REF!,$B6,#REF!,#REF!,#REF!,#REF!,Q$3,#REF!)+_xll.DBGET(#REF!,#REF!,#REF!,#REF!,$B7,#REF!,#REF!,#REF!,#REF!,Q$3,#REF!)</f>
        <v>370853</v>
      </c>
      <c r="R6" s="110">
        <f ca="1">_xll.DBGET(#REF!,#REF!,#REF!,#REF!,$B6,#REF!,#REF!,#REF!,#REF!,R$3,#REF!)+_xll.DBGET(#REF!,#REF!,#REF!,#REF!,$B7,#REF!,#REF!,#REF!,#REF!,R$3,#REF!)</f>
        <v>680398</v>
      </c>
      <c r="S6" s="147"/>
      <c r="T6" s="147"/>
      <c r="U6" s="200">
        <f t="shared" ca="1" si="5"/>
        <v>7646483</v>
      </c>
    </row>
    <row r="7" spans="1:22" s="88" customFormat="1" hidden="1" outlineLevel="1" x14ac:dyDescent="0.2">
      <c r="A7" s="140"/>
      <c r="B7" s="89" t="s">
        <v>122</v>
      </c>
      <c r="C7" s="90">
        <f ca="1">_xll.DBGET(#REF!,#REF!,#REF!,#REF!,$B7,#REF!,#REF!,#REF!,#REF!,C$3,#REF!)</f>
        <v>0</v>
      </c>
      <c r="D7" s="90">
        <f ca="1">_xll.DBGET(#REF!,#REF!,#REF!,#REF!,$B7,#REF!,#REF!,#REF!,#REF!,D$3,#REF!)</f>
        <v>0</v>
      </c>
      <c r="E7" s="90">
        <f ca="1">_xll.DBGET(#REF!,#REF!,#REF!,#REF!,$B7,#REF!,#REF!,#REF!,#REF!,E$3,#REF!)</f>
        <v>0</v>
      </c>
      <c r="F7" s="157">
        <f t="shared" ca="1" si="6"/>
        <v>0</v>
      </c>
      <c r="G7" s="90">
        <f ca="1">_xll.DBGET(#REF!,#REF!,#REF!,#REF!,$B7,#REF!,#REF!,#REF!,#REF!,G$3,#REF!)</f>
        <v>36</v>
      </c>
      <c r="H7" s="90">
        <f ca="1">_xll.DBGET(#REF!,#REF!,#REF!,#REF!,$B7,#REF!,#REF!,#REF!,#REF!,H$3,#REF!)</f>
        <v>0</v>
      </c>
      <c r="I7" s="90">
        <f ca="1">_xll.DBGET(#REF!,#REF!,#REF!,#REF!,$B7,#REF!,#REF!,#REF!,#REF!,I$3,#REF!)</f>
        <v>36</v>
      </c>
      <c r="J7" s="157">
        <f t="shared" ca="1" si="1"/>
        <v>72</v>
      </c>
      <c r="K7" s="201">
        <f t="shared" ca="1" si="4"/>
        <v>72</v>
      </c>
      <c r="L7" s="152">
        <f ca="1">_xll.DBGET(#REF!,#REF!,#REF!,#REF!,$B7,#REF!,#REF!,#REF!,#REF!,L$3,#REF!)</f>
        <v>0</v>
      </c>
      <c r="M7" s="90">
        <f ca="1">_xll.DBGET(#REF!,#REF!,#REF!,#REF!,$B7,#REF!,#REF!,#REF!,#REF!,M$3,#REF!)</f>
        <v>36</v>
      </c>
      <c r="N7" s="90">
        <f ca="1">_xll.DBGET(#REF!,#REF!,#REF!,#REF!,$B7,#REF!,#REF!,#REF!,#REF!,N$3,#REF!)</f>
        <v>0</v>
      </c>
      <c r="O7" s="157">
        <f t="shared" ca="1" si="2"/>
        <v>36</v>
      </c>
      <c r="P7" s="90">
        <f ca="1">_xll.DBGET(#REF!,#REF!,#REF!,#REF!,$B7,#REF!,#REF!,#REF!,#REF!,P$3,#REF!)</f>
        <v>0</v>
      </c>
      <c r="Q7" s="90">
        <f ca="1">_xll.DBGET(#REF!,#REF!,#REF!,#REF!,$B7,#REF!,#REF!,#REF!,#REF!,Q$3,#REF!)</f>
        <v>0</v>
      </c>
      <c r="R7" s="90">
        <f ca="1">_xll.DBGET(#REF!,#REF!,#REF!,#REF!,$B7,#REF!,#REF!,#REF!,#REF!,R$3,#REF!)</f>
        <v>0</v>
      </c>
      <c r="S7" s="148"/>
      <c r="T7" s="148"/>
      <c r="U7" s="201">
        <f t="shared" ca="1" si="5"/>
        <v>108</v>
      </c>
    </row>
    <row r="8" spans="1:22" collapsed="1" x14ac:dyDescent="0.2">
      <c r="A8" s="139" t="s">
        <v>113</v>
      </c>
      <c r="B8" s="87" t="s">
        <v>110</v>
      </c>
      <c r="C8" s="151">
        <f ca="1">-(_xll.DBGET(#REF!,#REF!,#REF!,#REF!,$B6,#REF!,#REF!,#REF!,#REF!,C$3,#REF!)+_xll.DBGET(#REF!,#REF!,#REF!,#REF!,$B7,#REF!,#REF!,#REF!,#REF!,C$3,#REF!))</f>
        <v>-10150</v>
      </c>
      <c r="D8" s="151">
        <f ca="1">-(_xll.DBGET(#REF!,#REF!,#REF!,#REF!,$B6,#REF!,#REF!,#REF!,#REF!,D$3,#REF!)+_xll.DBGET(#REF!,#REF!,#REF!,#REF!,$B7,#REF!,#REF!,#REF!,#REF!,D$3,#REF!))</f>
        <v>0</v>
      </c>
      <c r="E8" s="151">
        <f ca="1">-(_xll.DBGET(#REF!,#REF!,#REF!,#REF!,$B6,#REF!,#REF!,#REF!,#REF!,E$3,#REF!)+_xll.DBGET(#REF!,#REF!,#REF!,#REF!,$B7,#REF!,#REF!,#REF!,#REF!,E$3,#REF!))</f>
        <v>0</v>
      </c>
      <c r="F8" s="156">
        <f t="shared" ca="1" si="6"/>
        <v>-10150</v>
      </c>
      <c r="G8" s="151">
        <f ca="1">-(_xll.DBGET(#REF!,#REF!,#REF!,#REF!,$B6,#REF!,#REF!,#REF!,#REF!,G$3,#REF!)+_xll.DBGET(#REF!,#REF!,#REF!,#REF!,$B7,#REF!,#REF!,#REF!,#REF!,G$3,#REF!))</f>
        <v>0</v>
      </c>
      <c r="H8" s="151">
        <f ca="1">-(_xll.DBGET(#REF!,#REF!,#REF!,#REF!,$B6,#REF!,#REF!,#REF!,#REF!,H$3,#REF!)+_xll.DBGET(#REF!,#REF!,#REF!,#REF!,$B7,#REF!,#REF!,#REF!,#REF!,H$3,#REF!))</f>
        <v>0</v>
      </c>
      <c r="I8" s="151">
        <f ca="1">-(_xll.DBGET(#REF!,#REF!,#REF!,#REF!,$B6,#REF!,#REF!,#REF!,#REF!,I$3,#REF!)+_xll.DBGET(#REF!,#REF!,#REF!,#REF!,$B7,#REF!,#REF!,#REF!,#REF!,I$3,#REF!))</f>
        <v>0</v>
      </c>
      <c r="J8" s="156">
        <f t="shared" ca="1" si="1"/>
        <v>0</v>
      </c>
      <c r="K8" s="202">
        <f t="shared" ca="1" si="4"/>
        <v>-10150</v>
      </c>
      <c r="L8" s="151">
        <f ca="1">-(_xll.DBGET(#REF!,#REF!,#REF!,#REF!,$B6,#REF!,#REF!,#REF!,#REF!,L$3,#REF!)+_xll.DBGET(#REF!,#REF!,#REF!,#REF!,$B7,#REF!,#REF!,#REF!,#REF!,L$3,#REF!))</f>
        <v>0</v>
      </c>
      <c r="M8" s="151">
        <f ca="1">-(_xll.DBGET(#REF!,#REF!,#REF!,#REF!,$B6,#REF!,#REF!,#REF!,#REF!,M$3,#REF!)+_xll.DBGET(#REF!,#REF!,#REF!,#REF!,$B7,#REF!,#REF!,#REF!,#REF!,M$3,#REF!))</f>
        <v>-7200</v>
      </c>
      <c r="N8" s="151">
        <f ca="1">-(_xll.DBGET(#REF!,#REF!,#REF!,#REF!,$B6,#REF!,#REF!,#REF!,#REF!,N$3,#REF!)+_xll.DBGET(#REF!,#REF!,#REF!,#REF!,$B7,#REF!,#REF!,#REF!,#REF!,N$3,#REF!))</f>
        <v>0</v>
      </c>
      <c r="O8" s="156">
        <f t="shared" ca="1" si="2"/>
        <v>-7200</v>
      </c>
      <c r="P8" s="151">
        <f ca="1">-(_xll.DBGET(#REF!,#REF!,#REF!,#REF!,$B6,#REF!,#REF!,#REF!,#REF!,P$3,#REF!)+_xll.DBGET(#REF!,#REF!,#REF!,#REF!,$B7,#REF!,#REF!,#REF!,#REF!,P$3,#REF!))</f>
        <v>0</v>
      </c>
      <c r="Q8" s="151">
        <f ca="1">-(_xll.DBGET(#REF!,#REF!,#REF!,#REF!,$B6,#REF!,#REF!,#REF!,#REF!,Q$3,#REF!)+_xll.DBGET(#REF!,#REF!,#REF!,#REF!,$B7,#REF!,#REF!,#REF!,#REF!,Q$3,#REF!))</f>
        <v>-2460</v>
      </c>
      <c r="R8" s="151">
        <f ca="1">-(_xll.DBGET(#REF!,#REF!,#REF!,#REF!,$B6,#REF!,#REF!,#REF!,#REF!,R$3,#REF!)+_xll.DBGET(#REF!,#REF!,#REF!,#REF!,$B7,#REF!,#REF!,#REF!,#REF!,R$3,#REF!))</f>
        <v>-58394</v>
      </c>
      <c r="S8" s="147"/>
      <c r="T8" s="147"/>
      <c r="U8" s="202">
        <f t="shared" ca="1" si="5"/>
        <v>-78204</v>
      </c>
    </row>
    <row r="9" spans="1:22" x14ac:dyDescent="0.2">
      <c r="A9" s="138" t="s">
        <v>115</v>
      </c>
      <c r="B9" s="13" t="s">
        <v>111</v>
      </c>
      <c r="C9" s="14">
        <f ca="1">SUM(C10:C11)</f>
        <v>271906</v>
      </c>
      <c r="D9" s="14">
        <f t="shared" ref="D9:R9" ca="1" si="7">SUM(D10:D11)</f>
        <v>318575</v>
      </c>
      <c r="E9" s="14">
        <f t="shared" ca="1" si="7"/>
        <v>254735</v>
      </c>
      <c r="F9" s="155">
        <f t="shared" ca="1" si="6"/>
        <v>845216</v>
      </c>
      <c r="G9" s="14">
        <f ca="1">SUM(G10:G11)</f>
        <v>302380</v>
      </c>
      <c r="H9" s="14">
        <f t="shared" ca="1" si="7"/>
        <v>422548</v>
      </c>
      <c r="I9" s="14">
        <f t="shared" ca="1" si="7"/>
        <v>318378</v>
      </c>
      <c r="J9" s="155">
        <f t="shared" ca="1" si="1"/>
        <v>1043306</v>
      </c>
      <c r="K9" s="199">
        <f t="shared" ca="1" si="4"/>
        <v>1888522</v>
      </c>
      <c r="L9" s="14">
        <f ca="1">SUM(L10:L11)</f>
        <v>172032</v>
      </c>
      <c r="M9" s="14">
        <f t="shared" ca="1" si="7"/>
        <v>249927</v>
      </c>
      <c r="N9" s="14">
        <f t="shared" ca="1" si="7"/>
        <v>175025</v>
      </c>
      <c r="O9" s="155">
        <f t="shared" ca="1" si="2"/>
        <v>596984</v>
      </c>
      <c r="P9" s="14">
        <f t="shared" ca="1" si="7"/>
        <v>53403</v>
      </c>
      <c r="Q9" s="14">
        <f t="shared" ca="1" si="7"/>
        <v>215719</v>
      </c>
      <c r="R9" s="14">
        <f t="shared" ca="1" si="7"/>
        <v>362956</v>
      </c>
      <c r="S9" s="14"/>
      <c r="T9" s="14"/>
      <c r="U9" s="199">
        <f t="shared" ca="1" si="5"/>
        <v>3064181</v>
      </c>
    </row>
    <row r="10" spans="1:22" x14ac:dyDescent="0.2">
      <c r="A10" s="139" t="s">
        <v>112</v>
      </c>
      <c r="B10" s="87" t="s">
        <v>111</v>
      </c>
      <c r="C10" s="75">
        <f ca="1">_xll.DBGET(#REF!,#REF!,#REF!,#REF!,$B10,#REF!,#REF!,#REF!,#REF!,C$3,#REF!)</f>
        <v>319855</v>
      </c>
      <c r="D10" s="75">
        <f ca="1">_xll.DBGET(#REF!,#REF!,#REF!,#REF!,$B10,#REF!,#REF!,#REF!,#REF!,D$3,#REF!)</f>
        <v>340766</v>
      </c>
      <c r="E10" s="75">
        <f ca="1">_xll.DBGET(#REF!,#REF!,#REF!,#REF!,$B10,#REF!,#REF!,#REF!,#REF!,E$3,#REF!)</f>
        <v>254735</v>
      </c>
      <c r="F10" s="156">
        <f t="shared" ca="1" si="6"/>
        <v>915356</v>
      </c>
      <c r="G10" s="75">
        <f ca="1">_xll.DBGET(#REF!,#REF!,#REF!,#REF!,$B10,#REF!,#REF!,#REF!,#REF!,G$3,#REF!)</f>
        <v>302380</v>
      </c>
      <c r="H10" s="75">
        <f ca="1">_xll.DBGET(#REF!,#REF!,#REF!,#REF!,$B10,#REF!,#REF!,#REF!,#REF!,H$3,#REF!)</f>
        <v>422548</v>
      </c>
      <c r="I10" s="75">
        <f ca="1">_xll.DBGET(#REF!,#REF!,#REF!,#REF!,$B10,#REF!,#REF!,#REF!,#REF!,I$3,#REF!)</f>
        <v>318924</v>
      </c>
      <c r="J10" s="156">
        <f t="shared" ca="1" si="1"/>
        <v>1043852</v>
      </c>
      <c r="K10" s="200">
        <f t="shared" ca="1" si="4"/>
        <v>1959208</v>
      </c>
      <c r="L10" s="151">
        <f ca="1">_xll.DBGET(#REF!,#REF!,#REF!,#REF!,$B10,#REF!,#REF!,#REF!,#REF!,L$3,#REF!)</f>
        <v>215518</v>
      </c>
      <c r="M10" s="75">
        <f ca="1">_xll.DBGET(#REF!,#REF!,#REF!,#REF!,$B10,#REF!,#REF!,#REF!,#REF!,M$3,#REF!)</f>
        <v>249927</v>
      </c>
      <c r="N10" s="75">
        <f ca="1">_xll.DBGET(#REF!,#REF!,#REF!,#REF!,$B10,#REF!,#REF!,#REF!,#REF!,N$3,#REF!)</f>
        <v>175025</v>
      </c>
      <c r="O10" s="156">
        <f t="shared" ca="1" si="2"/>
        <v>640470</v>
      </c>
      <c r="P10" s="75">
        <f ca="1">_xll.DBGET(#REF!,#REF!,#REF!,#REF!,$B10,#REF!,#REF!,#REF!,#REF!,P$3,#REF!)</f>
        <v>53403</v>
      </c>
      <c r="Q10" s="75">
        <f ca="1">_xll.DBGET(#REF!,#REF!,#REF!,#REF!,$B10,#REF!,#REF!,#REF!,#REF!,Q$3,#REF!)</f>
        <v>215719</v>
      </c>
      <c r="R10" s="110">
        <f ca="1">_xll.DBGET(#REF!,#REF!,#REF!,#REF!,$B10,#REF!,#REF!,#REF!,#REF!,R$3,#REF!)</f>
        <v>362956</v>
      </c>
      <c r="S10" s="147"/>
      <c r="T10" s="147"/>
      <c r="U10" s="200">
        <f t="shared" ca="1" si="5"/>
        <v>3178353</v>
      </c>
    </row>
    <row r="11" spans="1:22" x14ac:dyDescent="0.2">
      <c r="A11" s="139" t="s">
        <v>113</v>
      </c>
      <c r="B11" s="87" t="s">
        <v>111</v>
      </c>
      <c r="C11" s="151">
        <f ca="1">-(_xll.DBGET(#REF!,#REF!,#REF!,#REF!,$B11,#REF!,#REF!,#REF!,#REF!,C$3,#REF!))</f>
        <v>-47949</v>
      </c>
      <c r="D11" s="151">
        <f ca="1">-(_xll.DBGET(#REF!,#REF!,#REF!,#REF!,$B11,#REF!,#REF!,#REF!,#REF!,D$3,#REF!))</f>
        <v>-22191</v>
      </c>
      <c r="E11" s="151">
        <f ca="1">-(_xll.DBGET(#REF!,#REF!,#REF!,#REF!,$B11,#REF!,#REF!,#REF!,#REF!,E$3,#REF!))</f>
        <v>0</v>
      </c>
      <c r="F11" s="156">
        <f t="shared" ca="1" si="6"/>
        <v>-70140</v>
      </c>
      <c r="G11" s="151">
        <f ca="1">-(_xll.DBGET(#REF!,#REF!,#REF!,#REF!,$B11,#REF!,#REF!,#REF!,#REF!,G$3,#REF!))</f>
        <v>0</v>
      </c>
      <c r="H11" s="151">
        <f ca="1">-(_xll.DBGET(#REF!,#REF!,#REF!,#REF!,$B11,#REF!,#REF!,#REF!,#REF!,H$3,#REF!))</f>
        <v>0</v>
      </c>
      <c r="I11" s="151">
        <f ca="1">-(_xll.DBGET(#REF!,#REF!,#REF!,#REF!,$B11,#REF!,#REF!,#REF!,#REF!,I$3,#REF!))</f>
        <v>-546</v>
      </c>
      <c r="J11" s="156">
        <f t="shared" ca="1" si="1"/>
        <v>-546</v>
      </c>
      <c r="K11" s="202">
        <f t="shared" ca="1" si="4"/>
        <v>-70686</v>
      </c>
      <c r="L11" s="151">
        <f ca="1">-(_xll.DBGET(#REF!,#REF!,#REF!,#REF!,$B11,#REF!,#REF!,#REF!,#REF!,L$3,#REF!))</f>
        <v>-43486</v>
      </c>
      <c r="M11" s="151">
        <f ca="1">-(_xll.DBGET(#REF!,#REF!,#REF!,#REF!,$B11,#REF!,#REF!,#REF!,#REF!,M$3,#REF!))</f>
        <v>0</v>
      </c>
      <c r="N11" s="151">
        <f ca="1">-(_xll.DBGET(#REF!,#REF!,#REF!,#REF!,$B11,#REF!,#REF!,#REF!,#REF!,N$3,#REF!))</f>
        <v>0</v>
      </c>
      <c r="O11" s="156">
        <f t="shared" ca="1" si="2"/>
        <v>-43486</v>
      </c>
      <c r="P11" s="151">
        <f ca="1">-(_xll.DBGET(#REF!,#REF!,#REF!,#REF!,$B11,#REF!,#REF!,#REF!,#REF!,P$3,#REF!))</f>
        <v>0</v>
      </c>
      <c r="Q11" s="151">
        <f ca="1">-(_xll.DBGET(#REF!,#REF!,#REF!,#REF!,$B11,#REF!,#REF!,#REF!,#REF!,Q$3,#REF!))</f>
        <v>0</v>
      </c>
      <c r="R11" s="151">
        <f ca="1">-(_xll.DBGET(#REF!,#REF!,#REF!,#REF!,$B11,#REF!,#REF!,#REF!,#REF!,R$3,#REF!))</f>
        <v>0</v>
      </c>
      <c r="S11" s="147"/>
      <c r="T11" s="147"/>
      <c r="U11" s="202">
        <f t="shared" ca="1" si="5"/>
        <v>-114172</v>
      </c>
    </row>
    <row r="12" spans="1:22" x14ac:dyDescent="0.2">
      <c r="A12" s="138" t="s">
        <v>147</v>
      </c>
      <c r="B12" s="13" t="s">
        <v>108</v>
      </c>
      <c r="C12" s="14">
        <f ca="1">SUM(C13:C14)</f>
        <v>56000</v>
      </c>
      <c r="D12" s="14">
        <f ca="1">SUM(D13:D14)</f>
        <v>6970</v>
      </c>
      <c r="E12" s="14">
        <f ca="1">SUM(E13:E14)</f>
        <v>58450</v>
      </c>
      <c r="F12" s="155">
        <f t="shared" ca="1" si="6"/>
        <v>121420</v>
      </c>
      <c r="G12" s="14">
        <f ca="1">SUM(G13:G14)</f>
        <v>14750</v>
      </c>
      <c r="H12" s="14">
        <f ca="1">SUM(H13:H14)</f>
        <v>27400</v>
      </c>
      <c r="I12" s="14">
        <f ca="1">SUM(I13:I14)</f>
        <v>14040</v>
      </c>
      <c r="J12" s="155">
        <f t="shared" ca="1" si="1"/>
        <v>56190</v>
      </c>
      <c r="K12" s="199">
        <f t="shared" ca="1" si="4"/>
        <v>177610</v>
      </c>
      <c r="L12" s="14">
        <f ca="1">SUM(L13:L14)</f>
        <v>51923</v>
      </c>
      <c r="M12" s="14">
        <f ca="1">SUM(M13:M14)</f>
        <v>0</v>
      </c>
      <c r="N12" s="14">
        <f ca="1">SUM(N13:N14)</f>
        <v>0</v>
      </c>
      <c r="O12" s="155">
        <f t="shared" ca="1" si="2"/>
        <v>51923</v>
      </c>
      <c r="P12" s="14">
        <f ca="1">SUM(P13:P14)</f>
        <v>0</v>
      </c>
      <c r="Q12" s="14">
        <f ca="1">SUM(Q13:Q14)</f>
        <v>0</v>
      </c>
      <c r="R12" s="14">
        <f ca="1">SUM(R13:R14)</f>
        <v>55755</v>
      </c>
      <c r="S12" s="14"/>
      <c r="T12" s="14"/>
      <c r="U12" s="199">
        <f t="shared" ca="1" si="5"/>
        <v>285288</v>
      </c>
    </row>
    <row r="13" spans="1:22" x14ac:dyDescent="0.2">
      <c r="A13" s="139" t="s">
        <v>112</v>
      </c>
      <c r="B13" s="87" t="s">
        <v>108</v>
      </c>
      <c r="C13" s="75">
        <f ca="1">_xll.DBGET(#REF!,#REF!,#REF!,#REF!,$B13,#REF!,#REF!,#REF!,#REF!,C$3,#REF!)</f>
        <v>56000</v>
      </c>
      <c r="D13" s="75">
        <f ca="1">_xll.DBGET(#REF!,#REF!,#REF!,#REF!,$B13,#REF!,#REF!,#REF!,#REF!,D$3,#REF!)</f>
        <v>6970</v>
      </c>
      <c r="E13" s="75">
        <f ca="1">_xll.DBGET(#REF!,#REF!,#REF!,#REF!,$B13,#REF!,#REF!,#REF!,#REF!,E$3,#REF!)</f>
        <v>58450</v>
      </c>
      <c r="F13" s="156">
        <f t="shared" ca="1" si="6"/>
        <v>121420</v>
      </c>
      <c r="G13" s="75">
        <f ca="1">_xll.DBGET(#REF!,#REF!,#REF!,#REF!,$B13,#REF!,#REF!,#REF!,#REF!,G$3,#REF!)</f>
        <v>14750</v>
      </c>
      <c r="H13" s="75">
        <f ca="1">_xll.DBGET(#REF!,#REF!,#REF!,#REF!,$B13,#REF!,#REF!,#REF!,#REF!,H$3,#REF!)</f>
        <v>27400</v>
      </c>
      <c r="I13" s="75">
        <f ca="1">_xll.DBGET(#REF!,#REF!,#REF!,#REF!,$B13,#REF!,#REF!,#REF!,#REF!,I$3,#REF!)</f>
        <v>14040</v>
      </c>
      <c r="J13" s="156">
        <f t="shared" ca="1" si="1"/>
        <v>56190</v>
      </c>
      <c r="K13" s="200">
        <f t="shared" ca="1" si="4"/>
        <v>177610</v>
      </c>
      <c r="L13" s="151">
        <f ca="1">_xll.DBGET(#REF!,#REF!,#REF!,#REF!,$B13,#REF!,#REF!,#REF!,#REF!,L$3,#REF!)</f>
        <v>51923</v>
      </c>
      <c r="M13" s="75">
        <f ca="1">_xll.DBGET(#REF!,#REF!,#REF!,#REF!,$B13,#REF!,#REF!,#REF!,#REF!,M$3,#REF!)</f>
        <v>0</v>
      </c>
      <c r="N13" s="75">
        <f ca="1">_xll.DBGET(#REF!,#REF!,#REF!,#REF!,$B13,#REF!,#REF!,#REF!,#REF!,N$3,#REF!)</f>
        <v>0</v>
      </c>
      <c r="O13" s="156">
        <f t="shared" ca="1" si="2"/>
        <v>51923</v>
      </c>
      <c r="P13" s="75">
        <f ca="1">_xll.DBGET(#REF!,#REF!,#REF!,#REF!,$B13,#REF!,#REF!,#REF!,#REF!,P$3,#REF!)</f>
        <v>0</v>
      </c>
      <c r="Q13" s="75">
        <f ca="1">_xll.DBGET(#REF!,#REF!,#REF!,#REF!,$B13,#REF!,#REF!,#REF!,#REF!,Q$3,#REF!)</f>
        <v>0</v>
      </c>
      <c r="R13" s="110">
        <f ca="1">_xll.DBGET(#REF!,#REF!,#REF!,#REF!,$B13,#REF!,#REF!,#REF!,#REF!,R$3,#REF!)</f>
        <v>55755</v>
      </c>
      <c r="S13" s="147"/>
      <c r="T13" s="147"/>
      <c r="U13" s="200">
        <f t="shared" ca="1" si="5"/>
        <v>285288</v>
      </c>
    </row>
    <row r="14" spans="1:22" x14ac:dyDescent="0.2">
      <c r="A14" s="139" t="s">
        <v>113</v>
      </c>
      <c r="B14" s="87" t="s">
        <v>108</v>
      </c>
      <c r="C14" s="151">
        <f ca="1">-(_xll.DBGET(#REF!,#REF!,#REF!,#REF!,$B14,#REF!,#REF!,#REF!,#REF!,C$3,#REF!))</f>
        <v>0</v>
      </c>
      <c r="D14" s="151">
        <f ca="1">-(_xll.DBGET(#REF!,#REF!,#REF!,#REF!,$B14,#REF!,#REF!,#REF!,#REF!,D$3,#REF!))</f>
        <v>0</v>
      </c>
      <c r="E14" s="151">
        <f ca="1">-(_xll.DBGET(#REF!,#REF!,#REF!,#REF!,$B14,#REF!,#REF!,#REF!,#REF!,E$3,#REF!))</f>
        <v>0</v>
      </c>
      <c r="F14" s="156">
        <f t="shared" ca="1" si="6"/>
        <v>0</v>
      </c>
      <c r="G14" s="151">
        <f ca="1">-(_xll.DBGET(#REF!,#REF!,#REF!,#REF!,$B14,#REF!,#REF!,#REF!,#REF!,G$3,#REF!))</f>
        <v>0</v>
      </c>
      <c r="H14" s="151">
        <f ca="1">-(_xll.DBGET(#REF!,#REF!,#REF!,#REF!,$B14,#REF!,#REF!,#REF!,#REF!,H$3,#REF!))</f>
        <v>0</v>
      </c>
      <c r="I14" s="151">
        <f ca="1">-(_xll.DBGET(#REF!,#REF!,#REF!,#REF!,$B14,#REF!,#REF!,#REF!,#REF!,I$3,#REF!))</f>
        <v>0</v>
      </c>
      <c r="J14" s="156">
        <f t="shared" ca="1" si="1"/>
        <v>0</v>
      </c>
      <c r="K14" s="202">
        <f t="shared" ca="1" si="4"/>
        <v>0</v>
      </c>
      <c r="L14" s="151">
        <f ca="1">-(_xll.DBGET(#REF!,#REF!,#REF!,#REF!,$B14,#REF!,#REF!,#REF!,#REF!,L$3,#REF!))</f>
        <v>0</v>
      </c>
      <c r="M14" s="151">
        <f ca="1">-(_xll.DBGET(#REF!,#REF!,#REF!,#REF!,$B14,#REF!,#REF!,#REF!,#REF!,M$3,#REF!))</f>
        <v>0</v>
      </c>
      <c r="N14" s="151">
        <f ca="1">-(_xll.DBGET(#REF!,#REF!,#REF!,#REF!,$B14,#REF!,#REF!,#REF!,#REF!,N$3,#REF!))</f>
        <v>0</v>
      </c>
      <c r="O14" s="156">
        <f t="shared" ca="1" si="2"/>
        <v>0</v>
      </c>
      <c r="P14" s="151">
        <f ca="1">-(_xll.DBGET(#REF!,#REF!,#REF!,#REF!,$B14,#REF!,#REF!,#REF!,#REF!,P$3,#REF!))</f>
        <v>0</v>
      </c>
      <c r="Q14" s="151">
        <f ca="1">-(_xll.DBGET(#REF!,#REF!,#REF!,#REF!,$B14,#REF!,#REF!,#REF!,#REF!,Q$3,#REF!))</f>
        <v>0</v>
      </c>
      <c r="R14" s="151">
        <f ca="1">-(_xll.DBGET(#REF!,#REF!,#REF!,#REF!,$B14,#REF!,#REF!,#REF!,#REF!,R$3,#REF!))</f>
        <v>0</v>
      </c>
      <c r="S14" s="147"/>
      <c r="T14" s="147"/>
      <c r="U14" s="202">
        <f t="shared" ca="1" si="5"/>
        <v>0</v>
      </c>
    </row>
    <row r="15" spans="1:22" x14ac:dyDescent="0.2">
      <c r="A15" s="138" t="s">
        <v>116</v>
      </c>
      <c r="B15" s="13" t="s">
        <v>109</v>
      </c>
      <c r="C15" s="14">
        <f ca="1">SUM(C16:C17)</f>
        <v>0</v>
      </c>
      <c r="D15" s="14">
        <f ca="1">SUM(D16:D17)</f>
        <v>0</v>
      </c>
      <c r="E15" s="14">
        <f ca="1">SUM(E16:E17)</f>
        <v>0</v>
      </c>
      <c r="F15" s="155">
        <f t="shared" ca="1" si="6"/>
        <v>0</v>
      </c>
      <c r="G15" s="14">
        <f ca="1">SUM(G16:G17)</f>
        <v>0</v>
      </c>
      <c r="H15" s="14">
        <f ca="1">SUM(H16:H17)</f>
        <v>21201</v>
      </c>
      <c r="I15" s="14">
        <f ca="1">SUM(I16:I17)</f>
        <v>17252</v>
      </c>
      <c r="J15" s="155">
        <f t="shared" ca="1" si="1"/>
        <v>38453</v>
      </c>
      <c r="K15" s="199">
        <f t="shared" ca="1" si="4"/>
        <v>38453</v>
      </c>
      <c r="L15" s="14">
        <f ca="1">SUM(L16:L17)</f>
        <v>21040</v>
      </c>
      <c r="M15" s="14">
        <f ca="1">SUM(M16:M17)</f>
        <v>0</v>
      </c>
      <c r="N15" s="14">
        <f ca="1">SUM(N16:N17)</f>
        <v>0</v>
      </c>
      <c r="O15" s="155">
        <f t="shared" ca="1" si="2"/>
        <v>21040</v>
      </c>
      <c r="P15" s="14">
        <f ca="1">SUM(P16:P17)</f>
        <v>21026</v>
      </c>
      <c r="Q15" s="14">
        <f ca="1">SUM(Q16:Q17)</f>
        <v>0</v>
      </c>
      <c r="R15" s="14">
        <f ca="1">SUM(R16:R17)</f>
        <v>0</v>
      </c>
      <c r="S15" s="14"/>
      <c r="T15" s="14"/>
      <c r="U15" s="199">
        <f t="shared" ca="1" si="5"/>
        <v>59493</v>
      </c>
    </row>
    <row r="16" spans="1:22" x14ac:dyDescent="0.2">
      <c r="A16" s="139" t="s">
        <v>112</v>
      </c>
      <c r="B16" s="87" t="s">
        <v>109</v>
      </c>
      <c r="C16" s="75">
        <f ca="1">_xll.DBGET(#REF!,#REF!,#REF!,#REF!,$B16,#REF!,#REF!,#REF!,#REF!,C$3,#REF!)</f>
        <v>0</v>
      </c>
      <c r="D16" s="75">
        <f ca="1">_xll.DBGET(#REF!,#REF!,#REF!,#REF!,$B16,#REF!,#REF!,#REF!,#REF!,D$3,#REF!)</f>
        <v>0</v>
      </c>
      <c r="E16" s="75">
        <f ca="1">_xll.DBGET(#REF!,#REF!,#REF!,#REF!,$B16,#REF!,#REF!,#REF!,#REF!,E$3,#REF!)</f>
        <v>0</v>
      </c>
      <c r="F16" s="156">
        <f t="shared" ca="1" si="6"/>
        <v>0</v>
      </c>
      <c r="G16" s="75">
        <f ca="1">_xll.DBGET(#REF!,#REF!,#REF!,#REF!,$B16,#REF!,#REF!,#REF!,#REF!,G$3,#REF!)</f>
        <v>0</v>
      </c>
      <c r="H16" s="75">
        <f ca="1">_xll.DBGET(#REF!,#REF!,#REF!,#REF!,$B16,#REF!,#REF!,#REF!,#REF!,H$3,#REF!)</f>
        <v>39843</v>
      </c>
      <c r="I16" s="75">
        <f ca="1">_xll.DBGET(#REF!,#REF!,#REF!,#REF!,$B16,#REF!,#REF!,#REF!,#REF!,I$3,#REF!)</f>
        <v>37932</v>
      </c>
      <c r="J16" s="156">
        <f t="shared" ca="1" si="1"/>
        <v>77775</v>
      </c>
      <c r="K16" s="200">
        <f t="shared" ca="1" si="4"/>
        <v>77775</v>
      </c>
      <c r="L16" s="151">
        <f ca="1">_xll.DBGET(#REF!,#REF!,#REF!,#REF!,$B16,#REF!,#REF!,#REF!,#REF!,L$3,#REF!)</f>
        <v>40216</v>
      </c>
      <c r="M16" s="75">
        <f ca="1">_xll.DBGET(#REF!,#REF!,#REF!,#REF!,$B16,#REF!,#REF!,#REF!,#REF!,M$3,#REF!)</f>
        <v>0</v>
      </c>
      <c r="N16" s="75">
        <f ca="1">_xll.DBGET(#REF!,#REF!,#REF!,#REF!,$B16,#REF!,#REF!,#REF!,#REF!,N$3,#REF!)</f>
        <v>0</v>
      </c>
      <c r="O16" s="156">
        <f t="shared" ca="1" si="2"/>
        <v>40216</v>
      </c>
      <c r="P16" s="75">
        <f ca="1">_xll.DBGET(#REF!,#REF!,#REF!,#REF!,$B16,#REF!,#REF!,#REF!,#REF!,P$3,#REF!)</f>
        <v>61077</v>
      </c>
      <c r="Q16" s="75">
        <f ca="1">_xll.DBGET(#REF!,#REF!,#REF!,#REF!,$B16,#REF!,#REF!,#REF!,#REF!,Q$3,#REF!)</f>
        <v>39661</v>
      </c>
      <c r="R16" s="110">
        <f ca="1">_xll.DBGET(#REF!,#REF!,#REF!,#REF!,$B16,#REF!,#REF!,#REF!,#REF!,R$3,#REF!)</f>
        <v>21016</v>
      </c>
      <c r="S16" s="147"/>
      <c r="T16" s="147"/>
      <c r="U16" s="200">
        <f t="shared" ca="1" si="5"/>
        <v>178668</v>
      </c>
    </row>
    <row r="17" spans="1:21" x14ac:dyDescent="0.2">
      <c r="A17" s="139" t="s">
        <v>113</v>
      </c>
      <c r="B17" s="87" t="s">
        <v>109</v>
      </c>
      <c r="C17" s="151">
        <f ca="1">-(_xll.DBGET(#REF!,#REF!,#REF!,#REF!,$B17,#REF!,#REF!,#REF!,#REF!,C$3,#REF!))</f>
        <v>0</v>
      </c>
      <c r="D17" s="151">
        <f ca="1">-(_xll.DBGET(#REF!,#REF!,#REF!,#REF!,$B17,#REF!,#REF!,#REF!,#REF!,D$3,#REF!))</f>
        <v>0</v>
      </c>
      <c r="E17" s="151">
        <f ca="1">-(_xll.DBGET(#REF!,#REF!,#REF!,#REF!,$B17,#REF!,#REF!,#REF!,#REF!,E$3,#REF!))</f>
        <v>0</v>
      </c>
      <c r="F17" s="156">
        <f t="shared" ca="1" si="6"/>
        <v>0</v>
      </c>
      <c r="G17" s="151">
        <f ca="1">-(_xll.DBGET(#REF!,#REF!,#REF!,#REF!,$B17,#REF!,#REF!,#REF!,#REF!,G$3,#REF!))</f>
        <v>0</v>
      </c>
      <c r="H17" s="151">
        <f ca="1">-(_xll.DBGET(#REF!,#REF!,#REF!,#REF!,$B17,#REF!,#REF!,#REF!,#REF!,H$3,#REF!))</f>
        <v>-18642</v>
      </c>
      <c r="I17" s="151">
        <f ca="1">-(_xll.DBGET(#REF!,#REF!,#REF!,#REF!,$B17,#REF!,#REF!,#REF!,#REF!,I$3,#REF!))</f>
        <v>-20680</v>
      </c>
      <c r="J17" s="156">
        <f t="shared" ca="1" si="1"/>
        <v>-39322</v>
      </c>
      <c r="K17" s="202">
        <f t="shared" ca="1" si="4"/>
        <v>-39322</v>
      </c>
      <c r="L17" s="151">
        <f ca="1">-(_xll.DBGET(#REF!,#REF!,#REF!,#REF!,$B17,#REF!,#REF!,#REF!,#REF!,L$3,#REF!))</f>
        <v>-19176</v>
      </c>
      <c r="M17" s="151">
        <f ca="1">-(_xll.DBGET(#REF!,#REF!,#REF!,#REF!,$B17,#REF!,#REF!,#REF!,#REF!,M$3,#REF!))</f>
        <v>0</v>
      </c>
      <c r="N17" s="151">
        <f ca="1">-(_xll.DBGET(#REF!,#REF!,#REF!,#REF!,$B17,#REF!,#REF!,#REF!,#REF!,N$3,#REF!))</f>
        <v>0</v>
      </c>
      <c r="O17" s="156">
        <f t="shared" ca="1" si="2"/>
        <v>-19176</v>
      </c>
      <c r="P17" s="151">
        <f ca="1">-(_xll.DBGET(#REF!,#REF!,#REF!,#REF!,$B17,#REF!,#REF!,#REF!,#REF!,P$3,#REF!))</f>
        <v>-40051</v>
      </c>
      <c r="Q17" s="151">
        <f ca="1">-(_xll.DBGET(#REF!,#REF!,#REF!,#REF!,$B17,#REF!,#REF!,#REF!,#REF!,Q$3,#REF!))</f>
        <v>-39661</v>
      </c>
      <c r="R17" s="151">
        <f ca="1">-(_xll.DBGET(#REF!,#REF!,#REF!,#REF!,$B17,#REF!,#REF!,#REF!,#REF!,R$3,#REF!))</f>
        <v>-21016</v>
      </c>
      <c r="S17" s="147"/>
      <c r="T17" s="147"/>
      <c r="U17" s="202">
        <f t="shared" ca="1" si="5"/>
        <v>-119175</v>
      </c>
    </row>
    <row r="18" spans="1:21" x14ac:dyDescent="0.2">
      <c r="A18" s="138" t="s">
        <v>117</v>
      </c>
      <c r="B18" s="13"/>
      <c r="C18" s="14">
        <f ca="1">SUM(C19)</f>
        <v>25018.31</v>
      </c>
      <c r="D18" s="14">
        <f t="shared" ref="D18:R18" ca="1" si="8">SUM(D19)</f>
        <v>25514.27</v>
      </c>
      <c r="E18" s="14">
        <f t="shared" ca="1" si="8"/>
        <v>17855.72</v>
      </c>
      <c r="F18" s="155">
        <f t="shared" ca="1" si="6"/>
        <v>68388.3</v>
      </c>
      <c r="G18" s="14">
        <f t="shared" ca="1" si="8"/>
        <v>19313.330000000002</v>
      </c>
      <c r="H18" s="14">
        <f t="shared" ca="1" si="8"/>
        <v>23155.24</v>
      </c>
      <c r="I18" s="14">
        <f t="shared" ca="1" si="8"/>
        <v>22788.959999999999</v>
      </c>
      <c r="J18" s="155">
        <f t="shared" ca="1" si="1"/>
        <v>65257.530000000006</v>
      </c>
      <c r="K18" s="199">
        <f t="shared" ca="1" si="4"/>
        <v>133645.83000000002</v>
      </c>
      <c r="L18" s="14">
        <f t="shared" ca="1" si="8"/>
        <v>23375.17</v>
      </c>
      <c r="M18" s="14">
        <f t="shared" ca="1" si="8"/>
        <v>25188.97</v>
      </c>
      <c r="N18" s="14">
        <f t="shared" ca="1" si="8"/>
        <v>19088.25</v>
      </c>
      <c r="O18" s="155">
        <f t="shared" ca="1" si="2"/>
        <v>67652.39</v>
      </c>
      <c r="P18" s="14">
        <f t="shared" ca="1" si="8"/>
        <v>26501.54</v>
      </c>
      <c r="Q18" s="14">
        <f t="shared" ca="1" si="8"/>
        <v>32614.26</v>
      </c>
      <c r="R18" s="14">
        <f t="shared" ca="1" si="8"/>
        <v>19984.14</v>
      </c>
      <c r="S18" s="14"/>
      <c r="T18" s="14"/>
      <c r="U18" s="199">
        <f t="shared" ca="1" si="5"/>
        <v>253896.62000000002</v>
      </c>
    </row>
    <row r="19" spans="1:21" x14ac:dyDescent="0.2">
      <c r="A19" s="141" t="s">
        <v>112</v>
      </c>
      <c r="B19" s="142"/>
      <c r="C19" s="143">
        <f t="shared" ref="C19:R19" ca="1" si="9">SUM(C20:C23)</f>
        <v>25018.31</v>
      </c>
      <c r="D19" s="143">
        <f t="shared" ca="1" si="9"/>
        <v>25514.27</v>
      </c>
      <c r="E19" s="143">
        <f t="shared" ca="1" si="9"/>
        <v>17855.72</v>
      </c>
      <c r="F19" s="158">
        <f t="shared" ca="1" si="6"/>
        <v>68388.3</v>
      </c>
      <c r="G19" s="143">
        <f ca="1">SUM(G20:G23)</f>
        <v>19313.330000000002</v>
      </c>
      <c r="H19" s="143">
        <f t="shared" ca="1" si="9"/>
        <v>23155.24</v>
      </c>
      <c r="I19" s="143">
        <f t="shared" ca="1" si="9"/>
        <v>22788.959999999999</v>
      </c>
      <c r="J19" s="158">
        <f t="shared" ca="1" si="1"/>
        <v>65257.530000000006</v>
      </c>
      <c r="K19" s="203">
        <f t="shared" ca="1" si="4"/>
        <v>133645.83000000002</v>
      </c>
      <c r="L19" s="153">
        <f ca="1">SUM(L20:L23)</f>
        <v>23375.17</v>
      </c>
      <c r="M19" s="143">
        <f t="shared" ca="1" si="9"/>
        <v>25188.97</v>
      </c>
      <c r="N19" s="143">
        <f t="shared" ca="1" si="9"/>
        <v>19088.25</v>
      </c>
      <c r="O19" s="158">
        <f t="shared" ca="1" si="2"/>
        <v>67652.39</v>
      </c>
      <c r="P19" s="143">
        <f t="shared" ca="1" si="9"/>
        <v>26501.54</v>
      </c>
      <c r="Q19" s="143">
        <f t="shared" ca="1" si="9"/>
        <v>32614.26</v>
      </c>
      <c r="R19" s="144">
        <f t="shared" ca="1" si="9"/>
        <v>19984.14</v>
      </c>
      <c r="S19" s="149"/>
      <c r="T19" s="149"/>
      <c r="U19" s="203">
        <f t="shared" ca="1" si="5"/>
        <v>253896.62000000002</v>
      </c>
    </row>
    <row r="20" spans="1:21" s="88" customFormat="1" hidden="1" outlineLevel="1" x14ac:dyDescent="0.2">
      <c r="B20" s="131" t="s">
        <v>118</v>
      </c>
      <c r="C20" s="132">
        <f ca="1">_xll.DBGET(#REF!,#REF!,#REF!,#REF!,$B20,#REF!,#REF!,#REF!,#REF!,C$3,#REF!)</f>
        <v>20493.310000000001</v>
      </c>
      <c r="D20" s="132">
        <f ca="1">_xll.DBGET(#REF!,#REF!,#REF!,#REF!,$B20,#REF!,#REF!,#REF!,#REF!,D$3,#REF!)</f>
        <v>24514.27</v>
      </c>
      <c r="E20" s="132">
        <f ca="1">_xll.DBGET(#REF!,#REF!,#REF!,#REF!,$B20,#REF!,#REF!,#REF!,#REF!,E$3,#REF!)</f>
        <v>16855.72</v>
      </c>
      <c r="F20" s="132"/>
      <c r="G20" s="132">
        <f ca="1">_xll.DBGET(#REF!,#REF!,#REF!,#REF!,$B20,#REF!,#REF!,#REF!,#REF!,G$3,#REF!)</f>
        <v>17263.330000000002</v>
      </c>
      <c r="H20" s="132">
        <f ca="1">_xll.DBGET(#REF!,#REF!,#REF!,#REF!,$B20,#REF!,#REF!,#REF!,#REF!,H$3,#REF!)</f>
        <v>23155.24</v>
      </c>
      <c r="I20" s="132">
        <f ca="1">_xll.DBGET(#REF!,#REF!,#REF!,#REF!,$B20,#REF!,#REF!,#REF!,#REF!,I$3,#REF!)</f>
        <v>21438.959999999999</v>
      </c>
      <c r="J20" s="132"/>
      <c r="K20" s="132"/>
      <c r="L20" s="132">
        <f ca="1">_xll.DBGET(#REF!,#REF!,#REF!,#REF!,$B20,#REF!,#REF!,#REF!,#REF!,L$3,#REF!)</f>
        <v>23025.17</v>
      </c>
      <c r="M20" s="132">
        <f ca="1">_xll.DBGET(#REF!,#REF!,#REF!,#REF!,$B20,#REF!,#REF!,#REF!,#REF!,M$3,#REF!)</f>
        <v>24788.97</v>
      </c>
      <c r="N20" s="132">
        <f ca="1">_xll.DBGET(#REF!,#REF!,#REF!,#REF!,$B20,#REF!,#REF!,#REF!,#REF!,N$3,#REF!)</f>
        <v>19088.25</v>
      </c>
      <c r="O20" s="132"/>
      <c r="P20" s="132">
        <f ca="1">_xll.DBGET(#REF!,#REF!,#REF!,#REF!,$B20,#REF!,#REF!,#REF!,#REF!,P$3,#REF!)</f>
        <v>21601.54</v>
      </c>
      <c r="Q20" s="132">
        <f ca="1">_xll.DBGET(#REF!,#REF!,#REF!,#REF!,$B20,#REF!,#REF!,#REF!,#REF!,Q$3,#REF!)</f>
        <v>24714.26</v>
      </c>
      <c r="R20" s="132">
        <f ca="1">_xll.DBGET(#REF!,#REF!,#REF!,#REF!,$B20,#REF!,#REF!,#REF!,#REF!,R$3,#REF!)</f>
        <v>19984.14</v>
      </c>
      <c r="S20" s="132"/>
      <c r="T20" s="132"/>
      <c r="U20" s="132">
        <f ca="1">SUM(C20:R20)</f>
        <v>256923.16000000003</v>
      </c>
    </row>
    <row r="21" spans="1:21" s="88" customFormat="1" hidden="1" outlineLevel="1" x14ac:dyDescent="0.2">
      <c r="B21" s="89" t="s">
        <v>119</v>
      </c>
      <c r="C21" s="90">
        <f ca="1">_xll.DBGET(#REF!,#REF!,#REF!,#REF!,$B21,#REF!,#REF!,#REF!,#REF!,C$3,#REF!)</f>
        <v>0</v>
      </c>
      <c r="D21" s="90">
        <f ca="1">_xll.DBGET(#REF!,#REF!,#REF!,#REF!,$B21,#REF!,#REF!,#REF!,#REF!,D$3,#REF!)</f>
        <v>0</v>
      </c>
      <c r="E21" s="90">
        <f ca="1">_xll.DBGET(#REF!,#REF!,#REF!,#REF!,$B21,#REF!,#REF!,#REF!,#REF!,E$3,#REF!)</f>
        <v>0</v>
      </c>
      <c r="F21" s="90"/>
      <c r="G21" s="90">
        <f ca="1">_xll.DBGET(#REF!,#REF!,#REF!,#REF!,$B21,#REF!,#REF!,#REF!,#REF!,G$3,#REF!)</f>
        <v>0</v>
      </c>
      <c r="H21" s="90">
        <f ca="1">_xll.DBGET(#REF!,#REF!,#REF!,#REF!,$B21,#REF!,#REF!,#REF!,#REF!,H$3,#REF!)</f>
        <v>0</v>
      </c>
      <c r="I21" s="90">
        <f ca="1">_xll.DBGET(#REF!,#REF!,#REF!,#REF!,$B21,#REF!,#REF!,#REF!,#REF!,I$3,#REF!)</f>
        <v>0</v>
      </c>
      <c r="J21" s="90"/>
      <c r="K21" s="90"/>
      <c r="L21" s="90">
        <f ca="1">_xll.DBGET(#REF!,#REF!,#REF!,#REF!,$B21,#REF!,#REF!,#REF!,#REF!,L$3,#REF!)</f>
        <v>0</v>
      </c>
      <c r="M21" s="90">
        <f ca="1">_xll.DBGET(#REF!,#REF!,#REF!,#REF!,$B21,#REF!,#REF!,#REF!,#REF!,M$3,#REF!)</f>
        <v>0</v>
      </c>
      <c r="N21" s="90">
        <f ca="1">_xll.DBGET(#REF!,#REF!,#REF!,#REF!,$B21,#REF!,#REF!,#REF!,#REF!,N$3,#REF!)</f>
        <v>0</v>
      </c>
      <c r="O21" s="90"/>
      <c r="P21" s="90">
        <f ca="1">_xll.DBGET(#REF!,#REF!,#REF!,#REF!,$B21,#REF!,#REF!,#REF!,#REF!,P$3,#REF!)</f>
        <v>0</v>
      </c>
      <c r="Q21" s="90">
        <f ca="1">_xll.DBGET(#REF!,#REF!,#REF!,#REF!,$B21,#REF!,#REF!,#REF!,#REF!,Q$3,#REF!)</f>
        <v>0</v>
      </c>
      <c r="R21" s="90">
        <f ca="1">_xll.DBGET(#REF!,#REF!,#REF!,#REF!,$B21,#REF!,#REF!,#REF!,#REF!,R$3,#REF!)</f>
        <v>0</v>
      </c>
      <c r="S21" s="90"/>
      <c r="T21" s="90"/>
      <c r="U21" s="90">
        <f ca="1">SUM(C21:R21)</f>
        <v>0</v>
      </c>
    </row>
    <row r="22" spans="1:21" s="88" customFormat="1" hidden="1" outlineLevel="1" x14ac:dyDescent="0.2">
      <c r="B22" s="89" t="s">
        <v>120</v>
      </c>
      <c r="C22" s="90">
        <f ca="1">_xll.DBGET(#REF!,#REF!,#REF!,#REF!,$B22,#REF!,#REF!,#REF!,#REF!,C$3,#REF!)</f>
        <v>4525</v>
      </c>
      <c r="D22" s="90">
        <f ca="1">_xll.DBGET(#REF!,#REF!,#REF!,#REF!,$B22,#REF!,#REF!,#REF!,#REF!,D$3,#REF!)</f>
        <v>1000</v>
      </c>
      <c r="E22" s="90">
        <f ca="1">_xll.DBGET(#REF!,#REF!,#REF!,#REF!,$B22,#REF!,#REF!,#REF!,#REF!,E$3,#REF!)</f>
        <v>1000</v>
      </c>
      <c r="F22" s="90"/>
      <c r="G22" s="90">
        <f ca="1">_xll.DBGET(#REF!,#REF!,#REF!,#REF!,$B22,#REF!,#REF!,#REF!,#REF!,G$3,#REF!)</f>
        <v>2050</v>
      </c>
      <c r="H22" s="90">
        <f ca="1">_xll.DBGET(#REF!,#REF!,#REF!,#REF!,$B22,#REF!,#REF!,#REF!,#REF!,H$3,#REF!)</f>
        <v>0</v>
      </c>
      <c r="I22" s="90">
        <f ca="1">_xll.DBGET(#REF!,#REF!,#REF!,#REF!,$B22,#REF!,#REF!,#REF!,#REF!,I$3,#REF!)</f>
        <v>1350</v>
      </c>
      <c r="J22" s="90"/>
      <c r="K22" s="90"/>
      <c r="L22" s="90">
        <f ca="1">_xll.DBGET(#REF!,#REF!,#REF!,#REF!,$B22,#REF!,#REF!,#REF!,#REF!,L$3,#REF!)</f>
        <v>350</v>
      </c>
      <c r="M22" s="90">
        <f ca="1">_xll.DBGET(#REF!,#REF!,#REF!,#REF!,$B22,#REF!,#REF!,#REF!,#REF!,M$3,#REF!)</f>
        <v>400</v>
      </c>
      <c r="N22" s="90">
        <f ca="1">_xll.DBGET(#REF!,#REF!,#REF!,#REF!,$B22,#REF!,#REF!,#REF!,#REF!,N$3,#REF!)</f>
        <v>0</v>
      </c>
      <c r="O22" s="90"/>
      <c r="P22" s="90">
        <f ca="1">_xll.DBGET(#REF!,#REF!,#REF!,#REF!,$B22,#REF!,#REF!,#REF!,#REF!,P$3,#REF!)</f>
        <v>4900</v>
      </c>
      <c r="Q22" s="90">
        <f ca="1">_xll.DBGET(#REF!,#REF!,#REF!,#REF!,$B22,#REF!,#REF!,#REF!,#REF!,Q$3,#REF!)</f>
        <v>7900</v>
      </c>
      <c r="R22" s="90">
        <f ca="1">_xll.DBGET(#REF!,#REF!,#REF!,#REF!,$B22,#REF!,#REF!,#REF!,#REF!,R$3,#REF!)</f>
        <v>0</v>
      </c>
      <c r="S22" s="90"/>
      <c r="T22" s="90"/>
      <c r="U22" s="90">
        <f ca="1">SUM(C22:R22)</f>
        <v>23475</v>
      </c>
    </row>
    <row r="23" spans="1:21" s="88" customFormat="1" hidden="1" outlineLevel="1" x14ac:dyDescent="0.2">
      <c r="B23" s="89" t="s">
        <v>121</v>
      </c>
      <c r="C23" s="90">
        <f ca="1">_xll.DBGET(#REF!,#REF!,#REF!,#REF!,$B23,#REF!,#REF!,#REF!,#REF!,C$3,#REF!)</f>
        <v>0</v>
      </c>
      <c r="D23" s="90">
        <f ca="1">_xll.DBGET(#REF!,#REF!,#REF!,#REF!,$B23,#REF!,#REF!,#REF!,#REF!,D$3,#REF!)</f>
        <v>0</v>
      </c>
      <c r="E23" s="90">
        <f ca="1">_xll.DBGET(#REF!,#REF!,#REF!,#REF!,$B23,#REF!,#REF!,#REF!,#REF!,E$3,#REF!)</f>
        <v>0</v>
      </c>
      <c r="F23" s="90"/>
      <c r="G23" s="90">
        <f ca="1">_xll.DBGET(#REF!,#REF!,#REF!,#REF!,$B23,#REF!,#REF!,#REF!,#REF!,G$3,#REF!)</f>
        <v>0</v>
      </c>
      <c r="H23" s="90">
        <f ca="1">_xll.DBGET(#REF!,#REF!,#REF!,#REF!,$B23,#REF!,#REF!,#REF!,#REF!,H$3,#REF!)</f>
        <v>0</v>
      </c>
      <c r="I23" s="90">
        <f ca="1">_xll.DBGET(#REF!,#REF!,#REF!,#REF!,$B23,#REF!,#REF!,#REF!,#REF!,I$3,#REF!)</f>
        <v>0</v>
      </c>
      <c r="J23" s="90"/>
      <c r="K23" s="90"/>
      <c r="L23" s="90">
        <f ca="1">_xll.DBGET(#REF!,#REF!,#REF!,#REF!,$B23,#REF!,#REF!,#REF!,#REF!,L$3,#REF!)</f>
        <v>0</v>
      </c>
      <c r="M23" s="90">
        <f ca="1">_xll.DBGET(#REF!,#REF!,#REF!,#REF!,$B23,#REF!,#REF!,#REF!,#REF!,M$3,#REF!)</f>
        <v>0</v>
      </c>
      <c r="N23" s="90">
        <f ca="1">_xll.DBGET(#REF!,#REF!,#REF!,#REF!,$B23,#REF!,#REF!,#REF!,#REF!,N$3,#REF!)</f>
        <v>0</v>
      </c>
      <c r="O23" s="90"/>
      <c r="P23" s="90">
        <f ca="1">_xll.DBGET(#REF!,#REF!,#REF!,#REF!,$B23,#REF!,#REF!,#REF!,#REF!,P$3,#REF!)</f>
        <v>0</v>
      </c>
      <c r="Q23" s="90">
        <f ca="1">_xll.DBGET(#REF!,#REF!,#REF!,#REF!,$B23,#REF!,#REF!,#REF!,#REF!,Q$3,#REF!)</f>
        <v>0</v>
      </c>
      <c r="R23" s="90">
        <f ca="1">_xll.DBGET(#REF!,#REF!,#REF!,#REF!,$B23,#REF!,#REF!,#REF!,#REF!,R$3,#REF!)</f>
        <v>0</v>
      </c>
      <c r="S23" s="90"/>
      <c r="T23" s="90"/>
      <c r="U23" s="90">
        <f ca="1">SUM(C23:R23)</f>
        <v>0</v>
      </c>
    </row>
    <row r="24" spans="1:21" collapsed="1" x14ac:dyDescent="0.2"/>
    <row r="26" spans="1:21" s="88" customFormat="1" hidden="1" outlineLevel="1" x14ac:dyDescent="0.2">
      <c r="A26" s="88" t="s">
        <v>131</v>
      </c>
      <c r="B26" s="89"/>
      <c r="C26" s="95">
        <v>1181690</v>
      </c>
      <c r="D26" s="95">
        <v>906871</v>
      </c>
      <c r="E26" s="95">
        <v>986141</v>
      </c>
      <c r="F26" s="90"/>
      <c r="G26" s="95">
        <v>1205536</v>
      </c>
      <c r="H26" s="95">
        <v>1371924</v>
      </c>
      <c r="I26" s="95">
        <v>1223824</v>
      </c>
      <c r="J26" s="195"/>
      <c r="K26" s="195"/>
      <c r="L26" s="95">
        <v>1087338</v>
      </c>
      <c r="M26" s="95">
        <v>1031305</v>
      </c>
      <c r="N26" s="95">
        <v>559082</v>
      </c>
      <c r="O26" s="195"/>
      <c r="P26" s="95"/>
      <c r="Q26" s="95"/>
      <c r="R26" s="95"/>
      <c r="S26" s="95"/>
      <c r="T26" s="95"/>
      <c r="U26" s="90"/>
    </row>
    <row r="27" spans="1:21" hidden="1" outlineLevel="1" x14ac:dyDescent="0.2">
      <c r="C27" s="94">
        <f ca="1">ROUND(C4-C26,0)</f>
        <v>0</v>
      </c>
      <c r="D27" s="94">
        <f t="shared" ref="D27:R27" ca="1" si="10">ROUND(D4-D26,0)</f>
        <v>0</v>
      </c>
      <c r="E27" s="94">
        <f t="shared" ca="1" si="10"/>
        <v>0</v>
      </c>
      <c r="F27" s="94"/>
      <c r="G27" s="94">
        <f t="shared" ca="1" si="10"/>
        <v>0</v>
      </c>
      <c r="H27" s="94">
        <f t="shared" ca="1" si="10"/>
        <v>0</v>
      </c>
      <c r="I27" s="94">
        <f t="shared" ca="1" si="10"/>
        <v>0</v>
      </c>
      <c r="J27" s="94"/>
      <c r="K27" s="94"/>
      <c r="L27" s="94">
        <f t="shared" ca="1" si="10"/>
        <v>0</v>
      </c>
      <c r="M27" s="94">
        <f t="shared" ca="1" si="10"/>
        <v>0</v>
      </c>
      <c r="N27" s="94">
        <f t="shared" ca="1" si="10"/>
        <v>0</v>
      </c>
      <c r="O27" s="94"/>
      <c r="P27" s="94">
        <f t="shared" ca="1" si="10"/>
        <v>349753</v>
      </c>
      <c r="Q27" s="94">
        <f t="shared" ca="1" si="10"/>
        <v>616726</v>
      </c>
      <c r="R27" s="94">
        <f t="shared" ca="1" si="10"/>
        <v>1060699</v>
      </c>
      <c r="S27" s="94"/>
      <c r="T27" s="94"/>
    </row>
    <row r="28" spans="1:21" collapsed="1" x14ac:dyDescent="0.2"/>
    <row r="32" spans="1:21" s="99" customFormat="1" x14ac:dyDescent="0.2"/>
    <row r="33" s="99" customFormat="1" x14ac:dyDescent="0.2"/>
    <row r="37" s="99" customFormat="1" x14ac:dyDescent="0.2"/>
    <row r="38" s="99" customFormat="1" x14ac:dyDescent="0.2"/>
    <row r="39" s="99" customFormat="1" x14ac:dyDescent="0.2"/>
    <row r="40" s="99" customFormat="1" x14ac:dyDescent="0.2"/>
    <row r="42" s="99" customFormat="1" x14ac:dyDescent="0.2"/>
    <row r="44" s="99" customFormat="1" x14ac:dyDescent="0.2"/>
    <row r="49" spans="1:21" s="99" customFormat="1" x14ac:dyDescent="0.2"/>
    <row r="50" spans="1:21" s="99" customFormat="1" x14ac:dyDescent="0.2"/>
    <row r="51" spans="1:21" s="99" customFormat="1" x14ac:dyDescent="0.2"/>
    <row r="52" spans="1:21" s="99" customFormat="1" x14ac:dyDescent="0.2"/>
    <row r="60" spans="1:21" ht="16" thickBot="1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</row>
  </sheetData>
  <mergeCells count="1">
    <mergeCell ref="A1:U1"/>
  </mergeCells>
  <pageMargins left="0.70866141732283472" right="0.70866141732283472" top="0.74803149606299213" bottom="0.74803149606299213" header="0.31496062992125984" footer="0.31496062992125984"/>
  <pageSetup scale="55" orientation="landscape" r:id="rId1"/>
  <customProperties>
    <customPr name="IbpWorksheetKeyString_GUID" r:id="rId2"/>
  </customProperties>
  <ignoredErrors>
    <ignoredError sqref="F4 F5:F19" formula="1"/>
  </ignoredErrors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4C39047-9D1B-43E3-AED3-805A4B4C030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2" iconId="2"/>
              <x14:cfIcon iconSet="3Symbols" iconId="0"/>
            </x14:iconSet>
          </x14:cfRule>
          <xm:sqref>C27:T27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1"/>
  <sheetViews>
    <sheetView zoomScaleNormal="100" workbookViewId="0">
      <selection sqref="A1:N1"/>
    </sheetView>
  </sheetViews>
  <sheetFormatPr baseColWidth="10" defaultColWidth="9.1640625" defaultRowHeight="15" x14ac:dyDescent="0.2"/>
  <cols>
    <col min="1" max="1" width="10.33203125" style="22" customWidth="1"/>
    <col min="2" max="14" width="13.5" style="22" customWidth="1"/>
    <col min="15" max="15" width="10.33203125" style="22" customWidth="1"/>
    <col min="16" max="28" width="13.5" style="22" customWidth="1"/>
    <col min="29" max="29" width="10.33203125" style="22" customWidth="1"/>
    <col min="30" max="42" width="13.5" style="22" customWidth="1"/>
    <col min="43" max="16384" width="9.1640625" style="22"/>
  </cols>
  <sheetData>
    <row r="1" spans="1:42" ht="27" x14ac:dyDescent="0.45">
      <c r="A1" s="217" t="s">
        <v>140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 t="str">
        <f>A1</f>
        <v>Two Year Rail Billings Forecast, by Grade - Nutrien</v>
      </c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 t="str">
        <f>A1</f>
        <v>Two Year Rail Billings Forecast, by Grade - Nutrien</v>
      </c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</row>
    <row r="2" spans="1:42" s="8" customFormat="1" ht="21.75" customHeight="1" x14ac:dyDescent="0.35">
      <c r="A2" s="126"/>
      <c r="B2" s="227" t="s">
        <v>138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126"/>
      <c r="P2" s="227" t="s">
        <v>139</v>
      </c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126"/>
      <c r="AD2" s="227" t="s">
        <v>169</v>
      </c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</row>
    <row r="3" spans="1:42" ht="34.5" customHeight="1" x14ac:dyDescent="0.2">
      <c r="A3" s="122"/>
      <c r="B3" s="127">
        <v>43831</v>
      </c>
      <c r="C3" s="127">
        <v>43862</v>
      </c>
      <c r="D3" s="127">
        <v>43891</v>
      </c>
      <c r="E3" s="127">
        <v>43922</v>
      </c>
      <c r="F3" s="127">
        <v>43952</v>
      </c>
      <c r="G3" s="127">
        <v>43983</v>
      </c>
      <c r="H3" s="127">
        <v>44013</v>
      </c>
      <c r="I3" s="127">
        <v>44044</v>
      </c>
      <c r="J3" s="127">
        <v>44075</v>
      </c>
      <c r="K3" s="127">
        <v>44105</v>
      </c>
      <c r="L3" s="127">
        <v>44136</v>
      </c>
      <c r="M3" s="127">
        <v>44166</v>
      </c>
      <c r="N3" s="226" t="s">
        <v>72</v>
      </c>
      <c r="O3" s="122"/>
      <c r="P3" s="127">
        <v>44197</v>
      </c>
      <c r="Q3" s="127">
        <v>44228</v>
      </c>
      <c r="R3" s="127">
        <v>44256</v>
      </c>
      <c r="S3" s="127">
        <v>44287</v>
      </c>
      <c r="T3" s="127">
        <v>44317</v>
      </c>
      <c r="U3" s="127">
        <v>44348</v>
      </c>
      <c r="V3" s="127">
        <v>44378</v>
      </c>
      <c r="W3" s="127">
        <v>44409</v>
      </c>
      <c r="X3" s="127">
        <v>44440</v>
      </c>
      <c r="Y3" s="127">
        <v>44470</v>
      </c>
      <c r="Z3" s="127">
        <v>44501</v>
      </c>
      <c r="AA3" s="127">
        <v>44531</v>
      </c>
      <c r="AB3" s="226" t="s">
        <v>73</v>
      </c>
      <c r="AC3" s="122"/>
      <c r="AD3" s="127">
        <v>44562</v>
      </c>
      <c r="AE3" s="127">
        <v>44593</v>
      </c>
      <c r="AF3" s="127">
        <v>44621</v>
      </c>
      <c r="AG3" s="127">
        <v>44652</v>
      </c>
      <c r="AH3" s="127">
        <v>44682</v>
      </c>
      <c r="AI3" s="127">
        <v>44713</v>
      </c>
      <c r="AJ3" s="212">
        <v>44743</v>
      </c>
      <c r="AK3" s="212">
        <v>44774</v>
      </c>
      <c r="AL3" s="212">
        <v>44805</v>
      </c>
      <c r="AM3" s="212">
        <v>44835</v>
      </c>
      <c r="AN3" s="212">
        <v>44866</v>
      </c>
      <c r="AO3" s="212">
        <v>44896</v>
      </c>
      <c r="AP3" s="226" t="s">
        <v>170</v>
      </c>
    </row>
    <row r="4" spans="1:42" ht="18" x14ac:dyDescent="0.35">
      <c r="A4" s="122"/>
      <c r="B4" s="125" t="s">
        <v>173</v>
      </c>
      <c r="C4" s="125" t="s">
        <v>173</v>
      </c>
      <c r="D4" s="125" t="s">
        <v>173</v>
      </c>
      <c r="E4" s="125" t="s">
        <v>132</v>
      </c>
      <c r="F4" s="125" t="s">
        <v>132</v>
      </c>
      <c r="G4" s="125" t="s">
        <v>132</v>
      </c>
      <c r="H4" s="125" t="s">
        <v>132</v>
      </c>
      <c r="I4" s="125" t="s">
        <v>132</v>
      </c>
      <c r="J4" s="125" t="s">
        <v>132</v>
      </c>
      <c r="K4" s="125" t="s">
        <v>132</v>
      </c>
      <c r="L4" s="125" t="s">
        <v>132</v>
      </c>
      <c r="M4" s="125" t="s">
        <v>132</v>
      </c>
      <c r="N4" s="226"/>
      <c r="O4" s="122"/>
      <c r="P4" s="125" t="s">
        <v>132</v>
      </c>
      <c r="Q4" s="125" t="s">
        <v>132</v>
      </c>
      <c r="R4" s="125" t="s">
        <v>132</v>
      </c>
      <c r="S4" s="125" t="s">
        <v>132</v>
      </c>
      <c r="T4" s="125" t="s">
        <v>132</v>
      </c>
      <c r="U4" s="125" t="s">
        <v>132</v>
      </c>
      <c r="V4" s="125" t="s">
        <v>132</v>
      </c>
      <c r="W4" s="125" t="s">
        <v>132</v>
      </c>
      <c r="X4" s="125" t="s">
        <v>132</v>
      </c>
      <c r="Y4" s="125" t="s">
        <v>132</v>
      </c>
      <c r="Z4" s="125" t="s">
        <v>132</v>
      </c>
      <c r="AA4" s="125" t="s">
        <v>132</v>
      </c>
      <c r="AB4" s="226"/>
      <c r="AC4" s="122"/>
      <c r="AD4" s="125" t="s">
        <v>132</v>
      </c>
      <c r="AE4" s="125" t="s">
        <v>132</v>
      </c>
      <c r="AF4" s="125" t="s">
        <v>132</v>
      </c>
      <c r="AG4" s="125" t="s">
        <v>132</v>
      </c>
      <c r="AH4" s="125" t="s">
        <v>132</v>
      </c>
      <c r="AI4" s="125" t="s">
        <v>132</v>
      </c>
      <c r="AJ4" s="213" t="s">
        <v>132</v>
      </c>
      <c r="AK4" s="213" t="s">
        <v>132</v>
      </c>
      <c r="AL4" s="213" t="s">
        <v>132</v>
      </c>
      <c r="AM4" s="213" t="s">
        <v>132</v>
      </c>
      <c r="AN4" s="213" t="s">
        <v>132</v>
      </c>
      <c r="AO4" s="213" t="s">
        <v>132</v>
      </c>
      <c r="AP4" s="226"/>
    </row>
    <row r="5" spans="1:42" x14ac:dyDescent="0.2">
      <c r="A5" s="11" t="s">
        <v>7</v>
      </c>
      <c r="B5" s="12">
        <f t="shared" ref="B5:M5" si="0">SUM(B6,B13)</f>
        <v>416568.60800000007</v>
      </c>
      <c r="C5" s="12">
        <f t="shared" si="0"/>
        <v>520513.74699999997</v>
      </c>
      <c r="D5" s="12">
        <f t="shared" si="0"/>
        <v>793224.90800000005</v>
      </c>
      <c r="E5" s="12">
        <f t="shared" si="0"/>
        <v>831974.22399999993</v>
      </c>
      <c r="F5" s="12">
        <f t="shared" si="0"/>
        <v>732608.152</v>
      </c>
      <c r="G5" s="12">
        <f t="shared" si="0"/>
        <v>865569.554</v>
      </c>
      <c r="H5" s="12">
        <f t="shared" si="0"/>
        <v>844871</v>
      </c>
      <c r="I5" s="12">
        <f t="shared" si="0"/>
        <v>809674.5</v>
      </c>
      <c r="J5" s="12">
        <f t="shared" si="0"/>
        <v>769946.5</v>
      </c>
      <c r="K5" s="12">
        <f t="shared" si="0"/>
        <v>675653.5</v>
      </c>
      <c r="L5" s="12">
        <f t="shared" si="0"/>
        <v>399431</v>
      </c>
      <c r="M5" s="12">
        <f t="shared" si="0"/>
        <v>316392</v>
      </c>
      <c r="N5" s="25">
        <f>SUM(B5:M5)</f>
        <v>7976427.693</v>
      </c>
      <c r="O5" s="11" t="s">
        <v>7</v>
      </c>
      <c r="P5" s="12">
        <f t="shared" ref="P5:AA5" si="1">SUM(P6,P13)</f>
        <v>509058.44990727573</v>
      </c>
      <c r="Q5" s="12">
        <f t="shared" si="1"/>
        <v>631642.83984863781</v>
      </c>
      <c r="R5" s="12">
        <f t="shared" si="1"/>
        <v>778250.71221548389</v>
      </c>
      <c r="S5" s="12">
        <f t="shared" si="1"/>
        <v>747904.87398730195</v>
      </c>
      <c r="T5" s="12">
        <f t="shared" si="1"/>
        <v>774472.83992592129</v>
      </c>
      <c r="U5" s="12">
        <f t="shared" si="1"/>
        <v>741183.85548571707</v>
      </c>
      <c r="V5" s="12">
        <f t="shared" si="1"/>
        <v>871499.9803311876</v>
      </c>
      <c r="W5" s="12">
        <f t="shared" si="1"/>
        <v>747979.47080956097</v>
      </c>
      <c r="X5" s="12">
        <f t="shared" si="1"/>
        <v>718576.52032695699</v>
      </c>
      <c r="Y5" s="12">
        <f t="shared" si="1"/>
        <v>679379.87391710631</v>
      </c>
      <c r="Z5" s="12">
        <f t="shared" si="1"/>
        <v>630718.10029873438</v>
      </c>
      <c r="AA5" s="12">
        <f t="shared" si="1"/>
        <v>529957.09881291259</v>
      </c>
      <c r="AB5" s="25">
        <f t="shared" ref="AB5:AB13" si="2">SUM(P5:AA5)</f>
        <v>8360624.615866797</v>
      </c>
      <c r="AC5" s="11" t="s">
        <v>7</v>
      </c>
      <c r="AD5" s="12">
        <f>SUM(AD6,AD13)</f>
        <v>509058.44990727573</v>
      </c>
      <c r="AE5" s="12">
        <f>SUM(AE6,AE13)</f>
        <v>631642.83984863781</v>
      </c>
      <c r="AF5" s="12">
        <f>SUM(AF6,AF13)</f>
        <v>778250.71221548389</v>
      </c>
      <c r="AG5" s="12">
        <f t="shared" ref="AG5:AO5" si="3">SUM(AG6,AG13)</f>
        <v>747904.87398730195</v>
      </c>
      <c r="AH5" s="12">
        <f t="shared" si="3"/>
        <v>774472.83992592129</v>
      </c>
      <c r="AI5" s="12">
        <f t="shared" si="3"/>
        <v>741183.85548571707</v>
      </c>
      <c r="AJ5" s="214">
        <f t="shared" si="3"/>
        <v>0</v>
      </c>
      <c r="AK5" s="214">
        <f t="shared" si="3"/>
        <v>0</v>
      </c>
      <c r="AL5" s="214">
        <f t="shared" si="3"/>
        <v>0</v>
      </c>
      <c r="AM5" s="214">
        <f t="shared" si="3"/>
        <v>0</v>
      </c>
      <c r="AN5" s="214">
        <f t="shared" si="3"/>
        <v>0</v>
      </c>
      <c r="AO5" s="214">
        <f t="shared" si="3"/>
        <v>0</v>
      </c>
      <c r="AP5" s="25">
        <f>SUM(AD5:AO5)</f>
        <v>4182513.5713703372</v>
      </c>
    </row>
    <row r="6" spans="1:42" x14ac:dyDescent="0.2">
      <c r="A6" s="13" t="s">
        <v>8</v>
      </c>
      <c r="B6" s="14">
        <f>SUM(B7:B12)</f>
        <v>139635.86800000002</v>
      </c>
      <c r="C6" s="14">
        <f t="shared" ref="C6:M6" si="4">SUM(C7:C12)</f>
        <v>256068.11</v>
      </c>
      <c r="D6" s="14">
        <f t="shared" si="4"/>
        <v>307081.35100000002</v>
      </c>
      <c r="E6" s="14">
        <f t="shared" si="4"/>
        <v>296875.30499999999</v>
      </c>
      <c r="F6" s="14">
        <f t="shared" si="4"/>
        <v>251847.44500000001</v>
      </c>
      <c r="G6" s="14">
        <f t="shared" si="4"/>
        <v>311605.114</v>
      </c>
      <c r="H6" s="14">
        <f t="shared" si="4"/>
        <v>317538</v>
      </c>
      <c r="I6" s="14">
        <f t="shared" si="4"/>
        <v>341914</v>
      </c>
      <c r="J6" s="14">
        <f t="shared" si="4"/>
        <v>334987</v>
      </c>
      <c r="K6" s="14">
        <f t="shared" si="4"/>
        <v>219882</v>
      </c>
      <c r="L6" s="14">
        <f t="shared" si="4"/>
        <v>128758</v>
      </c>
      <c r="M6" s="14">
        <f t="shared" si="4"/>
        <v>170212</v>
      </c>
      <c r="N6" s="26">
        <f>SUM(B6:M6)</f>
        <v>3076404.193</v>
      </c>
      <c r="O6" s="13" t="s">
        <v>8</v>
      </c>
      <c r="P6" s="14">
        <f>SUM(P7:P12)</f>
        <v>167001.81277552899</v>
      </c>
      <c r="Q6" s="14">
        <f>SUM(Q7:Q12)</f>
        <v>187618.38736585053</v>
      </c>
      <c r="R6" s="14">
        <f>SUM(R7:R12)</f>
        <v>360284.80462052597</v>
      </c>
      <c r="S6" s="14">
        <f t="shared" ref="S6:AA6" si="5">SUM(S7:S12)</f>
        <v>298562.96261165739</v>
      </c>
      <c r="T6" s="14">
        <f t="shared" si="5"/>
        <v>319802.51701690129</v>
      </c>
      <c r="U6" s="14">
        <f t="shared" si="5"/>
        <v>296125.98977572098</v>
      </c>
      <c r="V6" s="14">
        <f t="shared" si="5"/>
        <v>409419.27317653102</v>
      </c>
      <c r="W6" s="14">
        <f t="shared" si="5"/>
        <v>384811.51701690099</v>
      </c>
      <c r="X6" s="14">
        <f t="shared" si="5"/>
        <v>324672.48418482102</v>
      </c>
      <c r="Y6" s="14">
        <f t="shared" si="5"/>
        <v>253006.06049097099</v>
      </c>
      <c r="Z6" s="14">
        <f t="shared" si="5"/>
        <v>308303.52480560401</v>
      </c>
      <c r="AA6" s="14">
        <f t="shared" si="5"/>
        <v>233501.86615898702</v>
      </c>
      <c r="AB6" s="26">
        <f t="shared" si="2"/>
        <v>3543111.2</v>
      </c>
      <c r="AC6" s="13" t="s">
        <v>8</v>
      </c>
      <c r="AD6" s="14">
        <f>SUM(AD7:AD12)</f>
        <v>167001.81277552899</v>
      </c>
      <c r="AE6" s="14">
        <f>SUM(AE7:AE12)</f>
        <v>187618.38736585053</v>
      </c>
      <c r="AF6" s="14">
        <f>SUM(AF7:AF12)</f>
        <v>360284.80462052597</v>
      </c>
      <c r="AG6" s="14">
        <f>SUM(AG7:AG12)</f>
        <v>298562.96261165739</v>
      </c>
      <c r="AH6" s="14">
        <f>SUM(AH7:AH12)</f>
        <v>319802.51701690129</v>
      </c>
      <c r="AI6" s="14">
        <f t="shared" ref="AI6:AO6" si="6">SUM(AI7:AI12)</f>
        <v>296125.98977572098</v>
      </c>
      <c r="AJ6" s="215">
        <f t="shared" si="6"/>
        <v>0</v>
      </c>
      <c r="AK6" s="215">
        <f t="shared" si="6"/>
        <v>0</v>
      </c>
      <c r="AL6" s="215">
        <f t="shared" si="6"/>
        <v>0</v>
      </c>
      <c r="AM6" s="215">
        <f t="shared" si="6"/>
        <v>0</v>
      </c>
      <c r="AN6" s="215">
        <f t="shared" si="6"/>
        <v>0</v>
      </c>
      <c r="AO6" s="215">
        <f t="shared" si="6"/>
        <v>0</v>
      </c>
      <c r="AP6" s="26">
        <f t="shared" ref="AP6:AP21" si="7">SUM(AD6:AO6)</f>
        <v>1629396.4741661851</v>
      </c>
    </row>
    <row r="7" spans="1:42" x14ac:dyDescent="0.2">
      <c r="A7" s="74" t="s">
        <v>21</v>
      </c>
      <c r="B7" s="75">
        <v>0</v>
      </c>
      <c r="C7" s="75">
        <v>0</v>
      </c>
      <c r="D7" s="75">
        <v>0</v>
      </c>
      <c r="E7" s="75">
        <v>0</v>
      </c>
      <c r="F7" s="75">
        <v>20066.749</v>
      </c>
      <c r="G7" s="75">
        <v>30528.97</v>
      </c>
      <c r="H7" s="75">
        <v>41917.5</v>
      </c>
      <c r="I7" s="75">
        <v>2026.5</v>
      </c>
      <c r="J7" s="75">
        <v>-3013</v>
      </c>
      <c r="K7" s="75">
        <v>0</v>
      </c>
      <c r="L7" s="75">
        <v>0</v>
      </c>
      <c r="M7" s="75">
        <v>0</v>
      </c>
      <c r="N7" s="82">
        <f>SUM(B7:M7)</f>
        <v>91526.718999999997</v>
      </c>
      <c r="O7" s="74" t="s">
        <v>21</v>
      </c>
      <c r="P7" s="75">
        <v>11168.5</v>
      </c>
      <c r="Q7" s="75">
        <v>20741.5</v>
      </c>
      <c r="R7" s="75">
        <v>6382</v>
      </c>
      <c r="S7" s="75">
        <v>33505.5</v>
      </c>
      <c r="T7" s="75">
        <v>9573</v>
      </c>
      <c r="U7" s="75">
        <v>0</v>
      </c>
      <c r="V7" s="75">
        <v>0</v>
      </c>
      <c r="W7" s="75">
        <v>6382</v>
      </c>
      <c r="X7" s="75">
        <v>27123.5</v>
      </c>
      <c r="Y7" s="75">
        <v>0</v>
      </c>
      <c r="Z7" s="75">
        <v>47865</v>
      </c>
      <c r="AA7" s="75">
        <v>0</v>
      </c>
      <c r="AB7" s="82">
        <f t="shared" si="2"/>
        <v>162741</v>
      </c>
      <c r="AC7" s="74" t="s">
        <v>21</v>
      </c>
      <c r="AD7" s="75">
        <v>11168.5</v>
      </c>
      <c r="AE7" s="75">
        <v>20741.5</v>
      </c>
      <c r="AF7" s="75">
        <v>6382</v>
      </c>
      <c r="AG7" s="75">
        <v>33505.5</v>
      </c>
      <c r="AH7" s="75">
        <v>9573</v>
      </c>
      <c r="AI7" s="75">
        <v>0</v>
      </c>
      <c r="AJ7" s="216">
        <v>0</v>
      </c>
      <c r="AK7" s="216">
        <v>0</v>
      </c>
      <c r="AL7" s="216">
        <v>0</v>
      </c>
      <c r="AM7" s="216">
        <v>0</v>
      </c>
      <c r="AN7" s="216">
        <v>0</v>
      </c>
      <c r="AO7" s="216">
        <v>0</v>
      </c>
      <c r="AP7" s="82">
        <f>SUM(AD7:AO7)</f>
        <v>81370.5</v>
      </c>
    </row>
    <row r="8" spans="1:42" x14ac:dyDescent="0.2">
      <c r="A8" s="74" t="s">
        <v>24</v>
      </c>
      <c r="B8" s="75">
        <v>13983.191999999999</v>
      </c>
      <c r="C8" s="75">
        <v>9742.8009999999995</v>
      </c>
      <c r="D8" s="75">
        <v>31838.498</v>
      </c>
      <c r="E8" s="75">
        <v>0</v>
      </c>
      <c r="F8" s="75">
        <v>2801.252</v>
      </c>
      <c r="G8" s="75">
        <v>32762.351000000002</v>
      </c>
      <c r="H8" s="75">
        <v>0</v>
      </c>
      <c r="I8" s="75">
        <v>18500</v>
      </c>
      <c r="J8" s="75">
        <v>0</v>
      </c>
      <c r="K8" s="75">
        <v>33327</v>
      </c>
      <c r="L8" s="75">
        <v>6500</v>
      </c>
      <c r="M8" s="75">
        <v>0</v>
      </c>
      <c r="N8" s="82">
        <f>SUM(B8:M8)</f>
        <v>149455.09399999998</v>
      </c>
      <c r="O8" s="74" t="s">
        <v>24</v>
      </c>
      <c r="P8" s="75">
        <v>10000</v>
      </c>
      <c r="Q8" s="75">
        <v>24900</v>
      </c>
      <c r="R8" s="75">
        <v>7000</v>
      </c>
      <c r="S8" s="75">
        <v>6000</v>
      </c>
      <c r="T8" s="75">
        <v>12800</v>
      </c>
      <c r="U8" s="75">
        <v>6000</v>
      </c>
      <c r="V8" s="75">
        <v>0</v>
      </c>
      <c r="W8" s="75">
        <v>24000</v>
      </c>
      <c r="X8" s="75">
        <v>7000</v>
      </c>
      <c r="Y8" s="75">
        <v>0</v>
      </c>
      <c r="Z8" s="75">
        <v>11500</v>
      </c>
      <c r="AA8" s="75">
        <v>12800</v>
      </c>
      <c r="AB8" s="82">
        <f t="shared" si="2"/>
        <v>122000</v>
      </c>
      <c r="AC8" s="74" t="s">
        <v>24</v>
      </c>
      <c r="AD8" s="75">
        <v>10000</v>
      </c>
      <c r="AE8" s="75">
        <v>24900</v>
      </c>
      <c r="AF8" s="75">
        <v>7000</v>
      </c>
      <c r="AG8" s="75">
        <v>6000</v>
      </c>
      <c r="AH8" s="75">
        <v>12800</v>
      </c>
      <c r="AI8" s="75">
        <v>6000</v>
      </c>
      <c r="AJ8" s="216">
        <v>0</v>
      </c>
      <c r="AK8" s="216">
        <v>0</v>
      </c>
      <c r="AL8" s="216">
        <v>0</v>
      </c>
      <c r="AM8" s="216">
        <v>0</v>
      </c>
      <c r="AN8" s="216">
        <v>0</v>
      </c>
      <c r="AO8" s="216">
        <v>0</v>
      </c>
      <c r="AP8" s="82">
        <f>SUM(AD8:AO8)</f>
        <v>66700</v>
      </c>
    </row>
    <row r="9" spans="1:42" x14ac:dyDescent="0.2">
      <c r="A9" s="74" t="s">
        <v>41</v>
      </c>
      <c r="B9" s="75">
        <v>0</v>
      </c>
      <c r="C9" s="75">
        <v>0</v>
      </c>
      <c r="D9" s="75">
        <v>42511.017000000007</v>
      </c>
      <c r="E9" s="75">
        <v>0</v>
      </c>
      <c r="F9" s="75">
        <v>21251.172999999999</v>
      </c>
      <c r="G9" s="75">
        <v>20700</v>
      </c>
      <c r="H9" s="75">
        <v>0</v>
      </c>
      <c r="I9" s="75">
        <v>21217.5</v>
      </c>
      <c r="J9" s="75">
        <v>711.5</v>
      </c>
      <c r="K9" s="75">
        <v>21217.5</v>
      </c>
      <c r="L9" s="75">
        <v>0</v>
      </c>
      <c r="M9" s="75">
        <v>0</v>
      </c>
      <c r="N9" s="82">
        <f t="shared" ref="N9:N21" si="8">SUM(B9:M9)</f>
        <v>127608.69</v>
      </c>
      <c r="O9" s="74" t="s">
        <v>41</v>
      </c>
      <c r="P9" s="75">
        <v>21000</v>
      </c>
      <c r="Q9" s="75">
        <v>0</v>
      </c>
      <c r="R9" s="75">
        <v>21000</v>
      </c>
      <c r="S9" s="75">
        <v>0</v>
      </c>
      <c r="T9" s="75">
        <v>21000</v>
      </c>
      <c r="U9" s="75">
        <v>0</v>
      </c>
      <c r="V9" s="75">
        <v>21000</v>
      </c>
      <c r="W9" s="75">
        <v>21000</v>
      </c>
      <c r="X9" s="75">
        <v>21000</v>
      </c>
      <c r="Y9" s="75">
        <v>0</v>
      </c>
      <c r="Z9" s="75">
        <v>21000</v>
      </c>
      <c r="AA9" s="75">
        <v>0</v>
      </c>
      <c r="AB9" s="82">
        <f t="shared" si="2"/>
        <v>147000</v>
      </c>
      <c r="AC9" s="74" t="s">
        <v>41</v>
      </c>
      <c r="AD9" s="75">
        <v>21000</v>
      </c>
      <c r="AE9" s="75">
        <v>0</v>
      </c>
      <c r="AF9" s="75">
        <v>21000</v>
      </c>
      <c r="AG9" s="75">
        <v>0</v>
      </c>
      <c r="AH9" s="75">
        <v>21000</v>
      </c>
      <c r="AI9" s="75">
        <v>0</v>
      </c>
      <c r="AJ9" s="216">
        <v>0</v>
      </c>
      <c r="AK9" s="216">
        <v>0</v>
      </c>
      <c r="AL9" s="216">
        <v>0</v>
      </c>
      <c r="AM9" s="216">
        <v>0</v>
      </c>
      <c r="AN9" s="216">
        <v>0</v>
      </c>
      <c r="AO9" s="216">
        <v>0</v>
      </c>
      <c r="AP9" s="82">
        <f t="shared" si="7"/>
        <v>63000</v>
      </c>
    </row>
    <row r="10" spans="1:42" x14ac:dyDescent="0.2">
      <c r="A10" s="74" t="s">
        <v>37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33016.5</v>
      </c>
      <c r="K10" s="75">
        <v>33016.5</v>
      </c>
      <c r="L10" s="75">
        <v>33016.5</v>
      </c>
      <c r="M10" s="75">
        <v>0</v>
      </c>
      <c r="N10" s="82">
        <f>SUM(B10:M10)</f>
        <v>99049.5</v>
      </c>
      <c r="O10" s="74" t="s">
        <v>37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5">
        <v>0</v>
      </c>
      <c r="Y10" s="75">
        <v>0</v>
      </c>
      <c r="Z10" s="75">
        <v>0</v>
      </c>
      <c r="AA10" s="75">
        <v>0</v>
      </c>
      <c r="AB10" s="82">
        <f t="shared" si="2"/>
        <v>0</v>
      </c>
      <c r="AC10" s="74" t="s">
        <v>37</v>
      </c>
      <c r="AD10" s="75">
        <v>0</v>
      </c>
      <c r="AE10" s="75">
        <v>0</v>
      </c>
      <c r="AF10" s="75">
        <v>0</v>
      </c>
      <c r="AG10" s="75">
        <v>0</v>
      </c>
      <c r="AH10" s="75">
        <v>0</v>
      </c>
      <c r="AI10" s="75">
        <v>0</v>
      </c>
      <c r="AJ10" s="216">
        <v>0</v>
      </c>
      <c r="AK10" s="216">
        <v>0</v>
      </c>
      <c r="AL10" s="216">
        <v>0</v>
      </c>
      <c r="AM10" s="216">
        <v>0</v>
      </c>
      <c r="AN10" s="216">
        <v>0</v>
      </c>
      <c r="AO10" s="216">
        <v>0</v>
      </c>
      <c r="AP10" s="82">
        <f>SUM(AD10:AO10)</f>
        <v>0</v>
      </c>
    </row>
    <row r="11" spans="1:42" x14ac:dyDescent="0.2">
      <c r="A11" s="74" t="s">
        <v>20</v>
      </c>
      <c r="B11" s="75">
        <v>51673.218000000008</v>
      </c>
      <c r="C11" s="75">
        <v>151147.59299999999</v>
      </c>
      <c r="D11" s="75">
        <v>165613.07100000003</v>
      </c>
      <c r="E11" s="75">
        <v>125368.38900000001</v>
      </c>
      <c r="F11" s="75">
        <v>165727.17199999999</v>
      </c>
      <c r="G11" s="75">
        <v>165480.837</v>
      </c>
      <c r="H11" s="75">
        <v>213520.5</v>
      </c>
      <c r="I11" s="75">
        <v>199898</v>
      </c>
      <c r="J11" s="75">
        <v>237182</v>
      </c>
      <c r="K11" s="75">
        <v>64160.5</v>
      </c>
      <c r="L11" s="75">
        <v>23646</v>
      </c>
      <c r="M11" s="75">
        <v>106113</v>
      </c>
      <c r="N11" s="82">
        <f>SUM(B11:M11)</f>
        <v>1669530.28</v>
      </c>
      <c r="O11" s="74" t="s">
        <v>20</v>
      </c>
      <c r="P11" s="75">
        <v>62467.912775528996</v>
      </c>
      <c r="Q11" s="75">
        <v>98579.287365850527</v>
      </c>
      <c r="R11" s="75">
        <v>248249.00462052599</v>
      </c>
      <c r="S11" s="75">
        <v>159498.26261165738</v>
      </c>
      <c r="T11" s="75">
        <v>196654.51701690126</v>
      </c>
      <c r="U11" s="75">
        <v>200346.38977572101</v>
      </c>
      <c r="V11" s="75">
        <v>350127.27317653102</v>
      </c>
      <c r="W11" s="75">
        <v>268654.51701690099</v>
      </c>
      <c r="X11" s="75">
        <v>233171.584184821</v>
      </c>
      <c r="Y11" s="75">
        <v>203226.46049097099</v>
      </c>
      <c r="Z11" s="75">
        <v>191561.12480560399</v>
      </c>
      <c r="AA11" s="75">
        <v>162304.26615898701</v>
      </c>
      <c r="AB11" s="82">
        <f t="shared" si="2"/>
        <v>2374840.6</v>
      </c>
      <c r="AC11" s="74" t="s">
        <v>20</v>
      </c>
      <c r="AD11" s="75">
        <v>62467.912775528996</v>
      </c>
      <c r="AE11" s="75">
        <v>98579.287365850527</v>
      </c>
      <c r="AF11" s="75">
        <v>248249.00462052599</v>
      </c>
      <c r="AG11" s="75">
        <v>159498.26261165738</v>
      </c>
      <c r="AH11" s="75">
        <v>196654.51701690126</v>
      </c>
      <c r="AI11" s="75">
        <v>200346.38977572101</v>
      </c>
      <c r="AJ11" s="216">
        <v>0</v>
      </c>
      <c r="AK11" s="216">
        <v>0</v>
      </c>
      <c r="AL11" s="216">
        <v>0</v>
      </c>
      <c r="AM11" s="216">
        <v>0</v>
      </c>
      <c r="AN11" s="216">
        <v>0</v>
      </c>
      <c r="AO11" s="216">
        <v>0</v>
      </c>
      <c r="AP11" s="82">
        <f>SUM(AD11:AO11)</f>
        <v>965795.37416618515</v>
      </c>
    </row>
    <row r="12" spans="1:42" x14ac:dyDescent="0.2">
      <c r="A12" s="74" t="s">
        <v>40</v>
      </c>
      <c r="B12" s="75">
        <v>73979.457999999999</v>
      </c>
      <c r="C12" s="75">
        <v>95177.716</v>
      </c>
      <c r="D12" s="75">
        <v>67118.764999999985</v>
      </c>
      <c r="E12" s="75">
        <v>171506.916</v>
      </c>
      <c r="F12" s="75">
        <v>42001.099000000002</v>
      </c>
      <c r="G12" s="75">
        <v>62132.955999999998</v>
      </c>
      <c r="H12" s="75">
        <v>62100</v>
      </c>
      <c r="I12" s="75">
        <v>100272</v>
      </c>
      <c r="J12" s="75">
        <v>67090</v>
      </c>
      <c r="K12" s="75">
        <v>68160.5</v>
      </c>
      <c r="L12" s="75">
        <v>65595.5</v>
      </c>
      <c r="M12" s="75">
        <v>64099</v>
      </c>
      <c r="N12" s="82">
        <f t="shared" si="8"/>
        <v>939233.90999999992</v>
      </c>
      <c r="O12" s="74" t="s">
        <v>40</v>
      </c>
      <c r="P12" s="75">
        <v>62365.4</v>
      </c>
      <c r="Q12" s="75">
        <v>43397.599999999999</v>
      </c>
      <c r="R12" s="75">
        <v>77653.8</v>
      </c>
      <c r="S12" s="75">
        <v>99559.2</v>
      </c>
      <c r="T12" s="75">
        <v>79775</v>
      </c>
      <c r="U12" s="75">
        <v>89779.6</v>
      </c>
      <c r="V12" s="75">
        <v>38292</v>
      </c>
      <c r="W12" s="75">
        <v>64775</v>
      </c>
      <c r="X12" s="75">
        <v>36377.4</v>
      </c>
      <c r="Y12" s="75">
        <v>49779.6</v>
      </c>
      <c r="Z12" s="75">
        <v>36377.4</v>
      </c>
      <c r="AA12" s="75">
        <v>58397.599999999999</v>
      </c>
      <c r="AB12" s="82">
        <f t="shared" si="2"/>
        <v>736529.6</v>
      </c>
      <c r="AC12" s="74" t="s">
        <v>40</v>
      </c>
      <c r="AD12" s="75">
        <v>62365.4</v>
      </c>
      <c r="AE12" s="75">
        <v>43397.599999999999</v>
      </c>
      <c r="AF12" s="75">
        <v>77653.8</v>
      </c>
      <c r="AG12" s="75">
        <v>99559.2</v>
      </c>
      <c r="AH12" s="75">
        <v>79775</v>
      </c>
      <c r="AI12" s="75">
        <v>89779.6</v>
      </c>
      <c r="AJ12" s="216">
        <v>0</v>
      </c>
      <c r="AK12" s="216">
        <v>0</v>
      </c>
      <c r="AL12" s="216">
        <v>0</v>
      </c>
      <c r="AM12" s="216">
        <v>0</v>
      </c>
      <c r="AN12" s="216">
        <v>0</v>
      </c>
      <c r="AO12" s="216">
        <v>0</v>
      </c>
      <c r="AP12" s="82">
        <f t="shared" si="7"/>
        <v>452530.6</v>
      </c>
    </row>
    <row r="13" spans="1:42" x14ac:dyDescent="0.2">
      <c r="A13" s="13" t="s">
        <v>9</v>
      </c>
      <c r="B13" s="14">
        <f t="shared" ref="B13:M13" si="9">SUM(B14:B21)</f>
        <v>276932.74000000005</v>
      </c>
      <c r="C13" s="14">
        <f t="shared" si="9"/>
        <v>264445.63699999999</v>
      </c>
      <c r="D13" s="14">
        <f t="shared" si="9"/>
        <v>486143.55700000003</v>
      </c>
      <c r="E13" s="14">
        <f t="shared" si="9"/>
        <v>535098.91899999999</v>
      </c>
      <c r="F13" s="14">
        <f t="shared" si="9"/>
        <v>480760.70699999994</v>
      </c>
      <c r="G13" s="14">
        <f t="shared" si="9"/>
        <v>553964.44000000006</v>
      </c>
      <c r="H13" s="14">
        <f t="shared" si="9"/>
        <v>527333</v>
      </c>
      <c r="I13" s="14">
        <f t="shared" si="9"/>
        <v>467760.5</v>
      </c>
      <c r="J13" s="14">
        <f t="shared" si="9"/>
        <v>434959.5</v>
      </c>
      <c r="K13" s="14">
        <f t="shared" si="9"/>
        <v>455771.5</v>
      </c>
      <c r="L13" s="14">
        <f t="shared" si="9"/>
        <v>270673</v>
      </c>
      <c r="M13" s="14">
        <f t="shared" si="9"/>
        <v>146180</v>
      </c>
      <c r="N13" s="26">
        <f t="shared" si="8"/>
        <v>4900023.5</v>
      </c>
      <c r="O13" s="13" t="s">
        <v>9</v>
      </c>
      <c r="P13" s="14">
        <f t="shared" ref="P13:AA13" si="10">SUM(P14:P21)</f>
        <v>342056.63713174674</v>
      </c>
      <c r="Q13" s="14">
        <f t="shared" si="10"/>
        <v>444024.45248278731</v>
      </c>
      <c r="R13" s="14">
        <f t="shared" si="10"/>
        <v>417965.90759495785</v>
      </c>
      <c r="S13" s="14">
        <f t="shared" si="10"/>
        <v>449341.91137564462</v>
      </c>
      <c r="T13" s="14">
        <f t="shared" si="10"/>
        <v>454670.32290902006</v>
      </c>
      <c r="U13" s="14">
        <f t="shared" si="10"/>
        <v>445057.86570999603</v>
      </c>
      <c r="V13" s="14">
        <f t="shared" si="10"/>
        <v>462080.70715465664</v>
      </c>
      <c r="W13" s="14">
        <f t="shared" si="10"/>
        <v>363167.95379266003</v>
      </c>
      <c r="X13" s="14">
        <f t="shared" si="10"/>
        <v>393904.03614213597</v>
      </c>
      <c r="Y13" s="14">
        <f t="shared" si="10"/>
        <v>426373.81342613534</v>
      </c>
      <c r="Z13" s="14">
        <f t="shared" si="10"/>
        <v>322414.57549313037</v>
      </c>
      <c r="AA13" s="14">
        <f t="shared" si="10"/>
        <v>296455.23265392554</v>
      </c>
      <c r="AB13" s="26">
        <f t="shared" si="2"/>
        <v>4817513.4158667959</v>
      </c>
      <c r="AC13" s="13" t="s">
        <v>9</v>
      </c>
      <c r="AD13" s="14">
        <f t="shared" ref="AD13:AJ13" si="11">SUM(AD14:AD21)</f>
        <v>342056.63713174674</v>
      </c>
      <c r="AE13" s="14">
        <f t="shared" si="11"/>
        <v>444024.45248278731</v>
      </c>
      <c r="AF13" s="14">
        <f t="shared" si="11"/>
        <v>417965.90759495785</v>
      </c>
      <c r="AG13" s="14">
        <f t="shared" si="11"/>
        <v>449341.91137564462</v>
      </c>
      <c r="AH13" s="14">
        <f t="shared" si="11"/>
        <v>454670.32290902006</v>
      </c>
      <c r="AI13" s="14">
        <f t="shared" si="11"/>
        <v>445057.86570999603</v>
      </c>
      <c r="AJ13" s="215">
        <f t="shared" si="11"/>
        <v>0</v>
      </c>
      <c r="AK13" s="215">
        <f>SUM(AK14:AK21)</f>
        <v>0</v>
      </c>
      <c r="AL13" s="215">
        <f>SUM(AL14:AL21)</f>
        <v>0</v>
      </c>
      <c r="AM13" s="215">
        <f>SUM(AM14:AM21)</f>
        <v>0</v>
      </c>
      <c r="AN13" s="215">
        <f>SUM(AN14:AN21)</f>
        <v>0</v>
      </c>
      <c r="AO13" s="215">
        <f>SUM(AO14:AO21)</f>
        <v>0</v>
      </c>
      <c r="AP13" s="26">
        <f t="shared" si="7"/>
        <v>2553117.0972041525</v>
      </c>
    </row>
    <row r="14" spans="1:42" x14ac:dyDescent="0.2">
      <c r="A14" s="74" t="s">
        <v>27</v>
      </c>
      <c r="B14" s="75">
        <v>0</v>
      </c>
      <c r="C14" s="75">
        <v>4965.9579999999996</v>
      </c>
      <c r="D14" s="75">
        <v>3459.7370000000001</v>
      </c>
      <c r="E14" s="75">
        <v>0</v>
      </c>
      <c r="F14" s="75">
        <v>0</v>
      </c>
      <c r="G14" s="75">
        <v>4024.2820000000002</v>
      </c>
      <c r="H14" s="75">
        <v>0</v>
      </c>
      <c r="I14" s="75">
        <v>5000</v>
      </c>
      <c r="J14" s="75">
        <v>0</v>
      </c>
      <c r="K14" s="75">
        <v>0</v>
      </c>
      <c r="L14" s="75">
        <v>5510</v>
      </c>
      <c r="M14" s="75">
        <v>0</v>
      </c>
      <c r="N14" s="82">
        <f t="shared" si="8"/>
        <v>22959.976999999999</v>
      </c>
      <c r="O14" s="74" t="s">
        <v>27</v>
      </c>
      <c r="P14" s="75">
        <v>0</v>
      </c>
      <c r="Q14" s="75">
        <v>5000</v>
      </c>
      <c r="R14" s="75">
        <v>0</v>
      </c>
      <c r="S14" s="75">
        <v>5000</v>
      </c>
      <c r="T14" s="75">
        <v>0</v>
      </c>
      <c r="U14" s="75">
        <v>5000</v>
      </c>
      <c r="V14" s="75">
        <v>0</v>
      </c>
      <c r="W14" s="75">
        <v>5500</v>
      </c>
      <c r="X14" s="75">
        <v>0</v>
      </c>
      <c r="Y14" s="75">
        <v>0</v>
      </c>
      <c r="Z14" s="75">
        <v>8000</v>
      </c>
      <c r="AA14" s="75">
        <v>0</v>
      </c>
      <c r="AB14" s="82">
        <v>25500</v>
      </c>
      <c r="AC14" s="74" t="s">
        <v>27</v>
      </c>
      <c r="AD14" s="75">
        <v>0</v>
      </c>
      <c r="AE14" s="75">
        <v>5000</v>
      </c>
      <c r="AF14" s="75">
        <v>0</v>
      </c>
      <c r="AG14" s="75">
        <v>5000</v>
      </c>
      <c r="AH14" s="75">
        <v>0</v>
      </c>
      <c r="AI14" s="75">
        <v>5000</v>
      </c>
      <c r="AJ14" s="216">
        <v>0</v>
      </c>
      <c r="AK14" s="216">
        <v>0</v>
      </c>
      <c r="AL14" s="216">
        <v>0</v>
      </c>
      <c r="AM14" s="216">
        <v>0</v>
      </c>
      <c r="AN14" s="216">
        <v>0</v>
      </c>
      <c r="AO14" s="216">
        <v>0</v>
      </c>
      <c r="AP14" s="82">
        <f t="shared" si="7"/>
        <v>15000</v>
      </c>
    </row>
    <row r="15" spans="1:42" x14ac:dyDescent="0.2">
      <c r="A15" s="74" t="s">
        <v>29</v>
      </c>
      <c r="B15" s="75">
        <v>163211.27900000001</v>
      </c>
      <c r="C15" s="75">
        <v>164563.37</v>
      </c>
      <c r="D15" s="75">
        <v>254909.97900000002</v>
      </c>
      <c r="E15" s="75">
        <v>303980.13999999996</v>
      </c>
      <c r="F15" s="75">
        <v>225465.49</v>
      </c>
      <c r="G15" s="75">
        <v>285499.17900000006</v>
      </c>
      <c r="H15" s="75">
        <v>340929.5</v>
      </c>
      <c r="I15" s="75">
        <v>292025.5</v>
      </c>
      <c r="J15" s="75">
        <v>251230</v>
      </c>
      <c r="K15" s="75">
        <v>257478.5</v>
      </c>
      <c r="L15" s="75">
        <v>122004</v>
      </c>
      <c r="M15" s="75">
        <v>28901</v>
      </c>
      <c r="N15" s="82">
        <f t="shared" si="8"/>
        <v>2690197.9369999999</v>
      </c>
      <c r="O15" s="74" t="s">
        <v>29</v>
      </c>
      <c r="P15" s="75">
        <v>147149.0141559694</v>
      </c>
      <c r="Q15" s="75">
        <v>221134.615696894</v>
      </c>
      <c r="R15" s="75">
        <v>207055.11367282353</v>
      </c>
      <c r="S15" s="75">
        <v>256781.68127389692</v>
      </c>
      <c r="T15" s="75">
        <v>308688.22105943004</v>
      </c>
      <c r="U15" s="75">
        <v>310670.78620936198</v>
      </c>
      <c r="V15" s="75">
        <v>265648.44920149364</v>
      </c>
      <c r="W15" s="75">
        <v>215389.21435058801</v>
      </c>
      <c r="X15" s="75">
        <v>184929.57371918199</v>
      </c>
      <c r="Y15" s="75">
        <v>170018.04918956899</v>
      </c>
      <c r="Z15" s="75">
        <v>133999.088275683</v>
      </c>
      <c r="AA15" s="75">
        <v>123595.1580443662</v>
      </c>
      <c r="AB15" s="82">
        <v>2272758.9648492574</v>
      </c>
      <c r="AC15" s="74" t="s">
        <v>29</v>
      </c>
      <c r="AD15" s="75">
        <v>147149.0141559694</v>
      </c>
      <c r="AE15" s="75">
        <v>221134.615696894</v>
      </c>
      <c r="AF15" s="75">
        <v>207055.11367282353</v>
      </c>
      <c r="AG15" s="75">
        <v>256781.68127389692</v>
      </c>
      <c r="AH15" s="75">
        <v>308688.22105943004</v>
      </c>
      <c r="AI15" s="75">
        <v>310670.78620936198</v>
      </c>
      <c r="AJ15" s="216">
        <v>0</v>
      </c>
      <c r="AK15" s="216">
        <v>0</v>
      </c>
      <c r="AL15" s="216">
        <v>0</v>
      </c>
      <c r="AM15" s="216">
        <v>0</v>
      </c>
      <c r="AN15" s="216">
        <v>0</v>
      </c>
      <c r="AO15" s="216">
        <v>0</v>
      </c>
      <c r="AP15" s="82">
        <f t="shared" si="7"/>
        <v>1451479.4320683759</v>
      </c>
    </row>
    <row r="16" spans="1:42" x14ac:dyDescent="0.2">
      <c r="A16" s="74" t="s">
        <v>35</v>
      </c>
      <c r="B16" s="75">
        <v>0</v>
      </c>
      <c r="C16" s="75">
        <v>0</v>
      </c>
      <c r="D16" s="75">
        <v>0</v>
      </c>
      <c r="E16" s="75">
        <v>36</v>
      </c>
      <c r="F16" s="75">
        <v>0</v>
      </c>
      <c r="G16" s="75">
        <v>72</v>
      </c>
      <c r="H16" s="75">
        <v>0</v>
      </c>
      <c r="I16" s="75">
        <v>0</v>
      </c>
      <c r="J16" s="75">
        <v>36</v>
      </c>
      <c r="K16" s="75">
        <v>0</v>
      </c>
      <c r="L16" s="75">
        <v>0</v>
      </c>
      <c r="M16" s="75">
        <v>36</v>
      </c>
      <c r="N16" s="82">
        <f t="shared" si="8"/>
        <v>180</v>
      </c>
      <c r="O16" s="74" t="s">
        <v>35</v>
      </c>
      <c r="P16" s="75">
        <v>0</v>
      </c>
      <c r="Q16" s="75">
        <v>0</v>
      </c>
      <c r="R16" s="75">
        <v>36</v>
      </c>
      <c r="S16" s="75">
        <v>0</v>
      </c>
      <c r="T16" s="75">
        <v>0</v>
      </c>
      <c r="U16" s="75">
        <v>36</v>
      </c>
      <c r="V16" s="75">
        <v>0</v>
      </c>
      <c r="W16" s="75">
        <v>0</v>
      </c>
      <c r="X16" s="75">
        <v>36</v>
      </c>
      <c r="Y16" s="75">
        <v>0</v>
      </c>
      <c r="Z16" s="75">
        <v>0</v>
      </c>
      <c r="AA16" s="75">
        <v>36</v>
      </c>
      <c r="AB16" s="82">
        <v>144</v>
      </c>
      <c r="AC16" s="74" t="s">
        <v>35</v>
      </c>
      <c r="AD16" s="75">
        <v>0</v>
      </c>
      <c r="AE16" s="75">
        <v>0</v>
      </c>
      <c r="AF16" s="75">
        <v>36</v>
      </c>
      <c r="AG16" s="75">
        <v>0</v>
      </c>
      <c r="AH16" s="75">
        <v>0</v>
      </c>
      <c r="AI16" s="75">
        <v>36</v>
      </c>
      <c r="AJ16" s="216">
        <v>0</v>
      </c>
      <c r="AK16" s="216">
        <v>0</v>
      </c>
      <c r="AL16" s="216">
        <v>0</v>
      </c>
      <c r="AM16" s="216">
        <v>0</v>
      </c>
      <c r="AN16" s="216">
        <v>0</v>
      </c>
      <c r="AO16" s="216">
        <v>0</v>
      </c>
      <c r="AP16" s="82">
        <f t="shared" si="7"/>
        <v>72</v>
      </c>
    </row>
    <row r="17" spans="1:42" x14ac:dyDescent="0.2">
      <c r="A17" s="74" t="s">
        <v>33</v>
      </c>
      <c r="B17" s="75">
        <v>14562.477999999999</v>
      </c>
      <c r="C17" s="75">
        <v>19140.883000000002</v>
      </c>
      <c r="D17" s="75">
        <v>22586.215</v>
      </c>
      <c r="E17" s="75">
        <v>36119.077000000005</v>
      </c>
      <c r="F17" s="75">
        <v>40590.413</v>
      </c>
      <c r="G17" s="75">
        <v>43084.328000000001</v>
      </c>
      <c r="H17" s="75">
        <v>42952.5</v>
      </c>
      <c r="I17" s="75">
        <v>30596</v>
      </c>
      <c r="J17" s="75">
        <v>25668</v>
      </c>
      <c r="K17" s="75">
        <v>14142</v>
      </c>
      <c r="L17" s="75">
        <v>9642</v>
      </c>
      <c r="M17" s="75">
        <v>33342</v>
      </c>
      <c r="N17" s="82">
        <f t="shared" si="8"/>
        <v>332425.89399999997</v>
      </c>
      <c r="O17" s="74" t="s">
        <v>33</v>
      </c>
      <c r="P17" s="75">
        <v>20000</v>
      </c>
      <c r="Q17" s="75">
        <v>35300</v>
      </c>
      <c r="R17" s="75">
        <v>30500</v>
      </c>
      <c r="S17" s="75">
        <v>36000</v>
      </c>
      <c r="T17" s="75">
        <v>18600</v>
      </c>
      <c r="U17" s="75">
        <v>10000</v>
      </c>
      <c r="V17" s="75">
        <v>20000</v>
      </c>
      <c r="W17" s="75">
        <v>27700</v>
      </c>
      <c r="X17" s="75">
        <v>38000</v>
      </c>
      <c r="Y17" s="75">
        <v>21000</v>
      </c>
      <c r="Z17" s="75">
        <v>30500</v>
      </c>
      <c r="AA17" s="75">
        <v>19200</v>
      </c>
      <c r="AB17" s="82">
        <v>296800</v>
      </c>
      <c r="AC17" s="74" t="s">
        <v>33</v>
      </c>
      <c r="AD17" s="75">
        <v>20000</v>
      </c>
      <c r="AE17" s="75">
        <v>35300</v>
      </c>
      <c r="AF17" s="75">
        <v>30500</v>
      </c>
      <c r="AG17" s="75">
        <v>36000</v>
      </c>
      <c r="AH17" s="75">
        <v>18600</v>
      </c>
      <c r="AI17" s="75">
        <v>10000</v>
      </c>
      <c r="AJ17" s="216">
        <v>0</v>
      </c>
      <c r="AK17" s="216">
        <v>0</v>
      </c>
      <c r="AL17" s="216">
        <v>0</v>
      </c>
      <c r="AM17" s="216">
        <v>0</v>
      </c>
      <c r="AN17" s="216">
        <v>0</v>
      </c>
      <c r="AO17" s="216">
        <v>0</v>
      </c>
      <c r="AP17" s="82">
        <f t="shared" si="7"/>
        <v>150400</v>
      </c>
    </row>
    <row r="18" spans="1:42" x14ac:dyDescent="0.2">
      <c r="A18" s="74" t="s">
        <v>31</v>
      </c>
      <c r="B18" s="75">
        <v>22934.787</v>
      </c>
      <c r="C18" s="75">
        <v>17645.205999999998</v>
      </c>
      <c r="D18" s="75">
        <v>28845.774999999998</v>
      </c>
      <c r="E18" s="75">
        <v>24800.032999999999</v>
      </c>
      <c r="F18" s="75">
        <v>29053.535000000003</v>
      </c>
      <c r="G18" s="75">
        <v>29884.992000000002</v>
      </c>
      <c r="H18" s="75">
        <v>20700</v>
      </c>
      <c r="I18" s="75">
        <v>26289</v>
      </c>
      <c r="J18" s="75">
        <v>9418.5</v>
      </c>
      <c r="K18" s="75">
        <v>33120</v>
      </c>
      <c r="L18" s="75">
        <v>0</v>
      </c>
      <c r="M18" s="75">
        <v>12937.5</v>
      </c>
      <c r="N18" s="82">
        <f t="shared" si="8"/>
        <v>255629.32800000001</v>
      </c>
      <c r="O18" s="74" t="s">
        <v>31</v>
      </c>
      <c r="P18" s="75">
        <v>30000</v>
      </c>
      <c r="Q18" s="75">
        <v>28300</v>
      </c>
      <c r="R18" s="75">
        <v>23700</v>
      </c>
      <c r="S18" s="75">
        <v>30000</v>
      </c>
      <c r="T18" s="75">
        <v>35500</v>
      </c>
      <c r="U18" s="75">
        <v>20000</v>
      </c>
      <c r="V18" s="75">
        <v>20000</v>
      </c>
      <c r="W18" s="75">
        <v>19200</v>
      </c>
      <c r="X18" s="75">
        <v>10000</v>
      </c>
      <c r="Y18" s="75">
        <v>31000</v>
      </c>
      <c r="Z18" s="75">
        <v>0</v>
      </c>
      <c r="AA18" s="75">
        <v>35500</v>
      </c>
      <c r="AB18" s="82">
        <v>283200</v>
      </c>
      <c r="AC18" s="74" t="s">
        <v>31</v>
      </c>
      <c r="AD18" s="75">
        <v>30000</v>
      </c>
      <c r="AE18" s="75">
        <v>28300</v>
      </c>
      <c r="AF18" s="75">
        <v>23700</v>
      </c>
      <c r="AG18" s="75">
        <v>30000</v>
      </c>
      <c r="AH18" s="75">
        <v>35500</v>
      </c>
      <c r="AI18" s="75">
        <v>20000</v>
      </c>
      <c r="AJ18" s="216">
        <v>0</v>
      </c>
      <c r="AK18" s="216">
        <v>0</v>
      </c>
      <c r="AL18" s="216">
        <v>0</v>
      </c>
      <c r="AM18" s="216">
        <v>0</v>
      </c>
      <c r="AN18" s="216">
        <v>0</v>
      </c>
      <c r="AO18" s="216">
        <v>0</v>
      </c>
      <c r="AP18" s="82">
        <f t="shared" si="7"/>
        <v>167500</v>
      </c>
    </row>
    <row r="19" spans="1:42" x14ac:dyDescent="0.2">
      <c r="A19" s="74" t="s">
        <v>28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82">
        <f>SUM(B19:M19)</f>
        <v>0</v>
      </c>
      <c r="O19" s="74" t="s">
        <v>28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82">
        <v>0</v>
      </c>
      <c r="AC19" s="74" t="s">
        <v>28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216">
        <v>0</v>
      </c>
      <c r="AK19" s="216">
        <v>0</v>
      </c>
      <c r="AL19" s="216">
        <v>0</v>
      </c>
      <c r="AM19" s="216">
        <v>0</v>
      </c>
      <c r="AN19" s="216">
        <v>0</v>
      </c>
      <c r="AO19" s="216">
        <v>0</v>
      </c>
      <c r="AP19" s="82">
        <f>SUM(AD19:AO19)</f>
        <v>0</v>
      </c>
    </row>
    <row r="20" spans="1:42" x14ac:dyDescent="0.2">
      <c r="A20" s="74" t="s">
        <v>56</v>
      </c>
      <c r="B20" s="75">
        <v>9208.4670000000006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82">
        <f t="shared" si="8"/>
        <v>9208.4670000000006</v>
      </c>
      <c r="O20" s="74" t="s">
        <v>56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82">
        <v>0</v>
      </c>
      <c r="AC20" s="74" t="s">
        <v>56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216">
        <v>0</v>
      </c>
      <c r="AK20" s="216">
        <v>0</v>
      </c>
      <c r="AL20" s="216">
        <v>0</v>
      </c>
      <c r="AM20" s="216">
        <v>0</v>
      </c>
      <c r="AN20" s="216">
        <v>0</v>
      </c>
      <c r="AO20" s="216">
        <v>0</v>
      </c>
      <c r="AP20" s="82">
        <f t="shared" si="7"/>
        <v>0</v>
      </c>
    </row>
    <row r="21" spans="1:42" x14ac:dyDescent="0.2">
      <c r="A21" s="74" t="s">
        <v>25</v>
      </c>
      <c r="B21" s="75">
        <v>67015.729000000007</v>
      </c>
      <c r="C21" s="75">
        <v>58130.22</v>
      </c>
      <c r="D21" s="75">
        <v>176341.851</v>
      </c>
      <c r="E21" s="75">
        <v>170163.66899999999</v>
      </c>
      <c r="F21" s="75">
        <v>185651.26899999997</v>
      </c>
      <c r="G21" s="75">
        <v>191399.65900000001</v>
      </c>
      <c r="H21" s="75">
        <v>122751</v>
      </c>
      <c r="I21" s="75">
        <v>113850</v>
      </c>
      <c r="J21" s="75">
        <v>148607</v>
      </c>
      <c r="K21" s="75">
        <v>151031</v>
      </c>
      <c r="L21" s="75">
        <v>133517</v>
      </c>
      <c r="M21" s="75">
        <v>70963.5</v>
      </c>
      <c r="N21" s="82">
        <f t="shared" si="8"/>
        <v>1589421.8969999999</v>
      </c>
      <c r="O21" s="74" t="s">
        <v>25</v>
      </c>
      <c r="P21" s="75">
        <v>144907.62297577734</v>
      </c>
      <c r="Q21" s="75">
        <v>154289.83678589333</v>
      </c>
      <c r="R21" s="75">
        <v>156674.79392213433</v>
      </c>
      <c r="S21" s="75">
        <v>121560.2301017477</v>
      </c>
      <c r="T21" s="75">
        <v>91882.101849590006</v>
      </c>
      <c r="U21" s="75">
        <v>99351.079500634034</v>
      </c>
      <c r="V21" s="75">
        <v>156432.257953163</v>
      </c>
      <c r="W21" s="75">
        <v>95378.739442071994</v>
      </c>
      <c r="X21" s="75">
        <v>160938.46242295401</v>
      </c>
      <c r="Y21" s="75">
        <v>204355.76423656635</v>
      </c>
      <c r="Z21" s="75">
        <v>149915.48721744734</v>
      </c>
      <c r="AA21" s="75">
        <v>118124.07460955932</v>
      </c>
      <c r="AB21" s="82">
        <v>1873810.451017539</v>
      </c>
      <c r="AC21" s="74" t="s">
        <v>25</v>
      </c>
      <c r="AD21" s="75">
        <v>144907.62297577734</v>
      </c>
      <c r="AE21" s="75">
        <v>154289.83678589333</v>
      </c>
      <c r="AF21" s="75">
        <v>156674.79392213433</v>
      </c>
      <c r="AG21" s="75">
        <v>121560.2301017477</v>
      </c>
      <c r="AH21" s="75">
        <v>91882.101849590006</v>
      </c>
      <c r="AI21" s="75">
        <v>99351.079500634034</v>
      </c>
      <c r="AJ21" s="216">
        <v>0</v>
      </c>
      <c r="AK21" s="216">
        <v>0</v>
      </c>
      <c r="AL21" s="216">
        <v>0</v>
      </c>
      <c r="AM21" s="216">
        <v>0</v>
      </c>
      <c r="AN21" s="216">
        <v>0</v>
      </c>
      <c r="AO21" s="216">
        <v>0</v>
      </c>
      <c r="AP21" s="82">
        <f t="shared" si="7"/>
        <v>768665.66513577662</v>
      </c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6258F-C49E-4607-900D-CB8F7B8C102F}">
  <ds:schemaRefs>
    <ds:schemaRef ds:uri="http://purl.org/dc/terms/"/>
    <ds:schemaRef ds:uri="http://schemas.microsoft.com/office/2006/documentManagement/types"/>
    <ds:schemaRef ds:uri="2b0687b9-64c9-4187-a173-a9a026029f2d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a50a144-d77b-4747-b2dc-a6f6391df5a9"/>
  </ds:schemaRefs>
</ds:datastoreItem>
</file>

<file path=customXml/itemProps2.xml><?xml version="1.0" encoding="utf-8"?>
<ds:datastoreItem xmlns:ds="http://schemas.openxmlformats.org/officeDocument/2006/customXml" ds:itemID="{4F793DC7-5017-4142-ACEF-AB5363CB6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Shipments (Qtr Shareholder Rpt)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'Shipments (Qtr Shareholder Rpt)'!Print_Area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2020-07-06T16:26:02Z</cp:lastPrinted>
  <dcterms:created xsi:type="dcterms:W3CDTF">2018-09-24T16:54:01Z</dcterms:created>
  <dcterms:modified xsi:type="dcterms:W3CDTF">2022-06-28T16:30:11Z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