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ui-my.sharepoint.com/personal/meesam_ali_nutrien_com/Documents/Dev/nutrien-sandbox/canpotex/Data/2020/"/>
    </mc:Choice>
  </mc:AlternateContent>
  <xr:revisionPtr revIDLastSave="2" documentId="8_{AF6F9945-EDDC-4309-98BE-EE333BB75A26}" xr6:coauthVersionLast="47" xr6:coauthVersionMax="47" xr10:uidLastSave="{C45D766A-97D6-450A-AFC3-AC5BFA00F985}"/>
  <bookViews>
    <workbookView xWindow="-110" yWindow="-110" windowWidth="19420" windowHeight="10420" tabRatio="959" firstSheet="1" activeTab="1" xr2:uid="{00000000-000D-0000-FFFF-FFFF00000000}"/>
  </bookViews>
  <sheets>
    <sheet name="Var Rpt (Q1)-CHIN" sheetId="57" state="hidden" r:id="rId1"/>
    <sheet name="Region" sheetId="2" r:id="rId2"/>
    <sheet name="Country" sheetId="14" r:id="rId3"/>
    <sheet name="Grade" sheetId="4" r:id="rId4"/>
    <sheet name="Region (2 yr)" sheetId="53" state="hidden" r:id="rId5"/>
    <sheet name="Country (2 yr)" sheetId="54" state="hidden" r:id="rId6"/>
    <sheet name="Grade (2 yr)" sheetId="55" state="hidden" r:id="rId7"/>
    <sheet name="Rail Billings - Nutrien" sheetId="15" r:id="rId8"/>
  </sheets>
  <definedNames>
    <definedName name="___mds_allowwriteback___">""</definedName>
    <definedName name="___mds_asyncwriteback___">FALSE</definedName>
    <definedName name="___mds_description___">""</definedName>
    <definedName name="___mds_spreading___">FALSE</definedName>
    <definedName name="_xlnm.Print_Area" localSheetId="2">Country!$A$1:$V$12</definedName>
    <definedName name="_xlnm.Print_Area" localSheetId="5">'Country (2 yr)'!$A$1:$U$25</definedName>
    <definedName name="_xlnm.Print_Area" localSheetId="3">Grade!$A$1:$U$24</definedName>
    <definedName name="_xlnm.Print_Area" localSheetId="1">Region!$A$1:$W$37</definedName>
    <definedName name="_xlnm.Print_Area" localSheetId="4">'Region (2 yr)'!$A$1:$U$74</definedName>
    <definedName name="_xlnm.Print_Area" localSheetId="0">'Var Rpt (Q1)-CHIN'!$A$1:$J$45</definedName>
  </definedName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5" l="1"/>
  <c r="C13" i="15"/>
  <c r="AH13" i="15"/>
  <c r="AH6" i="15"/>
  <c r="AJ13" i="15"/>
  <c r="AI13" i="15"/>
  <c r="AG13" i="15"/>
  <c r="AF13" i="15"/>
  <c r="AI6" i="15"/>
  <c r="AJ6" i="15"/>
  <c r="AJ5" i="15"/>
  <c r="AK6" i="15"/>
  <c r="AL6" i="15"/>
  <c r="AM6" i="15"/>
  <c r="AN6" i="15"/>
  <c r="AO6" i="15"/>
  <c r="AG6" i="15"/>
  <c r="AF6" i="15"/>
  <c r="AF5" i="15"/>
  <c r="AE6" i="15"/>
  <c r="AD6" i="15"/>
  <c r="R6" i="15"/>
  <c r="Q6" i="15"/>
  <c r="P6" i="15"/>
  <c r="AE13" i="15"/>
  <c r="AD13" i="15"/>
  <c r="AD5" i="15"/>
  <c r="AK13" i="15"/>
  <c r="AL13" i="15"/>
  <c r="AM13" i="15"/>
  <c r="AN13" i="15"/>
  <c r="AN5" i="15"/>
  <c r="AO13" i="15"/>
  <c r="AO5" i="15"/>
  <c r="E42" i="57"/>
  <c r="D42" i="57"/>
  <c r="AA13" i="15"/>
  <c r="AB12" i="15"/>
  <c r="AB11" i="15"/>
  <c r="AB10" i="15"/>
  <c r="AB9" i="15"/>
  <c r="AB8" i="15"/>
  <c r="AB7" i="15"/>
  <c r="S6" i="15"/>
  <c r="T6" i="15"/>
  <c r="U6" i="15"/>
  <c r="V6" i="15"/>
  <c r="W6" i="15"/>
  <c r="X6" i="15"/>
  <c r="Y6" i="15"/>
  <c r="Z6" i="15"/>
  <c r="AA6" i="15"/>
  <c r="B13" i="15"/>
  <c r="D6" i="15"/>
  <c r="E6" i="15"/>
  <c r="F6" i="15"/>
  <c r="G6" i="15"/>
  <c r="H6" i="15"/>
  <c r="I6" i="15"/>
  <c r="J6" i="15"/>
  <c r="K6" i="15"/>
  <c r="L6" i="15"/>
  <c r="M6" i="15"/>
  <c r="B6" i="15"/>
  <c r="N9" i="15"/>
  <c r="N12" i="15"/>
  <c r="N7" i="15"/>
  <c r="N8" i="15"/>
  <c r="N10" i="15"/>
  <c r="J13" i="15"/>
  <c r="B48" i="55"/>
  <c r="D15" i="54"/>
  <c r="D39" i="53"/>
  <c r="R2" i="55"/>
  <c r="P2" i="55"/>
  <c r="N2" i="55"/>
  <c r="L2" i="55"/>
  <c r="J2" i="55"/>
  <c r="H2" i="55"/>
  <c r="F2" i="55"/>
  <c r="D2" i="55"/>
  <c r="B2" i="55"/>
  <c r="T2" i="54"/>
  <c r="R2" i="54"/>
  <c r="P2" i="54"/>
  <c r="N2" i="54"/>
  <c r="L2" i="54"/>
  <c r="J2" i="54"/>
  <c r="H2" i="54"/>
  <c r="F2" i="54"/>
  <c r="D2" i="54"/>
  <c r="T2" i="53"/>
  <c r="R2" i="53"/>
  <c r="P2" i="53"/>
  <c r="N2" i="53"/>
  <c r="L2" i="53"/>
  <c r="J2" i="53"/>
  <c r="H2" i="53"/>
  <c r="F2" i="53"/>
  <c r="D2" i="53"/>
  <c r="O1" i="15"/>
  <c r="AC1" i="15"/>
  <c r="AP21" i="15"/>
  <c r="AP20" i="15"/>
  <c r="AP18" i="15"/>
  <c r="AP17" i="15"/>
  <c r="AP16" i="15"/>
  <c r="AP14" i="15"/>
  <c r="AP19" i="15"/>
  <c r="AP10" i="15"/>
  <c r="AP8" i="15"/>
  <c r="AP7" i="15"/>
  <c r="AP9" i="15"/>
  <c r="AP15" i="15"/>
  <c r="AP11" i="15"/>
  <c r="AP12" i="15"/>
  <c r="Z13" i="15"/>
  <c r="Y13" i="15"/>
  <c r="X13" i="15"/>
  <c r="W13" i="15"/>
  <c r="V13" i="15"/>
  <c r="U13" i="15"/>
  <c r="T13" i="15"/>
  <c r="S13" i="15"/>
  <c r="R13" i="15"/>
  <c r="Q13" i="15"/>
  <c r="P13" i="15"/>
  <c r="M13" i="15"/>
  <c r="L13" i="15"/>
  <c r="K13" i="15"/>
  <c r="I13" i="15"/>
  <c r="H13" i="15"/>
  <c r="G13" i="15"/>
  <c r="G5" i="15"/>
  <c r="F13" i="15"/>
  <c r="F5" i="15"/>
  <c r="E13" i="15"/>
  <c r="E5" i="15"/>
  <c r="D13" i="15"/>
  <c r="N21" i="15"/>
  <c r="N20" i="15"/>
  <c r="N18" i="15"/>
  <c r="N17" i="15"/>
  <c r="N16" i="15"/>
  <c r="N15" i="15"/>
  <c r="N14" i="15"/>
  <c r="N19" i="15"/>
  <c r="N11" i="15"/>
  <c r="M5" i="15"/>
  <c r="L5" i="15"/>
  <c r="K5" i="15"/>
  <c r="AH5" i="15"/>
  <c r="AM5" i="15"/>
  <c r="B5" i="15"/>
  <c r="D3" i="57"/>
  <c r="G3" i="57"/>
  <c r="W5" i="15"/>
  <c r="AP6" i="15"/>
  <c r="AG5" i="15"/>
  <c r="H5" i="15"/>
  <c r="AK5" i="15"/>
  <c r="I5" i="15"/>
  <c r="AA5" i="15"/>
  <c r="T5" i="15"/>
  <c r="N13" i="15"/>
  <c r="J5" i="15"/>
  <c r="AP13" i="15"/>
  <c r="AL5" i="15"/>
  <c r="N6" i="15"/>
  <c r="V5" i="15"/>
  <c r="D5" i="15"/>
  <c r="U5" i="15"/>
  <c r="C5" i="15"/>
  <c r="AE5" i="15"/>
  <c r="P5" i="15"/>
  <c r="AI5" i="15"/>
  <c r="AB13" i="15"/>
  <c r="Y5" i="15"/>
  <c r="X5" i="15"/>
  <c r="R5" i="15"/>
  <c r="F42" i="57"/>
  <c r="Q5" i="15"/>
  <c r="Z5" i="15"/>
  <c r="S5" i="15"/>
  <c r="AB6" i="15"/>
  <c r="AP5" i="15"/>
  <c r="N5" i="15"/>
  <c r="AB5" i="15"/>
  <c r="D4" i="57"/>
  <c r="G4" i="57" s="1"/>
  <c r="B17" i="57"/>
  <c r="B9" i="57"/>
  <c r="B30" i="57"/>
  <c r="B25" i="57"/>
  <c r="B23" i="57"/>
  <c r="B34" i="57"/>
  <c r="B15" i="57"/>
  <c r="B18" i="57"/>
  <c r="B24" i="57"/>
  <c r="B16" i="57"/>
  <c r="B45" i="57"/>
  <c r="B35" i="57"/>
  <c r="B31" i="57"/>
  <c r="B19" i="57"/>
  <c r="B32" i="57"/>
  <c r="B20" i="57"/>
  <c r="B33" i="57"/>
  <c r="B22" i="57"/>
  <c r="B12" i="57"/>
  <c r="B38" i="57"/>
  <c r="B14" i="57"/>
  <c r="B40" i="57"/>
  <c r="E18" i="57"/>
  <c r="B41" i="57"/>
  <c r="E22" i="57"/>
  <c r="B39" i="57"/>
  <c r="B13" i="57"/>
  <c r="E19" i="57"/>
  <c r="E16" i="57"/>
  <c r="B29" i="57"/>
  <c r="B10" i="57"/>
  <c r="E11" i="57"/>
  <c r="E34" i="57"/>
  <c r="E3" i="57"/>
  <c r="E20" i="57"/>
  <c r="E17" i="57"/>
  <c r="E45" i="57"/>
  <c r="E9" i="57"/>
  <c r="E14" i="57"/>
  <c r="E33" i="57"/>
  <c r="E32" i="57"/>
  <c r="E39" i="57"/>
  <c r="B28" i="57"/>
  <c r="E26" i="57"/>
  <c r="E29" i="57"/>
  <c r="E35" i="57"/>
  <c r="E31" i="57"/>
  <c r="E28" i="57"/>
  <c r="E30" i="57"/>
  <c r="E41" i="57"/>
  <c r="E13" i="57"/>
  <c r="E27" i="57"/>
  <c r="E24" i="57"/>
  <c r="E10" i="57"/>
  <c r="E25" i="57"/>
  <c r="E38" i="57"/>
  <c r="E23" i="57"/>
  <c r="E12" i="57"/>
  <c r="E15" i="57"/>
  <c r="E40" i="57"/>
  <c r="E43" i="57" l="1"/>
  <c r="M14" i="57"/>
  <c r="M45" i="57"/>
  <c r="M20" i="57"/>
  <c r="F3" i="57"/>
  <c r="H3" i="57"/>
  <c r="I3" i="57" s="1"/>
  <c r="C58" i="55"/>
  <c r="N35" i="55"/>
  <c r="D44" i="53"/>
  <c r="S35" i="55"/>
  <c r="G37" i="55"/>
  <c r="I7" i="54"/>
  <c r="S24" i="55"/>
  <c r="J32" i="55"/>
  <c r="I25" i="55"/>
  <c r="U11" i="53"/>
  <c r="K13" i="55"/>
  <c r="E29" i="55"/>
  <c r="R4" i="55"/>
  <c r="R33" i="55"/>
  <c r="B21" i="55"/>
  <c r="F5" i="55"/>
  <c r="H9" i="55"/>
  <c r="E23" i="55"/>
  <c r="R23" i="55"/>
  <c r="B53" i="55"/>
  <c r="G10" i="54"/>
  <c r="M17" i="53"/>
  <c r="E15" i="53"/>
  <c r="L15" i="53"/>
  <c r="H4" i="54"/>
  <c r="K8" i="53"/>
  <c r="G12" i="55"/>
  <c r="H13" i="53"/>
  <c r="G16" i="53"/>
  <c r="G8" i="55"/>
  <c r="R17" i="55"/>
  <c r="S7" i="55"/>
  <c r="D49" i="53"/>
  <c r="R20" i="55"/>
  <c r="E18" i="54"/>
  <c r="R12" i="53"/>
  <c r="L17" i="53"/>
  <c r="R37" i="55"/>
  <c r="I7" i="55"/>
  <c r="D20" i="55"/>
  <c r="M19" i="53"/>
  <c r="K6" i="55"/>
  <c r="G36" i="55"/>
  <c r="K35" i="55"/>
  <c r="U12" i="54"/>
  <c r="P33" i="55"/>
  <c r="N12" i="55"/>
  <c r="J17" i="55"/>
  <c r="D19" i="54"/>
  <c r="H29" i="55"/>
  <c r="D47" i="53"/>
  <c r="G14" i="55"/>
  <c r="B58" i="55"/>
  <c r="G6" i="55"/>
  <c r="M11" i="53"/>
  <c r="E22" i="54"/>
  <c r="F8" i="55"/>
  <c r="C24" i="55"/>
  <c r="G19" i="55"/>
  <c r="H30" i="55"/>
  <c r="B57" i="55"/>
  <c r="P7" i="53"/>
  <c r="R26" i="55"/>
  <c r="N13" i="53"/>
  <c r="F37" i="55"/>
  <c r="L9" i="54"/>
  <c r="E38" i="55"/>
  <c r="E54" i="53"/>
  <c r="C55" i="55"/>
  <c r="H21" i="55"/>
  <c r="I39" i="55"/>
  <c r="I6" i="55"/>
  <c r="D35" i="55"/>
  <c r="E8" i="55"/>
  <c r="E44" i="53"/>
  <c r="C74" i="55"/>
  <c r="S18" i="55"/>
  <c r="B52" i="55"/>
  <c r="I26" i="55"/>
  <c r="B64" i="55"/>
  <c r="M4" i="53"/>
  <c r="B26" i="55"/>
  <c r="E41" i="53"/>
  <c r="L34" i="55"/>
  <c r="R17" i="53"/>
  <c r="L14" i="55"/>
  <c r="B72" i="55"/>
  <c r="D8" i="53"/>
  <c r="G5" i="53"/>
  <c r="T11" i="54"/>
  <c r="C13" i="55"/>
  <c r="R9" i="54"/>
  <c r="C62" i="55"/>
  <c r="B87" i="55"/>
  <c r="I46" i="55"/>
  <c r="S5" i="55"/>
  <c r="L10" i="55"/>
  <c r="E46" i="53"/>
  <c r="P38" i="55"/>
  <c r="G42" i="55"/>
  <c r="L10" i="54"/>
  <c r="T5" i="53"/>
  <c r="G23" i="55"/>
  <c r="H41" i="55"/>
  <c r="E9" i="54"/>
  <c r="C65" i="55"/>
  <c r="C28" i="55"/>
  <c r="R36" i="55"/>
  <c r="I19" i="55"/>
  <c r="D45" i="55"/>
  <c r="B33" i="55"/>
  <c r="I8" i="54"/>
  <c r="D25" i="54"/>
  <c r="R27" i="55"/>
  <c r="B86" i="55"/>
  <c r="H18" i="55"/>
  <c r="G7" i="54"/>
  <c r="S39" i="55"/>
  <c r="F7" i="53"/>
  <c r="R15" i="55"/>
  <c r="B63" i="55"/>
  <c r="F16" i="53"/>
  <c r="R18" i="55"/>
  <c r="P43" i="55"/>
  <c r="P8" i="54"/>
  <c r="H18" i="53"/>
  <c r="E5" i="55"/>
  <c r="J34" i="55"/>
  <c r="C23" i="55"/>
  <c r="F6" i="55"/>
  <c r="C32" i="55"/>
  <c r="B76" i="55"/>
  <c r="G16" i="55"/>
  <c r="K34" i="55"/>
  <c r="N10" i="53"/>
  <c r="D11" i="54"/>
  <c r="B90" i="55"/>
  <c r="I37" i="55"/>
  <c r="R30" i="55"/>
  <c r="B6" i="55"/>
  <c r="D22" i="57"/>
  <c r="F36" i="55"/>
  <c r="G8" i="54"/>
  <c r="N7" i="55"/>
  <c r="I41" i="55"/>
  <c r="H43" i="55"/>
  <c r="T4" i="53"/>
  <c r="F15" i="55"/>
  <c r="S28" i="55"/>
  <c r="D38" i="55"/>
  <c r="P8" i="53"/>
  <c r="J22" i="55"/>
  <c r="I4" i="53"/>
  <c r="P34" i="55"/>
  <c r="C82" i="55"/>
  <c r="G7" i="55"/>
  <c r="N6" i="53"/>
  <c r="C36" i="55"/>
  <c r="B10" i="55"/>
  <c r="D39" i="57"/>
  <c r="S12" i="55"/>
  <c r="G20" i="55"/>
  <c r="E4" i="54"/>
  <c r="D14" i="57"/>
  <c r="S37" i="55"/>
  <c r="R44" i="55"/>
  <c r="E17" i="55"/>
  <c r="N4" i="55"/>
  <c r="E19" i="55"/>
  <c r="E42" i="55"/>
  <c r="G11" i="55"/>
  <c r="L40" i="55"/>
  <c r="B44" i="55"/>
  <c r="L36" i="55"/>
  <c r="H42" i="55"/>
  <c r="L12" i="55"/>
  <c r="U17" i="53"/>
  <c r="J31" i="55"/>
  <c r="H28" i="55"/>
  <c r="J42" i="55"/>
  <c r="N6" i="54"/>
  <c r="D15" i="53"/>
  <c r="I8" i="53"/>
  <c r="D8" i="55"/>
  <c r="R9" i="53"/>
  <c r="D21" i="55"/>
  <c r="E10" i="54"/>
  <c r="U16" i="53"/>
  <c r="R5" i="53"/>
  <c r="B15" i="55"/>
  <c r="R22" i="55"/>
  <c r="L5" i="53"/>
  <c r="T12" i="53"/>
  <c r="P41" i="55"/>
  <c r="C78" i="55"/>
  <c r="G14" i="53"/>
  <c r="D52" i="53"/>
  <c r="D9" i="53"/>
  <c r="R11" i="53"/>
  <c r="K5" i="53"/>
  <c r="D26" i="57"/>
  <c r="N39" i="55"/>
  <c r="J7" i="55"/>
  <c r="C60" i="55"/>
  <c r="U5" i="53"/>
  <c r="B35" i="55"/>
  <c r="S27" i="55"/>
  <c r="B68" i="55"/>
  <c r="H34" i="55"/>
  <c r="I5" i="53"/>
  <c r="C61" i="55"/>
  <c r="R14" i="53"/>
  <c r="E10" i="53"/>
  <c r="F4" i="55"/>
  <c r="M5" i="54"/>
  <c r="D55" i="53"/>
  <c r="I18" i="55"/>
  <c r="B70" i="55"/>
  <c r="L39" i="55"/>
  <c r="G13" i="53"/>
  <c r="C16" i="55"/>
  <c r="S17" i="55"/>
  <c r="U14" i="53"/>
  <c r="E19" i="54"/>
  <c r="H14" i="53"/>
  <c r="E27" i="55"/>
  <c r="B34" i="55"/>
  <c r="K42" i="55"/>
  <c r="E30" i="55"/>
  <c r="R9" i="55"/>
  <c r="D14" i="55"/>
  <c r="I15" i="55"/>
  <c r="B11" i="55"/>
  <c r="L9" i="53"/>
  <c r="P16" i="55"/>
  <c r="S8" i="55"/>
  <c r="G30" i="55"/>
  <c r="D29" i="55"/>
  <c r="E4" i="55"/>
  <c r="L45" i="55"/>
  <c r="P14" i="53"/>
  <c r="N40" i="55"/>
  <c r="H5" i="55"/>
  <c r="T11" i="53"/>
  <c r="E15" i="55"/>
  <c r="J36" i="55"/>
  <c r="B50" i="55"/>
  <c r="G9" i="55"/>
  <c r="G39" i="55"/>
  <c r="J20" i="55"/>
  <c r="E9" i="53"/>
  <c r="D13" i="55"/>
  <c r="D56" i="53"/>
  <c r="I35" i="55"/>
  <c r="D5" i="53"/>
  <c r="J9" i="55"/>
  <c r="P18" i="53"/>
  <c r="C59" i="55"/>
  <c r="E36" i="55"/>
  <c r="U13" i="53"/>
  <c r="G38" i="55"/>
  <c r="U9" i="53"/>
  <c r="E17" i="54"/>
  <c r="R10" i="55"/>
  <c r="K20" i="55"/>
  <c r="S23" i="55"/>
  <c r="M8" i="54"/>
  <c r="I15" i="53"/>
  <c r="I5" i="55"/>
  <c r="H12" i="53"/>
  <c r="R12" i="55"/>
  <c r="F7" i="55"/>
  <c r="B45" i="55"/>
  <c r="J24" i="55"/>
  <c r="D16" i="53"/>
  <c r="R19" i="55"/>
  <c r="F24" i="55"/>
  <c r="B54" i="55"/>
  <c r="F11" i="55"/>
  <c r="L5" i="55"/>
  <c r="J15" i="53"/>
  <c r="J12" i="53"/>
  <c r="P5" i="55"/>
  <c r="J6" i="53"/>
  <c r="C91" i="55"/>
  <c r="G18" i="55"/>
  <c r="P35" i="55"/>
  <c r="K36" i="55"/>
  <c r="S16" i="55"/>
  <c r="C29" i="55"/>
  <c r="J10" i="53"/>
  <c r="H10" i="55"/>
  <c r="M16" i="53"/>
  <c r="H26" i="55"/>
  <c r="N16" i="53"/>
  <c r="I17" i="53"/>
  <c r="F7" i="54"/>
  <c r="S42" i="55"/>
  <c r="M6" i="54"/>
  <c r="C90" i="55"/>
  <c r="K5" i="55"/>
  <c r="N17" i="55"/>
  <c r="E9" i="55"/>
  <c r="D18" i="54"/>
  <c r="K9" i="54"/>
  <c r="F4" i="54"/>
  <c r="B89" i="55"/>
  <c r="C70" i="55"/>
  <c r="C84" i="55"/>
  <c r="E47" i="53"/>
  <c r="H7" i="53"/>
  <c r="R43" i="55"/>
  <c r="C56" i="55"/>
  <c r="E37" i="55"/>
  <c r="N33" i="55"/>
  <c r="E17" i="53"/>
  <c r="I40" i="55"/>
  <c r="D13" i="57"/>
  <c r="I22" i="55"/>
  <c r="C21" i="55"/>
  <c r="P36" i="55"/>
  <c r="D40" i="55"/>
  <c r="K4" i="54"/>
  <c r="F12" i="55"/>
  <c r="D10" i="54"/>
  <c r="E41" i="55"/>
  <c r="T19" i="53"/>
  <c r="E8" i="54"/>
  <c r="I9" i="55"/>
  <c r="H9" i="53"/>
  <c r="I9" i="53"/>
  <c r="G31" i="55"/>
  <c r="K10" i="54"/>
  <c r="D23" i="54"/>
  <c r="D7" i="53"/>
  <c r="L15" i="55"/>
  <c r="P17" i="55"/>
  <c r="L7" i="55"/>
  <c r="B5" i="55"/>
  <c r="B20" i="55"/>
  <c r="K10" i="53"/>
  <c r="N42" i="55"/>
  <c r="G4" i="54"/>
  <c r="R45" i="55"/>
  <c r="D33" i="55"/>
  <c r="G22" i="55"/>
  <c r="F11" i="53"/>
  <c r="C68" i="55"/>
  <c r="G44" i="55"/>
  <c r="R10" i="53"/>
  <c r="G5" i="55"/>
  <c r="B84" i="55"/>
  <c r="C67" i="55"/>
  <c r="H19" i="53"/>
  <c r="B19" i="55"/>
  <c r="P12" i="54"/>
  <c r="M15" i="53"/>
  <c r="K41" i="55"/>
  <c r="J30" i="55"/>
  <c r="M10" i="54"/>
  <c r="R29" i="55"/>
  <c r="B61" i="55"/>
  <c r="K19" i="53"/>
  <c r="J16" i="53"/>
  <c r="D9" i="54"/>
  <c r="N5" i="54"/>
  <c r="R32" i="55"/>
  <c r="P16" i="53"/>
  <c r="E43" i="55"/>
  <c r="M10" i="53"/>
  <c r="D41" i="57"/>
  <c r="R4" i="53"/>
  <c r="J13" i="53"/>
  <c r="K43" i="55"/>
  <c r="F41" i="55"/>
  <c r="L41" i="55"/>
  <c r="S20" i="55"/>
  <c r="E45" i="53"/>
  <c r="R8" i="55"/>
  <c r="C30" i="55"/>
  <c r="J23" i="55"/>
  <c r="D10" i="55"/>
  <c r="S10" i="55"/>
  <c r="C39" i="55"/>
  <c r="B85" i="55"/>
  <c r="E52" i="53"/>
  <c r="E4" i="53"/>
  <c r="D43" i="53"/>
  <c r="C53" i="55"/>
  <c r="P18" i="55"/>
  <c r="J4" i="54"/>
  <c r="J33" i="55"/>
  <c r="H16" i="55"/>
  <c r="C85" i="55"/>
  <c r="F17" i="53"/>
  <c r="E39" i="55"/>
  <c r="C35" i="55"/>
  <c r="B13" i="55"/>
  <c r="C71" i="55"/>
  <c r="B71" i="55"/>
  <c r="D18" i="57"/>
  <c r="H5" i="53"/>
  <c r="R24" i="55"/>
  <c r="M14" i="53"/>
  <c r="G11" i="54"/>
  <c r="C54" i="55"/>
  <c r="F18" i="53"/>
  <c r="B56" i="55"/>
  <c r="B67" i="55"/>
  <c r="E13" i="53"/>
  <c r="E16" i="55"/>
  <c r="E24" i="55"/>
  <c r="R31" i="55"/>
  <c r="I18" i="53"/>
  <c r="J26" i="55"/>
  <c r="L7" i="53"/>
  <c r="K16" i="53"/>
  <c r="B22" i="55"/>
  <c r="F12" i="54"/>
  <c r="S21" i="55"/>
  <c r="I19" i="53"/>
  <c r="H11" i="55"/>
  <c r="R16" i="55"/>
  <c r="C86" i="55"/>
  <c r="M6" i="53"/>
  <c r="D30" i="57"/>
  <c r="N10" i="54"/>
  <c r="L8" i="53"/>
  <c r="H40" i="55"/>
  <c r="B78" i="55"/>
  <c r="J25" i="55"/>
  <c r="B74" i="55"/>
  <c r="N8" i="53"/>
  <c r="H11" i="54"/>
  <c r="E26" i="55"/>
  <c r="F6" i="53"/>
  <c r="N38" i="55"/>
  <c r="P7" i="55"/>
  <c r="P42" i="55"/>
  <c r="C9" i="55"/>
  <c r="I16" i="53"/>
  <c r="F5" i="54"/>
  <c r="R6" i="53"/>
  <c r="G32" i="55"/>
  <c r="L6" i="54"/>
  <c r="D24" i="55"/>
  <c r="C38" i="55"/>
  <c r="D45" i="53"/>
  <c r="F9" i="54"/>
  <c r="H35" i="55"/>
  <c r="C31" i="55"/>
  <c r="C88" i="55"/>
  <c r="H33" i="55"/>
  <c r="N37" i="55"/>
  <c r="C11" i="55"/>
  <c r="I10" i="55"/>
  <c r="R40" i="55"/>
  <c r="F30" i="55"/>
  <c r="I20" i="55"/>
  <c r="K5" i="54"/>
  <c r="C73" i="55"/>
  <c r="K17" i="55"/>
  <c r="B65" i="55"/>
  <c r="E11" i="55"/>
  <c r="F38" i="55"/>
  <c r="D31" i="55"/>
  <c r="K15" i="53"/>
  <c r="B66" i="55"/>
  <c r="C34" i="55"/>
  <c r="S25" i="55"/>
  <c r="E10" i="55"/>
  <c r="B59" i="55"/>
  <c r="F29" i="55"/>
  <c r="S45" i="55"/>
  <c r="C5" i="55"/>
  <c r="K7" i="53"/>
  <c r="U12" i="53"/>
  <c r="G4" i="53"/>
  <c r="E8" i="53"/>
  <c r="H8" i="55"/>
  <c r="E16" i="53"/>
  <c r="P37" i="55"/>
  <c r="N13" i="55"/>
  <c r="E53" i="53"/>
  <c r="G40" i="55"/>
  <c r="G45" i="55"/>
  <c r="H12" i="55"/>
  <c r="J12" i="54"/>
  <c r="P12" i="53"/>
  <c r="E48" i="53"/>
  <c r="C50" i="55"/>
  <c r="D24" i="57"/>
  <c r="U7" i="53"/>
  <c r="H6" i="54"/>
  <c r="I12" i="54"/>
  <c r="F44" i="55"/>
  <c r="D48" i="53"/>
  <c r="D19" i="53"/>
  <c r="F15" i="53"/>
  <c r="F25" i="55"/>
  <c r="T15" i="53"/>
  <c r="H9" i="54"/>
  <c r="B23" i="55"/>
  <c r="P6" i="54"/>
  <c r="D31" i="57"/>
  <c r="N10" i="55"/>
  <c r="L4" i="53"/>
  <c r="B12" i="55"/>
  <c r="F9" i="55"/>
  <c r="D20" i="57"/>
  <c r="B32" i="55"/>
  <c r="K9" i="53"/>
  <c r="B69" i="55"/>
  <c r="I44" i="55"/>
  <c r="C14" i="55"/>
  <c r="N12" i="53"/>
  <c r="K18" i="53"/>
  <c r="F27" i="55"/>
  <c r="E20" i="55"/>
  <c r="B7" i="55"/>
  <c r="F20" i="55"/>
  <c r="K19" i="55"/>
  <c r="S30" i="55"/>
  <c r="H38" i="55"/>
  <c r="R11" i="54"/>
  <c r="B25" i="55"/>
  <c r="K46" i="55"/>
  <c r="D12" i="55"/>
  <c r="H4" i="53"/>
  <c r="I11" i="54"/>
  <c r="C63" i="55"/>
  <c r="E32" i="55"/>
  <c r="D18" i="55"/>
  <c r="E13" i="55"/>
  <c r="I10" i="54"/>
  <c r="K45" i="55"/>
  <c r="N9" i="54"/>
  <c r="G43" i="55"/>
  <c r="G41" i="55"/>
  <c r="H45" i="55"/>
  <c r="L37" i="55"/>
  <c r="S15" i="55"/>
  <c r="J27" i="55"/>
  <c r="K8" i="54"/>
  <c r="R13" i="55"/>
  <c r="E12" i="55"/>
  <c r="D17" i="57"/>
  <c r="R7" i="54"/>
  <c r="E12" i="54"/>
  <c r="L10" i="53"/>
  <c r="R16" i="53"/>
  <c r="D28" i="57"/>
  <c r="J19" i="55"/>
  <c r="J21" i="55"/>
  <c r="B42" i="55"/>
  <c r="J38" i="55"/>
  <c r="G26" i="55"/>
  <c r="K7" i="54"/>
  <c r="U8" i="53"/>
  <c r="C17" i="55"/>
  <c r="R25" i="55"/>
  <c r="D46" i="55"/>
  <c r="H10" i="53"/>
  <c r="T10" i="54"/>
  <c r="F42" i="55"/>
  <c r="S44" i="55"/>
  <c r="D53" i="53"/>
  <c r="B4" i="55"/>
  <c r="C66" i="55"/>
  <c r="B38" i="55"/>
  <c r="E20" i="54"/>
  <c r="K11" i="54"/>
  <c r="I28" i="55"/>
  <c r="D51" i="53"/>
  <c r="S46" i="55"/>
  <c r="G28" i="55"/>
  <c r="F18" i="55"/>
  <c r="D7" i="54"/>
  <c r="C57" i="55"/>
  <c r="C4" i="55"/>
  <c r="F12" i="53"/>
  <c r="F10" i="53"/>
  <c r="R4" i="54"/>
  <c r="L18" i="55"/>
  <c r="S9" i="55"/>
  <c r="B77" i="55"/>
  <c r="S43" i="55"/>
  <c r="E18" i="55"/>
  <c r="S19" i="55"/>
  <c r="E6" i="54"/>
  <c r="J11" i="53"/>
  <c r="R41" i="55"/>
  <c r="N7" i="54"/>
  <c r="R8" i="53"/>
  <c r="F9" i="53"/>
  <c r="E42" i="53"/>
  <c r="E31" i="55"/>
  <c r="K23" i="55"/>
  <c r="K11" i="55"/>
  <c r="N15" i="53"/>
  <c r="L12" i="54"/>
  <c r="B37" i="55"/>
  <c r="C33" i="55"/>
  <c r="B14" i="55"/>
  <c r="K25" i="55"/>
  <c r="M9" i="54"/>
  <c r="E21" i="55"/>
  <c r="F19" i="55"/>
  <c r="D33" i="57"/>
  <c r="N17" i="53"/>
  <c r="D16" i="55"/>
  <c r="I14" i="55"/>
  <c r="L19" i="53"/>
  <c r="G24" i="55"/>
  <c r="E44" i="55"/>
  <c r="R6" i="55"/>
  <c r="N12" i="54"/>
  <c r="M13" i="53"/>
  <c r="D6" i="53"/>
  <c r="D16" i="57"/>
  <c r="G27" i="55"/>
  <c r="P4" i="53"/>
  <c r="U19" i="53"/>
  <c r="E11" i="54"/>
  <c r="S34" i="55"/>
  <c r="J39" i="55"/>
  <c r="K33" i="55"/>
  <c r="K24" i="55"/>
  <c r="D54" i="53"/>
  <c r="I12" i="55"/>
  <c r="K4" i="55"/>
  <c r="S4" i="55"/>
  <c r="F43" i="55"/>
  <c r="C76" i="55"/>
  <c r="C81" i="55"/>
  <c r="N11" i="54"/>
  <c r="J11" i="55"/>
  <c r="G9" i="53"/>
  <c r="D4" i="55"/>
  <c r="F11" i="54"/>
  <c r="F21" i="55"/>
  <c r="C72" i="55"/>
  <c r="G4" i="55"/>
  <c r="T13" i="53"/>
  <c r="D11" i="57"/>
  <c r="T8" i="53"/>
  <c r="C64" i="55"/>
  <c r="K11" i="53"/>
  <c r="P40" i="55"/>
  <c r="T18" i="53"/>
  <c r="E5" i="54"/>
  <c r="I11" i="55"/>
  <c r="R10" i="54"/>
  <c r="T9" i="54"/>
  <c r="B36" i="55"/>
  <c r="C75" i="55"/>
  <c r="B80" i="55"/>
  <c r="F10" i="54"/>
  <c r="D32" i="55"/>
  <c r="H12" i="54"/>
  <c r="B91" i="55"/>
  <c r="T9" i="53"/>
  <c r="J37" i="55"/>
  <c r="T12" i="54"/>
  <c r="E23" i="54"/>
  <c r="I6" i="53"/>
  <c r="D37" i="55"/>
  <c r="R11" i="55"/>
  <c r="J29" i="55"/>
  <c r="R5" i="54"/>
  <c r="I31" i="55"/>
  <c r="I4" i="54"/>
  <c r="E14" i="55"/>
  <c r="B51" i="55"/>
  <c r="L35" i="55"/>
  <c r="P45" i="55"/>
  <c r="J14" i="53"/>
  <c r="F8" i="54"/>
  <c r="L4" i="54"/>
  <c r="D25" i="55"/>
  <c r="H6" i="55"/>
  <c r="B79" i="55"/>
  <c r="E24" i="54"/>
  <c r="C69" i="55"/>
  <c r="L16" i="55"/>
  <c r="I4" i="55"/>
  <c r="F46" i="55"/>
  <c r="C26" i="55"/>
  <c r="P13" i="55"/>
  <c r="U4" i="53"/>
  <c r="H5" i="54"/>
  <c r="F4" i="53"/>
  <c r="B41" i="55"/>
  <c r="M7" i="54"/>
  <c r="N19" i="53"/>
  <c r="G13" i="55"/>
  <c r="E18" i="53"/>
  <c r="I24" i="55"/>
  <c r="D19" i="57"/>
  <c r="P9" i="54"/>
  <c r="J7" i="53"/>
  <c r="G33" i="55"/>
  <c r="U15" i="53"/>
  <c r="S33" i="55"/>
  <c r="D27" i="57"/>
  <c r="D9" i="55"/>
  <c r="D28" i="55"/>
  <c r="D10" i="57"/>
  <c r="D5" i="55"/>
  <c r="E49" i="53"/>
  <c r="L16" i="53"/>
  <c r="J44" i="55"/>
  <c r="E45" i="55"/>
  <c r="D7" i="55"/>
  <c r="I34" i="55"/>
  <c r="P17" i="53"/>
  <c r="K15" i="55"/>
  <c r="H24" i="55"/>
  <c r="C79" i="55"/>
  <c r="D29" i="57"/>
  <c r="D40" i="57"/>
  <c r="K27" i="55"/>
  <c r="H44" i="55"/>
  <c r="J17" i="53"/>
  <c r="E21" i="54"/>
  <c r="L42" i="55"/>
  <c r="C83" i="55"/>
  <c r="S11" i="55"/>
  <c r="N36" i="55"/>
  <c r="J5" i="53"/>
  <c r="D11" i="55"/>
  <c r="N45" i="55"/>
  <c r="P12" i="55"/>
  <c r="R21" i="55"/>
  <c r="D45" i="57"/>
  <c r="J8" i="55"/>
  <c r="D12" i="54"/>
  <c r="P15" i="53"/>
  <c r="S31" i="55"/>
  <c r="R15" i="53"/>
  <c r="H22" i="55"/>
  <c r="E25" i="54"/>
  <c r="I8" i="55"/>
  <c r="J16" i="55"/>
  <c r="I5" i="54"/>
  <c r="H14" i="55"/>
  <c r="M9" i="53"/>
  <c r="H32" i="55"/>
  <c r="U11" i="54"/>
  <c r="G17" i="55"/>
  <c r="S13" i="55"/>
  <c r="I6" i="54"/>
  <c r="G18" i="53"/>
  <c r="D13" i="53"/>
  <c r="C18" i="55"/>
  <c r="D23" i="55"/>
  <c r="N34" i="55"/>
  <c r="K17" i="53"/>
  <c r="E35" i="55"/>
  <c r="L11" i="53"/>
  <c r="E14" i="53"/>
  <c r="H6" i="53"/>
  <c r="F14" i="53"/>
  <c r="I29" i="55"/>
  <c r="H15" i="55"/>
  <c r="E6" i="55"/>
  <c r="I45" i="55"/>
  <c r="H37" i="55"/>
  <c r="C10" i="55"/>
  <c r="F10" i="55"/>
  <c r="P7" i="54"/>
  <c r="D34" i="55"/>
  <c r="H10" i="54"/>
  <c r="H31" i="55"/>
  <c r="J45" i="55"/>
  <c r="G7" i="53"/>
  <c r="K21" i="55"/>
  <c r="P19" i="53"/>
  <c r="J4" i="53"/>
  <c r="I17" i="55"/>
  <c r="J15" i="55"/>
  <c r="C12" i="55"/>
  <c r="P15" i="55"/>
  <c r="L6" i="53"/>
  <c r="N11" i="53"/>
  <c r="I12" i="53"/>
  <c r="F32" i="55"/>
  <c r="G19" i="53"/>
  <c r="J5" i="55"/>
  <c r="C15" i="55"/>
  <c r="H20" i="55"/>
  <c r="T17" i="53"/>
  <c r="J41" i="55"/>
  <c r="L5" i="54"/>
  <c r="R28" i="55"/>
  <c r="B30" i="55"/>
  <c r="R5" i="55"/>
  <c r="U9" i="54"/>
  <c r="J19" i="53"/>
  <c r="K32" i="55"/>
  <c r="N14" i="55"/>
  <c r="C42" i="55"/>
  <c r="J8" i="54"/>
  <c r="P5" i="53"/>
  <c r="K14" i="53"/>
  <c r="B82" i="55"/>
  <c r="G25" i="55"/>
  <c r="H13" i="55"/>
  <c r="N7" i="53"/>
  <c r="F40" i="55"/>
  <c r="P4" i="55"/>
  <c r="B46" i="55"/>
  <c r="N43" i="55"/>
  <c r="J6" i="54"/>
  <c r="E22" i="55"/>
  <c r="H23" i="55"/>
  <c r="J10" i="55"/>
  <c r="F8" i="53"/>
  <c r="D6" i="54"/>
  <c r="N4" i="54"/>
  <c r="D11" i="53"/>
  <c r="U6" i="53"/>
  <c r="E55" i="53"/>
  <c r="U7" i="54"/>
  <c r="I9" i="54"/>
  <c r="L12" i="53"/>
  <c r="I33" i="55"/>
  <c r="D23" i="57"/>
  <c r="E6" i="53"/>
  <c r="R6" i="54"/>
  <c r="C8" i="55"/>
  <c r="M12" i="53"/>
  <c r="R38" i="55"/>
  <c r="P11" i="54"/>
  <c r="P6" i="53"/>
  <c r="D14" i="53"/>
  <c r="P5" i="54"/>
  <c r="J35" i="55"/>
  <c r="H16" i="53"/>
  <c r="R13" i="53"/>
  <c r="K16" i="55"/>
  <c r="U6" i="54"/>
  <c r="B62" i="55"/>
  <c r="N14" i="53"/>
  <c r="B18" i="55"/>
  <c r="N5" i="53"/>
  <c r="H25" i="55"/>
  <c r="H36" i="55"/>
  <c r="M8" i="53"/>
  <c r="P10" i="54"/>
  <c r="J12" i="55"/>
  <c r="F13" i="55"/>
  <c r="I7" i="53"/>
  <c r="K31" i="55"/>
  <c r="J6" i="55"/>
  <c r="D42" i="53"/>
  <c r="F31" i="55"/>
  <c r="F16" i="55"/>
  <c r="E56" i="53"/>
  <c r="D50" i="53"/>
  <c r="K26" i="55"/>
  <c r="P9" i="53"/>
  <c r="N41" i="55"/>
  <c r="J9" i="54"/>
  <c r="S40" i="55"/>
  <c r="E28" i="55"/>
  <c r="I16" i="55"/>
  <c r="G10" i="55"/>
  <c r="D39" i="55"/>
  <c r="T14" i="53"/>
  <c r="K30" i="55"/>
  <c r="D17" i="53"/>
  <c r="R35" i="55"/>
  <c r="L13" i="53"/>
  <c r="B40" i="55"/>
  <c r="I36" i="55"/>
  <c r="D41" i="53"/>
  <c r="I42" i="55"/>
  <c r="D21" i="54"/>
  <c r="E12" i="53"/>
  <c r="K18" i="55"/>
  <c r="R42" i="55"/>
  <c r="C27" i="55"/>
  <c r="D17" i="54"/>
  <c r="S32" i="55"/>
  <c r="C45" i="55"/>
  <c r="D22" i="55"/>
  <c r="K37" i="55"/>
  <c r="T6" i="53"/>
  <c r="F26" i="55"/>
  <c r="B24" i="55"/>
  <c r="B28" i="55"/>
  <c r="B29" i="55"/>
  <c r="D27" i="55"/>
  <c r="H27" i="55"/>
  <c r="U5" i="54"/>
  <c r="C51" i="55"/>
  <c r="R14" i="55"/>
  <c r="P10" i="55"/>
  <c r="H4" i="55"/>
  <c r="I43" i="55"/>
  <c r="D22" i="54"/>
  <c r="K39" i="55"/>
  <c r="J46" i="55"/>
  <c r="I27" i="55"/>
  <c r="J13" i="55"/>
  <c r="K6" i="54"/>
  <c r="S36" i="55"/>
  <c r="C37" i="55"/>
  <c r="D10" i="53"/>
  <c r="D42" i="55"/>
  <c r="H15" i="53"/>
  <c r="K7" i="55"/>
  <c r="J14" i="55"/>
  <c r="G6" i="53"/>
  <c r="E19" i="53"/>
  <c r="D34" i="57"/>
  <c r="F22" i="55"/>
  <c r="E7" i="54"/>
  <c r="C87" i="55"/>
  <c r="B83" i="55"/>
  <c r="I30" i="55"/>
  <c r="K10" i="55"/>
  <c r="G21" i="55"/>
  <c r="K8" i="55"/>
  <c r="C80" i="55"/>
  <c r="D5" i="54"/>
  <c r="K14" i="55"/>
  <c r="N4" i="53"/>
  <c r="D18" i="53"/>
  <c r="F28" i="55"/>
  <c r="H11" i="53"/>
  <c r="R8" i="54"/>
  <c r="L14" i="53"/>
  <c r="B9" i="55"/>
  <c r="C89" i="55"/>
  <c r="D26" i="55"/>
  <c r="G10" i="53"/>
  <c r="D24" i="54"/>
  <c r="E51" i="53"/>
  <c r="N16" i="55"/>
  <c r="J40" i="55"/>
  <c r="T4" i="54"/>
  <c r="U10" i="54"/>
  <c r="M18" i="53"/>
  <c r="F23" i="55"/>
  <c r="E46" i="55"/>
  <c r="H39" i="55"/>
  <c r="R7" i="53"/>
  <c r="D25" i="57"/>
  <c r="D9" i="57"/>
  <c r="D12" i="53"/>
  <c r="T5" i="54"/>
  <c r="G29" i="55"/>
  <c r="G46" i="55"/>
  <c r="C41" i="55"/>
  <c r="L38" i="55"/>
  <c r="G17" i="53"/>
  <c r="F19" i="53"/>
  <c r="K38" i="55"/>
  <c r="E5" i="53"/>
  <c r="D46" i="53"/>
  <c r="D6" i="55"/>
  <c r="K4" i="53"/>
  <c r="D12" i="57"/>
  <c r="D20" i="54"/>
  <c r="T8" i="54"/>
  <c r="K44" i="55"/>
  <c r="G34" i="55"/>
  <c r="C22" i="55"/>
  <c r="R46" i="55"/>
  <c r="F34" i="55"/>
  <c r="D4" i="54"/>
  <c r="I21" i="55"/>
  <c r="T7" i="54"/>
  <c r="P14" i="55"/>
  <c r="H8" i="53"/>
  <c r="F17" i="55"/>
  <c r="J43" i="55"/>
  <c r="H19" i="55"/>
  <c r="C20" i="55"/>
  <c r="D30" i="55"/>
  <c r="G12" i="54"/>
  <c r="H17" i="55"/>
  <c r="J5" i="54"/>
  <c r="B27" i="55"/>
  <c r="R7" i="55"/>
  <c r="B88" i="55"/>
  <c r="S22" i="55"/>
  <c r="K28" i="55"/>
  <c r="E34" i="55"/>
  <c r="K12" i="55"/>
  <c r="R12" i="54"/>
  <c r="M11" i="54"/>
  <c r="J11" i="54"/>
  <c r="N5" i="55"/>
  <c r="F39" i="55"/>
  <c r="C46" i="55"/>
  <c r="G15" i="55"/>
  <c r="J9" i="53"/>
  <c r="I13" i="55"/>
  <c r="R39" i="55"/>
  <c r="B60" i="55"/>
  <c r="D15" i="55"/>
  <c r="J10" i="54"/>
  <c r="G11" i="53"/>
  <c r="N8" i="54"/>
  <c r="D38" i="57"/>
  <c r="D35" i="57"/>
  <c r="H46" i="55"/>
  <c r="G8" i="53"/>
  <c r="H7" i="54"/>
  <c r="T16" i="53"/>
  <c r="I38" i="55"/>
  <c r="E33" i="55"/>
  <c r="H7" i="55"/>
  <c r="G15" i="53"/>
  <c r="R19" i="53"/>
  <c r="C40" i="55"/>
  <c r="K12" i="53"/>
  <c r="T6" i="54"/>
  <c r="K22" i="55"/>
  <c r="F35" i="55"/>
  <c r="J28" i="55"/>
  <c r="P4" i="54"/>
  <c r="U10" i="53"/>
  <c r="U8" i="54"/>
  <c r="D4" i="53"/>
  <c r="G5" i="54"/>
  <c r="J8" i="53"/>
  <c r="F14" i="55"/>
  <c r="K13" i="53"/>
  <c r="K29" i="55"/>
  <c r="K6" i="53"/>
  <c r="C7" i="55"/>
  <c r="S6" i="55"/>
  <c r="R34" i="55"/>
  <c r="S29" i="55"/>
  <c r="P13" i="53"/>
  <c r="J18" i="55"/>
  <c r="G6" i="54"/>
  <c r="U18" i="53"/>
  <c r="F33" i="55"/>
  <c r="B73" i="55"/>
  <c r="I11" i="53"/>
  <c r="B81" i="55"/>
  <c r="P10" i="53"/>
  <c r="L43" i="55"/>
  <c r="E50" i="53"/>
  <c r="B8" i="55"/>
  <c r="L13" i="55"/>
  <c r="D43" i="55"/>
  <c r="B16" i="55"/>
  <c r="M4" i="54"/>
  <c r="B75" i="55"/>
  <c r="B43" i="55"/>
  <c r="H17" i="53"/>
  <c r="I23" i="55"/>
  <c r="G9" i="54"/>
  <c r="D32" i="57"/>
  <c r="I10" i="53"/>
  <c r="B39" i="55"/>
  <c r="N18" i="55"/>
  <c r="L7" i="54"/>
  <c r="C19" i="55"/>
  <c r="M5" i="53"/>
  <c r="J18" i="53"/>
  <c r="D15" i="57"/>
  <c r="D17" i="55"/>
  <c r="L8" i="54"/>
  <c r="M12" i="54"/>
  <c r="L17" i="55"/>
  <c r="C44" i="55"/>
  <c r="E7" i="53"/>
  <c r="F45" i="55"/>
  <c r="T10" i="53"/>
  <c r="L33" i="55"/>
  <c r="K40" i="55"/>
  <c r="D19" i="55"/>
  <c r="I13" i="53"/>
  <c r="J4" i="55"/>
  <c r="U4" i="54"/>
  <c r="D44" i="55"/>
  <c r="I32" i="55"/>
  <c r="C6" i="55"/>
  <c r="E43" i="53"/>
  <c r="E7" i="55"/>
  <c r="C52" i="55"/>
  <c r="K12" i="54"/>
  <c r="N15" i="55"/>
  <c r="H8" i="54"/>
  <c r="C77" i="55"/>
  <c r="F6" i="54"/>
  <c r="S41" i="55"/>
  <c r="F5" i="53"/>
  <c r="C43" i="55"/>
  <c r="D41" i="55"/>
  <c r="E40" i="55"/>
  <c r="L18" i="53"/>
  <c r="G35" i="55"/>
  <c r="C25" i="55"/>
  <c r="K9" i="55"/>
  <c r="F13" i="53"/>
  <c r="E25" i="55"/>
  <c r="P11" i="53"/>
  <c r="T7" i="53"/>
  <c r="B55" i="55"/>
  <c r="D7" i="57"/>
  <c r="G12" i="53"/>
  <c r="L11" i="54"/>
  <c r="R18" i="53"/>
  <c r="L4" i="55"/>
  <c r="E11" i="53"/>
  <c r="B31" i="55"/>
  <c r="D8" i="54"/>
  <c r="I14" i="53"/>
  <c r="B17" i="55"/>
  <c r="D36" i="55"/>
  <c r="J7" i="54"/>
  <c r="S14" i="55"/>
  <c r="N18" i="53"/>
  <c r="N9" i="53"/>
  <c r="S38" i="55"/>
  <c r="P39" i="55"/>
  <c r="M7" i="53"/>
  <c r="S26" i="55"/>
  <c r="D6" i="57"/>
  <c r="E36" i="57"/>
  <c r="E4" i="57"/>
  <c r="E7" i="57"/>
  <c r="E6" i="57"/>
  <c r="H6" i="57" l="1"/>
  <c r="E8" i="57"/>
  <c r="E50" i="57"/>
  <c r="H7" i="57"/>
  <c r="H4" i="57"/>
  <c r="I4" i="57" s="1"/>
  <c r="F4" i="57"/>
  <c r="E37" i="57"/>
  <c r="D8" i="57"/>
  <c r="F8" i="57" s="1"/>
  <c r="G6" i="57"/>
  <c r="F6" i="57"/>
  <c r="N27" i="53"/>
  <c r="N36" i="53"/>
  <c r="R36" i="53"/>
  <c r="F7" i="57"/>
  <c r="G7" i="57"/>
  <c r="I7" i="57" s="1"/>
  <c r="T25" i="53"/>
  <c r="U25" i="53"/>
  <c r="P29" i="53"/>
  <c r="F31" i="53"/>
  <c r="G31" i="53"/>
  <c r="L36" i="53"/>
  <c r="M36" i="53"/>
  <c r="G23" i="53"/>
  <c r="F23" i="53"/>
  <c r="U28" i="53"/>
  <c r="T28" i="53"/>
  <c r="F15" i="57"/>
  <c r="J36" i="53"/>
  <c r="K36" i="53"/>
  <c r="F32" i="57"/>
  <c r="I35" i="53"/>
  <c r="H35" i="53"/>
  <c r="P28" i="53"/>
  <c r="P31" i="53"/>
  <c r="K26" i="53"/>
  <c r="J26" i="53"/>
  <c r="R37" i="53"/>
  <c r="T34" i="53"/>
  <c r="U34" i="53"/>
  <c r="F35" i="57"/>
  <c r="F38" i="57"/>
  <c r="K27" i="53"/>
  <c r="J27" i="53"/>
  <c r="H26" i="53"/>
  <c r="I26" i="53"/>
  <c r="F12" i="57"/>
  <c r="D64" i="53"/>
  <c r="E64" i="53"/>
  <c r="G37" i="53"/>
  <c r="F37" i="53"/>
  <c r="E30" i="53"/>
  <c r="D30" i="53"/>
  <c r="F9" i="57"/>
  <c r="F25" i="57"/>
  <c r="R25" i="53"/>
  <c r="L32" i="53"/>
  <c r="M32" i="53"/>
  <c r="I29" i="53"/>
  <c r="H29" i="53"/>
  <c r="D36" i="53"/>
  <c r="E36" i="53"/>
  <c r="F34" i="57"/>
  <c r="H33" i="53"/>
  <c r="I33" i="53"/>
  <c r="E28" i="53"/>
  <c r="D28" i="53"/>
  <c r="T24" i="53"/>
  <c r="U24" i="53"/>
  <c r="M31" i="53"/>
  <c r="L31" i="53"/>
  <c r="D35" i="53"/>
  <c r="E35" i="53"/>
  <c r="U32" i="53"/>
  <c r="T32" i="53"/>
  <c r="P27" i="53"/>
  <c r="E68" i="53"/>
  <c r="D68" i="53"/>
  <c r="E60" i="53"/>
  <c r="D60" i="53"/>
  <c r="N23" i="53"/>
  <c r="N22" i="53" s="1"/>
  <c r="N32" i="53"/>
  <c r="R31" i="53"/>
  <c r="H34" i="53"/>
  <c r="I34" i="53"/>
  <c r="E32" i="53"/>
  <c r="D32" i="53"/>
  <c r="P24" i="53"/>
  <c r="D50" i="57"/>
  <c r="F23" i="57"/>
  <c r="M30" i="53"/>
  <c r="L30" i="53"/>
  <c r="E29" i="53"/>
  <c r="D29" i="53"/>
  <c r="F26" i="53"/>
  <c r="G26" i="53"/>
  <c r="N25" i="53"/>
  <c r="P23" i="53"/>
  <c r="P22" i="53" s="1"/>
  <c r="J37" i="53"/>
  <c r="K37" i="53"/>
  <c r="T35" i="53"/>
  <c r="U35" i="53"/>
  <c r="N29" i="53"/>
  <c r="L24" i="53"/>
  <c r="M24" i="53"/>
  <c r="P37" i="53"/>
  <c r="G32" i="53"/>
  <c r="F32" i="53"/>
  <c r="I24" i="53"/>
  <c r="H24" i="53"/>
  <c r="L29" i="53"/>
  <c r="M29" i="53"/>
  <c r="E31" i="53"/>
  <c r="D31" i="53"/>
  <c r="R33" i="53"/>
  <c r="P33" i="53"/>
  <c r="L45" i="57"/>
  <c r="F45" i="57"/>
  <c r="N45" i="57" s="1"/>
  <c r="K23" i="53"/>
  <c r="J23" i="53"/>
  <c r="K35" i="53"/>
  <c r="J35" i="53"/>
  <c r="F40" i="57"/>
  <c r="F29" i="57"/>
  <c r="P35" i="53"/>
  <c r="M34" i="53"/>
  <c r="L34" i="53"/>
  <c r="F10" i="57"/>
  <c r="F27" i="57"/>
  <c r="K25" i="53"/>
  <c r="J25" i="53"/>
  <c r="F19" i="57"/>
  <c r="N37" i="53"/>
  <c r="K32" i="53"/>
  <c r="J32" i="53"/>
  <c r="U27" i="53"/>
  <c r="T27" i="53"/>
  <c r="U36" i="53"/>
  <c r="T36" i="53"/>
  <c r="U26" i="53"/>
  <c r="T26" i="53"/>
  <c r="F11" i="57"/>
  <c r="T31" i="53"/>
  <c r="U31" i="53"/>
  <c r="D72" i="53"/>
  <c r="E72" i="53"/>
  <c r="F16" i="57"/>
  <c r="D24" i="53"/>
  <c r="E24" i="53"/>
  <c r="M37" i="53"/>
  <c r="L37" i="53"/>
  <c r="N35" i="53"/>
  <c r="F33" i="57"/>
  <c r="N33" i="53"/>
  <c r="G27" i="53"/>
  <c r="F27" i="53"/>
  <c r="R26" i="53"/>
  <c r="J29" i="53"/>
  <c r="K29" i="53"/>
  <c r="F28" i="53"/>
  <c r="G28" i="53"/>
  <c r="F30" i="53"/>
  <c r="G30" i="53"/>
  <c r="D69" i="53"/>
  <c r="E69" i="53"/>
  <c r="E71" i="53"/>
  <c r="D71" i="53"/>
  <c r="I28" i="53"/>
  <c r="H28" i="53"/>
  <c r="F28" i="57"/>
  <c r="R34" i="53"/>
  <c r="L28" i="53"/>
  <c r="M28" i="53"/>
  <c r="F17" i="57"/>
  <c r="N30" i="53"/>
  <c r="F20" i="57"/>
  <c r="N20" i="57" s="1"/>
  <c r="L20" i="57"/>
  <c r="F31" i="57"/>
  <c r="T33" i="53"/>
  <c r="U33" i="53"/>
  <c r="F33" i="53"/>
  <c r="G33" i="53"/>
  <c r="D37" i="53"/>
  <c r="E37" i="53"/>
  <c r="D66" i="53"/>
  <c r="E66" i="53"/>
  <c r="F24" i="57"/>
  <c r="P30" i="53"/>
  <c r="E63" i="53"/>
  <c r="D63" i="53"/>
  <c r="R24" i="53"/>
  <c r="F24" i="53"/>
  <c r="G24" i="53"/>
  <c r="N26" i="53"/>
  <c r="L26" i="53"/>
  <c r="M26" i="53"/>
  <c r="F30" i="57"/>
  <c r="M25" i="53"/>
  <c r="L25" i="53"/>
  <c r="G36" i="53"/>
  <c r="F36" i="53"/>
  <c r="I23" i="53"/>
  <c r="H23" i="53"/>
  <c r="F18" i="57"/>
  <c r="F35" i="53"/>
  <c r="G35" i="53"/>
  <c r="E61" i="53"/>
  <c r="D61" i="53"/>
  <c r="K31" i="53"/>
  <c r="J31" i="53"/>
  <c r="D43" i="57"/>
  <c r="F41" i="57"/>
  <c r="P34" i="53"/>
  <c r="K34" i="53"/>
  <c r="J34" i="53"/>
  <c r="I37" i="53"/>
  <c r="H37" i="53"/>
  <c r="R28" i="53"/>
  <c r="G29" i="53"/>
  <c r="F29" i="53"/>
  <c r="D25" i="53"/>
  <c r="E25" i="53"/>
  <c r="I27" i="53"/>
  <c r="H27" i="53"/>
  <c r="U37" i="53"/>
  <c r="T37" i="53"/>
  <c r="F13" i="57"/>
  <c r="I25" i="53"/>
  <c r="H25" i="53"/>
  <c r="N34" i="53"/>
  <c r="K28" i="53"/>
  <c r="J28" i="53"/>
  <c r="J24" i="53"/>
  <c r="K24" i="53"/>
  <c r="J30" i="53"/>
  <c r="K30" i="53"/>
  <c r="J33" i="53"/>
  <c r="K33" i="53"/>
  <c r="E34" i="53"/>
  <c r="D34" i="53"/>
  <c r="I30" i="53"/>
  <c r="H30" i="53"/>
  <c r="P36" i="53"/>
  <c r="E23" i="53"/>
  <c r="D23" i="53"/>
  <c r="D74" i="53"/>
  <c r="E74" i="53"/>
  <c r="U29" i="53"/>
  <c r="T29" i="53"/>
  <c r="P32" i="53"/>
  <c r="M27" i="53"/>
  <c r="L27" i="53"/>
  <c r="I32" i="53"/>
  <c r="H32" i="53"/>
  <c r="D73" i="53"/>
  <c r="E73" i="53"/>
  <c r="R32" i="53"/>
  <c r="F26" i="57"/>
  <c r="R29" i="53"/>
  <c r="E27" i="53"/>
  <c r="D27" i="53"/>
  <c r="E70" i="53"/>
  <c r="D70" i="53"/>
  <c r="U30" i="53"/>
  <c r="T30" i="53"/>
  <c r="L23" i="53"/>
  <c r="L22" i="53" s="1"/>
  <c r="M23" i="53"/>
  <c r="M22" i="53" s="1"/>
  <c r="R23" i="53"/>
  <c r="R22" i="53" s="1"/>
  <c r="R27" i="53"/>
  <c r="E33" i="53"/>
  <c r="D33" i="53"/>
  <c r="L14" i="57"/>
  <c r="F14" i="57"/>
  <c r="F39" i="57"/>
  <c r="N24" i="53"/>
  <c r="P26" i="53"/>
  <c r="F22" i="57"/>
  <c r="N28" i="53"/>
  <c r="H36" i="53"/>
  <c r="I36" i="53"/>
  <c r="G34" i="53"/>
  <c r="F34" i="53"/>
  <c r="G25" i="53"/>
  <c r="F25" i="53"/>
  <c r="T23" i="53"/>
  <c r="T22" i="53" s="1"/>
  <c r="U23" i="53"/>
  <c r="U22" i="53" s="1"/>
  <c r="D26" i="53"/>
  <c r="E26" i="53"/>
  <c r="R35" i="53"/>
  <c r="N31" i="53"/>
  <c r="P25" i="53"/>
  <c r="D65" i="53"/>
  <c r="E65" i="53"/>
  <c r="L35" i="53"/>
  <c r="M35" i="53"/>
  <c r="R30" i="53"/>
  <c r="D67" i="53"/>
  <c r="E67" i="53"/>
  <c r="H31" i="53"/>
  <c r="I31" i="53"/>
  <c r="L33" i="53"/>
  <c r="M33" i="53"/>
  <c r="E62" i="53"/>
  <c r="D62" i="53"/>
  <c r="F43" i="57"/>
  <c r="O18" i="55"/>
  <c r="S19" i="53"/>
  <c r="Q5" i="54"/>
  <c r="O7" i="53"/>
  <c r="Q5" i="53"/>
  <c r="O14" i="55"/>
  <c r="M42" i="55"/>
  <c r="Q40" i="55"/>
  <c r="O9" i="54"/>
  <c r="O10" i="55"/>
  <c r="O8" i="53"/>
  <c r="L26" i="55"/>
  <c r="L23" i="55"/>
  <c r="M45" i="55"/>
  <c r="Q41" i="55"/>
  <c r="O6" i="54"/>
  <c r="O6" i="53"/>
  <c r="Q8" i="53"/>
  <c r="Q8" i="54"/>
  <c r="O35" i="55"/>
  <c r="S18" i="53"/>
  <c r="M33" i="55"/>
  <c r="L28" i="55"/>
  <c r="M38" i="55"/>
  <c r="O41" i="55"/>
  <c r="O11" i="53"/>
  <c r="M43" i="55"/>
  <c r="O5" i="55"/>
  <c r="Q10" i="55"/>
  <c r="Q9" i="53"/>
  <c r="Q45" i="55"/>
  <c r="L11" i="55"/>
  <c r="Q4" i="53"/>
  <c r="L21" i="55"/>
  <c r="S6" i="53"/>
  <c r="Q12" i="54"/>
  <c r="M15" i="55"/>
  <c r="O40" i="55"/>
  <c r="S9" i="53"/>
  <c r="O4" i="55"/>
  <c r="L22" i="55"/>
  <c r="Q38" i="55"/>
  <c r="S17" i="53"/>
  <c r="L32" i="55"/>
  <c r="Q6" i="53"/>
  <c r="L27" i="55"/>
  <c r="S11" i="54"/>
  <c r="Q35" i="55"/>
  <c r="Q34" i="55"/>
  <c r="Q14" i="55"/>
  <c r="Q11" i="54"/>
  <c r="Q15" i="55"/>
  <c r="Q19" i="53"/>
  <c r="Q12" i="55"/>
  <c r="Q9" i="54"/>
  <c r="S8" i="53"/>
  <c r="S4" i="54"/>
  <c r="S16" i="53"/>
  <c r="M37" i="55"/>
  <c r="Q6" i="54"/>
  <c r="O13" i="55"/>
  <c r="O38" i="55"/>
  <c r="Q16" i="53"/>
  <c r="O5" i="54"/>
  <c r="O17" i="55"/>
  <c r="Q5" i="55"/>
  <c r="L24" i="55"/>
  <c r="Q18" i="53"/>
  <c r="L20" i="55"/>
  <c r="S9" i="54"/>
  <c r="M14" i="55"/>
  <c r="O12" i="55"/>
  <c r="L29" i="55"/>
  <c r="Q17" i="55"/>
  <c r="M4" i="55"/>
  <c r="M13" i="55"/>
  <c r="Q10" i="53"/>
  <c r="O8" i="54"/>
  <c r="O4" i="53"/>
  <c r="O5" i="53"/>
  <c r="O14" i="53"/>
  <c r="O43" i="55"/>
  <c r="O34" i="55"/>
  <c r="O45" i="55"/>
  <c r="L44" i="55"/>
  <c r="M16" i="55"/>
  <c r="S5" i="54"/>
  <c r="S10" i="54"/>
  <c r="O12" i="53"/>
  <c r="Q12" i="53"/>
  <c r="L25" i="55"/>
  <c r="L30" i="55"/>
  <c r="M7" i="55"/>
  <c r="O16" i="53"/>
  <c r="Q14" i="53"/>
  <c r="S14" i="53"/>
  <c r="O39" i="55"/>
  <c r="S5" i="53"/>
  <c r="M36" i="55"/>
  <c r="O7" i="55"/>
  <c r="Q43" i="55"/>
  <c r="Q7" i="53"/>
  <c r="Q33" i="55"/>
  <c r="Q4" i="55"/>
  <c r="O9" i="53"/>
  <c r="Q4" i="54"/>
  <c r="S12" i="54"/>
  <c r="O16" i="55"/>
  <c r="S13" i="53"/>
  <c r="O4" i="54"/>
  <c r="Q17" i="53"/>
  <c r="O19" i="53"/>
  <c r="Q13" i="55"/>
  <c r="O7" i="54"/>
  <c r="S7" i="54"/>
  <c r="O10" i="54"/>
  <c r="S10" i="53"/>
  <c r="Q36" i="55"/>
  <c r="Q16" i="55"/>
  <c r="S11" i="53"/>
  <c r="O10" i="53"/>
  <c r="M10" i="55"/>
  <c r="Q39" i="55"/>
  <c r="O15" i="55"/>
  <c r="S8" i="54"/>
  <c r="S6" i="54"/>
  <c r="O36" i="55"/>
  <c r="S4" i="53"/>
  <c r="Q11" i="53"/>
  <c r="Q15" i="53"/>
  <c r="Q37" i="55"/>
  <c r="M41" i="55"/>
  <c r="O33" i="55"/>
  <c r="L9" i="55"/>
  <c r="M12" i="55"/>
  <c r="M40" i="55"/>
  <c r="M34" i="55"/>
  <c r="S12" i="53"/>
  <c r="L31" i="55"/>
  <c r="O18" i="53"/>
  <c r="M17" i="55"/>
  <c r="D36" i="57"/>
  <c r="Q13" i="53"/>
  <c r="S7" i="53"/>
  <c r="L46" i="55"/>
  <c r="L6" i="55"/>
  <c r="Q7" i="54"/>
  <c r="S15" i="53"/>
  <c r="L8" i="55"/>
  <c r="M35" i="55"/>
  <c r="O11" i="54"/>
  <c r="O12" i="54"/>
  <c r="O17" i="53"/>
  <c r="O15" i="53"/>
  <c r="M18" i="55"/>
  <c r="L19" i="55"/>
  <c r="O37" i="55"/>
  <c r="Q7" i="55"/>
  <c r="Q18" i="55"/>
  <c r="O42" i="55"/>
  <c r="M5" i="55"/>
  <c r="O13" i="53"/>
  <c r="Q10" i="54"/>
  <c r="Q42" i="55"/>
  <c r="M39" i="55"/>
  <c r="O31" i="53" l="1"/>
  <c r="O33" i="53"/>
  <c r="O35" i="53"/>
  <c r="S33" i="53"/>
  <c r="S25" i="53"/>
  <c r="Q31" i="53"/>
  <c r="D37" i="57"/>
  <c r="L38" i="57" s="1"/>
  <c r="F36" i="57"/>
  <c r="O36" i="53"/>
  <c r="S30" i="53"/>
  <c r="Q33" i="53"/>
  <c r="Q29" i="53"/>
  <c r="O28" i="53"/>
  <c r="S29" i="53"/>
  <c r="S28" i="53"/>
  <c r="O37" i="53"/>
  <c r="Q35" i="53"/>
  <c r="S31" i="53"/>
  <c r="O27" i="53"/>
  <c r="Q25" i="53"/>
  <c r="S23" i="53"/>
  <c r="S22" i="53" s="1"/>
  <c r="S32" i="53"/>
  <c r="Q32" i="53"/>
  <c r="O34" i="53"/>
  <c r="Q30" i="53"/>
  <c r="O30" i="53"/>
  <c r="O32" i="53"/>
  <c r="O23" i="53"/>
  <c r="O22" i="53" s="1"/>
  <c r="Q28" i="53"/>
  <c r="Q36" i="53"/>
  <c r="Q34" i="53"/>
  <c r="S34" i="53"/>
  <c r="S26" i="53"/>
  <c r="Q37" i="53"/>
  <c r="Q24" i="53"/>
  <c r="S35" i="53"/>
  <c r="S27" i="53"/>
  <c r="S24" i="53"/>
  <c r="Q27" i="53"/>
  <c r="O29" i="53"/>
  <c r="S36" i="53"/>
  <c r="Q26" i="53"/>
  <c r="O24" i="53"/>
  <c r="O26" i="53"/>
  <c r="Q23" i="53"/>
  <c r="Q22" i="53" s="1"/>
  <c r="O25" i="53"/>
  <c r="S37" i="53"/>
  <c r="E59" i="53"/>
  <c r="F22" i="53"/>
  <c r="H8" i="57"/>
  <c r="G22" i="53"/>
  <c r="D22" i="53"/>
  <c r="J22" i="53"/>
  <c r="F37" i="57"/>
  <c r="M38" i="57"/>
  <c r="E22" i="53"/>
  <c r="K22" i="53"/>
  <c r="H22" i="53"/>
  <c r="G8" i="57"/>
  <c r="I6" i="57"/>
  <c r="I22" i="53"/>
  <c r="N38" i="57"/>
  <c r="F50" i="57"/>
  <c r="N14" i="57"/>
  <c r="D59" i="53"/>
  <c r="N9" i="55"/>
  <c r="N44" i="55"/>
  <c r="N27" i="55"/>
  <c r="N21" i="55"/>
  <c r="N8" i="55"/>
  <c r="M46" i="55"/>
  <c r="N31" i="55"/>
  <c r="M44" i="55"/>
  <c r="N28" i="55"/>
  <c r="M8" i="55"/>
  <c r="M6" i="55"/>
  <c r="M31" i="55"/>
  <c r="M30" i="55"/>
  <c r="N30" i="55"/>
  <c r="N25" i="55"/>
  <c r="N29" i="55"/>
  <c r="N32" i="55"/>
  <c r="N22" i="55"/>
  <c r="N11" i="55"/>
  <c r="M28" i="55"/>
  <c r="M25" i="55"/>
  <c r="N20" i="55"/>
  <c r="M27" i="55"/>
  <c r="M11" i="55"/>
  <c r="M20" i="55"/>
  <c r="N24" i="55"/>
  <c r="M26" i="55"/>
  <c r="N19" i="55"/>
  <c r="N46" i="55"/>
  <c r="N23" i="55"/>
  <c r="N26" i="55"/>
  <c r="M19" i="55"/>
  <c r="N6" i="55"/>
  <c r="M9" i="55"/>
  <c r="M29" i="55"/>
  <c r="M24" i="55"/>
  <c r="M32" i="55"/>
  <c r="M22" i="55"/>
  <c r="M21" i="55"/>
  <c r="M23" i="55"/>
  <c r="H42" i="57" l="1"/>
  <c r="H45" i="57"/>
  <c r="H43" i="57"/>
  <c r="G42" i="57"/>
  <c r="I8" i="57"/>
  <c r="G45" i="57"/>
  <c r="G43" i="57"/>
  <c r="O22" i="55"/>
  <c r="P23" i="55"/>
  <c r="P25" i="55"/>
  <c r="O8" i="55"/>
  <c r="O44" i="55"/>
  <c r="P21" i="55"/>
  <c r="H27" i="57"/>
  <c r="H19" i="57"/>
  <c r="H30" i="57"/>
  <c r="H38" i="57"/>
  <c r="G14" i="57"/>
  <c r="G20" i="57"/>
  <c r="G17" i="57"/>
  <c r="P6" i="55"/>
  <c r="P46" i="55"/>
  <c r="O26" i="55"/>
  <c r="P30" i="55"/>
  <c r="P27" i="55"/>
  <c r="H11" i="57"/>
  <c r="H17" i="57"/>
  <c r="H22" i="57"/>
  <c r="G29" i="57"/>
  <c r="G31" i="57"/>
  <c r="G18" i="57"/>
  <c r="G19" i="57"/>
  <c r="O32" i="55"/>
  <c r="O19" i="55"/>
  <c r="P19" i="55"/>
  <c r="P24" i="55"/>
  <c r="O11" i="55"/>
  <c r="O30" i="55"/>
  <c r="P31" i="55"/>
  <c r="P44" i="55"/>
  <c r="H12" i="57"/>
  <c r="H18" i="57"/>
  <c r="H16" i="57"/>
  <c r="G12" i="57"/>
  <c r="G24" i="57"/>
  <c r="G10" i="57"/>
  <c r="O23" i="55"/>
  <c r="O20" i="55"/>
  <c r="O27" i="55"/>
  <c r="O28" i="55"/>
  <c r="P9" i="55"/>
  <c r="H39" i="57"/>
  <c r="H9" i="57"/>
  <c r="H10" i="57"/>
  <c r="H34" i="57"/>
  <c r="G30" i="57"/>
  <c r="G26" i="57"/>
  <c r="G16" i="57"/>
  <c r="G38" i="57"/>
  <c r="O24" i="55"/>
  <c r="P11" i="55"/>
  <c r="O46" i="55"/>
  <c r="H41" i="57"/>
  <c r="H23" i="57"/>
  <c r="H33" i="57"/>
  <c r="H31" i="57"/>
  <c r="G39" i="57"/>
  <c r="G28" i="57"/>
  <c r="G40" i="57"/>
  <c r="O21" i="55"/>
  <c r="O29" i="55"/>
  <c r="P20" i="55"/>
  <c r="P22" i="55"/>
  <c r="O31" i="55"/>
  <c r="P8" i="55"/>
  <c r="H29" i="57"/>
  <c r="H32" i="57"/>
  <c r="H28" i="57"/>
  <c r="H13" i="57"/>
  <c r="G11" i="57"/>
  <c r="G32" i="57"/>
  <c r="G34" i="57"/>
  <c r="G22" i="57"/>
  <c r="G27" i="57"/>
  <c r="P32" i="55"/>
  <c r="O6" i="55"/>
  <c r="H35" i="57"/>
  <c r="H26" i="57"/>
  <c r="H25" i="57"/>
  <c r="H20" i="57"/>
  <c r="G35" i="57"/>
  <c r="G15" i="57"/>
  <c r="G13" i="57"/>
  <c r="G33" i="57"/>
  <c r="G41" i="57"/>
  <c r="O9" i="55"/>
  <c r="P26" i="55"/>
  <c r="O25" i="55"/>
  <c r="P29" i="55"/>
  <c r="P28" i="55"/>
  <c r="H40" i="57"/>
  <c r="H24" i="57"/>
  <c r="H15" i="57"/>
  <c r="H14" i="57"/>
  <c r="G9" i="57"/>
  <c r="G25" i="57"/>
  <c r="G23" i="57"/>
  <c r="I9" i="57" l="1"/>
  <c r="P14" i="57"/>
  <c r="I15" i="57"/>
  <c r="I24" i="57"/>
  <c r="I40" i="57"/>
  <c r="I13" i="57"/>
  <c r="P20" i="57"/>
  <c r="I25" i="57"/>
  <c r="I26" i="57"/>
  <c r="I35" i="57"/>
  <c r="I11" i="57"/>
  <c r="I28" i="57"/>
  <c r="I32" i="57"/>
  <c r="I29" i="57"/>
  <c r="I31" i="57"/>
  <c r="I33" i="57"/>
  <c r="I23" i="57"/>
  <c r="I41" i="57"/>
  <c r="I38" i="57"/>
  <c r="I34" i="57"/>
  <c r="I39" i="57"/>
  <c r="I10" i="57"/>
  <c r="I12" i="57"/>
  <c r="I16" i="57"/>
  <c r="I18" i="57"/>
  <c r="I22" i="57"/>
  <c r="I17" i="57"/>
  <c r="I20" i="57"/>
  <c r="Q20" i="57" s="1"/>
  <c r="O20" i="57"/>
  <c r="O14" i="57"/>
  <c r="I14" i="57"/>
  <c r="Q14" i="57" s="1"/>
  <c r="I30" i="57"/>
  <c r="I19" i="57"/>
  <c r="I27" i="57"/>
  <c r="O45" i="57"/>
  <c r="I45" i="57"/>
  <c r="Q45" i="57" s="1"/>
  <c r="I43" i="57"/>
  <c r="P45" i="57"/>
  <c r="I42" i="57"/>
  <c r="Q9" i="55"/>
  <c r="H36" i="57"/>
  <c r="Q31" i="55"/>
  <c r="Q6" i="55"/>
  <c r="Q29" i="55"/>
  <c r="Q21" i="55"/>
  <c r="Q46" i="55"/>
  <c r="Q28" i="55"/>
  <c r="Q24" i="55"/>
  <c r="Q27" i="55"/>
  <c r="Q30" i="55"/>
  <c r="Q26" i="55"/>
  <c r="Q44" i="55"/>
  <c r="Q20" i="55"/>
  <c r="Q11" i="55"/>
  <c r="Q8" i="55"/>
  <c r="G36" i="57"/>
  <c r="Q23" i="55"/>
  <c r="Q19" i="55"/>
  <c r="Q22" i="55"/>
  <c r="Q32" i="55"/>
  <c r="Q25" i="55"/>
  <c r="G37" i="57" l="1"/>
  <c r="O38" i="57" s="1"/>
  <c r="I36" i="57"/>
  <c r="H37" i="57"/>
  <c r="I37" i="57" l="1"/>
  <c r="Q38" i="57" s="1"/>
  <c r="P38" i="57"/>
</calcChain>
</file>

<file path=xl/sharedStrings.xml><?xml version="1.0" encoding="utf-8"?>
<sst xmlns="http://schemas.openxmlformats.org/spreadsheetml/2006/main" count="703" uniqueCount="149">
  <si>
    <t>mt</t>
  </si>
  <si>
    <t>Asia</t>
  </si>
  <si>
    <t>Latin America</t>
  </si>
  <si>
    <t>Oceania</t>
  </si>
  <si>
    <t>Europe</t>
  </si>
  <si>
    <t>Africa</t>
  </si>
  <si>
    <t xml:space="preserve">  AS</t>
  </si>
  <si>
    <t>All_Grades</t>
  </si>
  <si>
    <t xml:space="preserve">  STD _P</t>
  </si>
  <si>
    <t xml:space="preserve">  PRM _P</t>
  </si>
  <si>
    <t xml:space="preserve">  LA</t>
  </si>
  <si>
    <t xml:space="preserve">  OC</t>
  </si>
  <si>
    <t xml:space="preserve">  EU</t>
  </si>
  <si>
    <t xml:space="preserve">  AF</t>
  </si>
  <si>
    <t xml:space="preserve">      BRAZ</t>
  </si>
  <si>
    <t xml:space="preserve">      CHIN</t>
  </si>
  <si>
    <t xml:space="preserve">      INDI</t>
  </si>
  <si>
    <t>Brazil</t>
  </si>
  <si>
    <t>China</t>
  </si>
  <si>
    <t>India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</si>
  <si>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</si>
  <si>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</si>
  <si>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</si>
  <si>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</si>
  <si>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</si>
  <si>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</si>
  <si>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</si>
  <si>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</si>
  <si>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</si>
  <si>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</si>
  <si>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</si>
  <si>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</si>
  <si>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</si>
  <si>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</si>
  <si>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</si>
  <si>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</si>
  <si>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 xml:space="preserve">    XSTD</t>
  </si>
  <si>
    <t xml:space="preserve">    RSST</t>
  </si>
  <si>
    <t xml:space="preserve">    FSS</t>
  </si>
  <si>
    <t xml:space="preserve">    STD</t>
  </si>
  <si>
    <t xml:space="preserve">    ISTD</t>
  </si>
  <si>
    <t xml:space="preserve">    IFSS</t>
  </si>
  <si>
    <t xml:space="preserve">    AGRN</t>
  </si>
  <si>
    <t xml:space="preserve">    CCRS</t>
  </si>
  <si>
    <t xml:space="preserve">    WCRS</t>
  </si>
  <si>
    <t xml:space="preserve">    PCRS</t>
  </si>
  <si>
    <t xml:space="preserve">    RCRS</t>
  </si>
  <si>
    <t xml:space="preserve">    KWIC</t>
  </si>
  <si>
    <t xml:space="preserve">    RGRN</t>
  </si>
  <si>
    <t xml:space="preserve">    GRN</t>
  </si>
  <si>
    <t xml:space="preserve">    WGRN</t>
  </si>
  <si>
    <t xml:space="preserve">    IC</t>
  </si>
  <si>
    <t xml:space="preserve">    I1</t>
  </si>
  <si>
    <t xml:space="preserve">    CRS</t>
  </si>
  <si>
    <t xml:space="preserve">    8GRN</t>
  </si>
  <si>
    <t xml:space="preserve">    I5</t>
  </si>
  <si>
    <t xml:space="preserve">    GRNS</t>
  </si>
  <si>
    <t xml:space="preserve">    C2I5</t>
  </si>
  <si>
    <t xml:space="preserve">    C2IC</t>
  </si>
  <si>
    <t xml:space="preserve">    KCIC</t>
  </si>
  <si>
    <t>Netback Forecast, by Region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</si>
  <si>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</si>
  <si>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Netback Forecast, by Country</t>
  </si>
  <si>
    <t>Netback Forecast, by Grade</t>
  </si>
  <si>
    <t>All Regions</t>
  </si>
  <si>
    <t>All_Regions</t>
  </si>
  <si>
    <t>Allocation %:</t>
  </si>
  <si>
    <t>Total 
2020</t>
  </si>
  <si>
    <t>Total 
2021</t>
  </si>
  <si>
    <t>Variance</t>
  </si>
  <si>
    <t>Comments</t>
  </si>
  <si>
    <t>Ocean Freight</t>
  </si>
  <si>
    <t>Terminal</t>
  </si>
  <si>
    <t>Netback</t>
  </si>
  <si>
    <t>FOB</t>
  </si>
  <si>
    <t>Contract</t>
  </si>
  <si>
    <t>Interest</t>
  </si>
  <si>
    <t>Shrinkage</t>
  </si>
  <si>
    <t>Credit Note</t>
  </si>
  <si>
    <t>Invoice</t>
  </si>
  <si>
    <t>Rebate 1</t>
  </si>
  <si>
    <t>Rebate 2</t>
  </si>
  <si>
    <t>Volume Discount</t>
  </si>
  <si>
    <t>Price Reserve</t>
  </si>
  <si>
    <t>Freight Savings Rebate</t>
  </si>
  <si>
    <t>Net Sale Price</t>
  </si>
  <si>
    <t>Commission</t>
  </si>
  <si>
    <t>Bulk Ocean Freight</t>
  </si>
  <si>
    <t>Loss/Gain on Outside Cargo</t>
  </si>
  <si>
    <t>Container Ocean Freight</t>
  </si>
  <si>
    <t>Container Pkg</t>
  </si>
  <si>
    <t>EDC</t>
  </si>
  <si>
    <t>Warehouse Ocean Freight</t>
  </si>
  <si>
    <t>Warehouse Pkg</t>
  </si>
  <si>
    <t>Offshore Throughput</t>
  </si>
  <si>
    <t>Disport Surveillance</t>
  </si>
  <si>
    <t>All Tons</t>
  </si>
  <si>
    <t>Net FOB Port</t>
  </si>
  <si>
    <t>Inland</t>
  </si>
  <si>
    <t>S&amp;A/Other</t>
  </si>
  <si>
    <t>FOB Port Costs:</t>
  </si>
  <si>
    <t>Total FOB Port Costs</t>
  </si>
  <si>
    <t>Forecast</t>
  </si>
  <si>
    <t>Rail Billings ('000 mt)</t>
  </si>
  <si>
    <t>Shipments ('000 mt)</t>
  </si>
  <si>
    <t>Total Sales ('000 mt)</t>
  </si>
  <si>
    <t>Sales ('000 mt):</t>
  </si>
  <si>
    <t>2020 Forecasted Rail Billings (MT)</t>
  </si>
  <si>
    <t>2021 Forecasted Rail Billings (MT)</t>
  </si>
  <si>
    <t>Two Year Rail Billings Forecast, by Grade - Nutrien</t>
  </si>
  <si>
    <t>Additional FOB Port Costs</t>
  </si>
  <si>
    <t>ONWOF</t>
  </si>
  <si>
    <t>Price Adjustment</t>
  </si>
  <si>
    <t>PRICE_ADJ_NOEDCTRM</t>
  </si>
  <si>
    <t>Check Complete Prices - should be zero</t>
  </si>
  <si>
    <t>Brokerage, Credit &amp; Other</t>
  </si>
  <si>
    <t xml:space="preserve">  S&amp;A</t>
  </si>
  <si>
    <t xml:space="preserve">  Other</t>
  </si>
  <si>
    <t>Additional FOB Port Costs includes FMC SAVINGS, BROK, TRM FIN, QUALCLAIM, SHORTAGE, OTHERNETFOB, FOB CHART VESSEL</t>
  </si>
  <si>
    <t>CONTOF</t>
  </si>
  <si>
    <t>BOFWHS</t>
  </si>
  <si>
    <t>Qtr 1 2020
Forecast</t>
  </si>
  <si>
    <t>Qtr 1 2020
Budget</t>
  </si>
  <si>
    <t>IFRS Lease Interest</t>
  </si>
  <si>
    <t>LEASEINT</t>
  </si>
  <si>
    <t>Miscellaneous Ocean Freight</t>
  </si>
  <si>
    <t>MISCOF</t>
  </si>
  <si>
    <t>CFR/WHSE</t>
  </si>
  <si>
    <t>OF over CFR MT</t>
  </si>
  <si>
    <t>OF/CFR MT</t>
  </si>
  <si>
    <t>2022 Forecasted Rail Billings (MT)</t>
  </si>
  <si>
    <t>Total 
2022</t>
  </si>
  <si>
    <t>CHIN</t>
  </si>
  <si>
    <t xml:space="preserve">Detailed Netback Variance Analysis - 2020 Quarter 1 - CHIN </t>
  </si>
  <si>
    <t>Actual</t>
  </si>
  <si>
    <t>2020 
Forecast</t>
  </si>
  <si>
    <t>Sep-20 YTD
 Actual</t>
  </si>
  <si>
    <t>Oct-20
 Forecast</t>
  </si>
  <si>
    <t>Nov-20
 Forecast</t>
  </si>
  <si>
    <t>Dec-20
 Forecast</t>
  </si>
  <si>
    <t>Jan-21
 Forecast</t>
  </si>
  <si>
    <t>Qtr 1 2020 
Actual</t>
  </si>
  <si>
    <t>Qtr 2 2020 
Actual</t>
  </si>
  <si>
    <t>Qtr 4 2020 
Forecast</t>
  </si>
  <si>
    <t>Oct-20 
Forecast</t>
  </si>
  <si>
    <t>Nov-20 
Forecast</t>
  </si>
  <si>
    <t>Dec-20 
Forecast</t>
  </si>
  <si>
    <t>Jan-21 
Forecast</t>
  </si>
  <si>
    <t>Qtr 3 2020 
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</si>
</sst>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,##0_ ;[Red]\-#,##0_ ;#,##0_ "/>
    <numFmt numFmtId="166" formatCode="#,##0.0_ ;[Red]\-#,##0.0_ ;#,##0.0_ "/>
    <numFmt numFmtId="167" formatCode="_ @"/>
    <numFmt numFmtId="168" formatCode="@_ "/>
    <numFmt numFmtId="169" formatCode="h:mm;@"/>
    <numFmt numFmtId="170" formatCode="dd/mm/yy;@"/>
    <numFmt numFmtId="171" formatCode="_(* #,##0_);_(* \(#,##0\);_(* &quot;-&quot;??_);_(@_)"/>
    <numFmt numFmtId="172" formatCode="[$-409]mmm\-yy;@"/>
    <numFmt numFmtId="173" formatCode="0.0%"/>
    <numFmt numFmtId="174" formatCode="_(&quot;$&quot;* #,##0_);_(&quot;$&quot;* \(#,##0\);_(&quot;$&quot;* &quot;-&quot;??_);_(@_)"/>
    <numFmt numFmtId="175" formatCode="#,##0.00_ ;[Red]\-#,##0.00_ ;#,##0.00_ "/>
    <numFmt numFmtId="176" formatCode="_(* #,##0.0_);_(* \(#,##0.0\);_(* &quot;-&quot;??_);_(@_)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10"/>
      <name val="Tahoma"/>
      <family val="2"/>
    </font>
    <font>
      <sz val="8"/>
      <color indexed="45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u/>
      <sz val="8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u/>
      <sz val="8"/>
      <color theme="4"/>
      <name val="Tahoma"/>
      <family val="2"/>
    </font>
    <font>
      <i/>
      <sz val="1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8"/>
      <color indexed="18"/>
      <name val="Tahoma"/>
      <family val="2"/>
    </font>
    <font>
      <b/>
      <u val="singleAccounting"/>
      <sz val="18"/>
      <color rgb="FF2D7F6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6600"/>
        <bgColor auto="1"/>
      </patternFill>
    </fill>
    <fill>
      <patternFill patternType="lightGray">
        <fgColor theme="9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lightGray">
        <fgColor theme="9"/>
        <bgColor theme="0" tint="-4.9989318521683403E-2"/>
      </patternFill>
    </fill>
    <fill>
      <patternFill patternType="solid">
        <fgColor indexed="2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2D7F66"/>
        <bgColor indexed="64"/>
      </patternFill>
    </fill>
    <fill>
      <patternFill patternType="solid">
        <fgColor rgb="FF2D7F66"/>
        <bgColor auto="1"/>
      </patternFill>
    </fill>
    <fill>
      <patternFill patternType="lightGray">
        <fgColor theme="9"/>
        <bgColor rgb="FF2D7F66"/>
      </patternFill>
    </fill>
    <fill>
      <patternFill patternType="mediumGray">
        <fgColor theme="0" tint="-0.499984740745262"/>
        <bgColor rgb="FF2D7F66"/>
      </patternFill>
    </fill>
    <fill>
      <patternFill patternType="mediumGray">
        <fgColor theme="0" tint="-0.499984740745262"/>
        <bgColor theme="1"/>
      </patternFill>
    </fill>
    <fill>
      <patternFill patternType="mediumGray">
        <fgColor theme="0" tint="-0.499984740745262"/>
        <bgColor theme="0" tint="-0.34998626667073579"/>
      </patternFill>
    </fill>
    <fill>
      <patternFill patternType="mediumGray">
        <fgColor theme="0" tint="-0.499984740745262"/>
        <bgColor theme="0" tint="-4.9989318521683403E-2"/>
      </patternFill>
    </fill>
  </fills>
  <borders count="34">
    <border>
      <left/>
      <right/>
      <top/>
      <bottom/>
      <diagonal/>
    </border>
    <border>
      <left style="thin">
        <color indexed="45"/>
      </left>
      <right style="thin">
        <color indexed="54"/>
      </right>
      <top style="thin">
        <color indexed="45"/>
      </top>
      <bottom style="thin">
        <color indexed="54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n">
        <color indexed="2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n">
        <color indexed="64"/>
      </top>
      <bottom style="medium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45"/>
      </right>
      <top style="thin">
        <color indexed="64"/>
      </top>
      <bottom style="thin">
        <color indexed="64"/>
      </bottom>
      <diagonal/>
    </border>
    <border>
      <left/>
      <right style="thin">
        <color indexed="45"/>
      </right>
      <top style="thin">
        <color indexed="64"/>
      </top>
      <bottom style="thin">
        <color indexed="20"/>
      </bottom>
      <diagonal/>
    </border>
    <border>
      <left/>
      <right style="thin">
        <color indexed="45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0">
    <xf numFmtId="0" fontId="0" fillId="0" borderId="0"/>
    <xf numFmtId="4" fontId="2" fillId="0" borderId="0">
      <alignment horizontal="right"/>
    </xf>
    <xf numFmtId="167" fontId="5" fillId="2" borderId="1"/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4" fillId="3" borderId="0">
      <alignment horizontal="right"/>
    </xf>
    <xf numFmtId="165" fontId="3" fillId="4" borderId="2"/>
    <xf numFmtId="0" fontId="7" fillId="0" borderId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166" fontId="3" fillId="5" borderId="3" applyFont="0" applyFill="0" applyBorder="0" applyProtection="0">
      <alignment horizontal="right"/>
    </xf>
    <xf numFmtId="17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9" fontId="3" fillId="6" borderId="3" applyFont="0" applyFill="0" applyBorder="0" applyProtection="0">
      <alignment horizontal="left"/>
    </xf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9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7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  <xf numFmtId="167" fontId="5" fillId="14" borderId="1"/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7">
      <alignment horizontal="right"/>
    </xf>
    <xf numFmtId="175" fontId="3" fillId="16" borderId="28"/>
    <xf numFmtId="0" fontId="30" fillId="0" borderId="15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43" fontId="3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175" fontId="3" fillId="5" borderId="3" applyFont="0" applyFill="0" applyBorder="0" applyProtection="0">
      <alignment horizontal="right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182">
    <xf numFmtId="0" fontId="0" fillId="0" borderId="0" xfId="0"/>
    <xf numFmtId="0" fontId="0" fillId="0" borderId="0" xfId="0" applyAlignment="1">
      <alignment horizontal="left"/>
    </xf>
    <xf numFmtId="0" fontId="10" fillId="7" borderId="0" xfId="13" applyFont="1" applyFill="1" applyBorder="1" applyAlignment="1">
      <alignment horizontal="left"/>
    </xf>
    <xf numFmtId="0" fontId="13" fillId="7" borderId="0" xfId="12" applyFont="1" applyFill="1" applyBorder="1" applyAlignment="1">
      <alignment horizontal="left"/>
    </xf>
    <xf numFmtId="0" fontId="14" fillId="7" borderId="0" xfId="13" applyFont="1" applyFill="1" applyBorder="1" applyAlignment="1">
      <alignment horizontal="left"/>
    </xf>
    <xf numFmtId="44" fontId="16" fillId="7" borderId="0" xfId="24" applyFont="1" applyFill="1" applyBorder="1"/>
    <xf numFmtId="0" fontId="10" fillId="8" borderId="0" xfId="13" applyFont="1" applyFill="1" applyBorder="1" applyAlignment="1">
      <alignment horizontal="left"/>
    </xf>
    <xf numFmtId="44" fontId="3" fillId="8" borderId="0" xfId="24" applyFont="1" applyFill="1" applyBorder="1"/>
    <xf numFmtId="0" fontId="17" fillId="0" borderId="0" xfId="0" applyFont="1" applyAlignment="1">
      <alignment wrapText="1"/>
    </xf>
    <xf numFmtId="0" fontId="9" fillId="7" borderId="0" xfId="0" applyFont="1" applyFill="1" applyBorder="1"/>
    <xf numFmtId="0" fontId="0" fillId="0" borderId="0" xfId="0"/>
    <xf numFmtId="0" fontId="14" fillId="7" borderId="0" xfId="13" applyFont="1" applyFill="1" applyBorder="1" applyAlignment="1">
      <alignment horizontal="left"/>
    </xf>
    <xf numFmtId="171" fontId="15" fillId="7" borderId="0" xfId="23" applyNumberFormat="1" applyFont="1" applyFill="1" applyBorder="1"/>
    <xf numFmtId="0" fontId="10" fillId="8" borderId="0" xfId="13" applyFont="1" applyFill="1" applyBorder="1" applyAlignment="1">
      <alignment horizontal="left"/>
    </xf>
    <xf numFmtId="171" fontId="12" fillId="8" borderId="0" xfId="23" applyNumberFormat="1" applyFont="1" applyFill="1" applyBorder="1"/>
    <xf numFmtId="0" fontId="24" fillId="8" borderId="0" xfId="0" applyFont="1" applyFill="1" applyBorder="1"/>
    <xf numFmtId="0" fontId="2" fillId="8" borderId="0" xfId="12" applyFont="1" applyFill="1" applyBorder="1" applyAlignment="1">
      <alignment horizontal="left"/>
    </xf>
    <xf numFmtId="0" fontId="24" fillId="8" borderId="12" xfId="0" applyFont="1" applyFill="1" applyBorder="1"/>
    <xf numFmtId="0" fontId="2" fillId="8" borderId="12" xfId="12" applyFont="1" applyFill="1" applyBorder="1" applyAlignment="1">
      <alignment horizontal="left"/>
    </xf>
    <xf numFmtId="0" fontId="26" fillId="8" borderId="0" xfId="13" applyFont="1" applyFill="1" applyBorder="1" applyAlignment="1">
      <alignment horizontal="left"/>
    </xf>
    <xf numFmtId="0" fontId="26" fillId="8" borderId="12" xfId="13" applyFont="1" applyFill="1" applyBorder="1" applyAlignment="1">
      <alignment horizontal="left"/>
    </xf>
    <xf numFmtId="0" fontId="2" fillId="7" borderId="0" xfId="12" applyFont="1" applyFill="1" applyBorder="1" applyAlignment="1">
      <alignment horizontal="left"/>
    </xf>
    <xf numFmtId="0" fontId="0" fillId="0" borderId="0" xfId="0"/>
    <xf numFmtId="9" fontId="3" fillId="7" borderId="0" xfId="79" applyFont="1" applyFill="1" applyBorder="1"/>
    <xf numFmtId="173" fontId="3" fillId="8" borderId="0" xfId="79" applyNumberFormat="1" applyFont="1" applyFill="1" applyBorder="1"/>
    <xf numFmtId="171" fontId="15" fillId="10" borderId="0" xfId="23" applyNumberFormat="1" applyFont="1" applyFill="1" applyBorder="1"/>
    <xf numFmtId="171" fontId="12" fillId="11" borderId="0" xfId="23" applyNumberFormat="1" applyFont="1" applyFill="1" applyBorder="1"/>
    <xf numFmtId="0" fontId="22" fillId="9" borderId="0" xfId="0" applyFont="1" applyFill="1" applyBorder="1" applyAlignment="1">
      <alignment wrapText="1"/>
    </xf>
    <xf numFmtId="0" fontId="28" fillId="0" borderId="0" xfId="0" applyFont="1"/>
    <xf numFmtId="0" fontId="9" fillId="9" borderId="0" xfId="0" applyFont="1" applyFill="1" applyBorder="1" applyAlignment="1">
      <alignment vertical="center" wrapText="1"/>
    </xf>
    <xf numFmtId="0" fontId="1" fillId="0" borderId="0" xfId="0" applyFont="1" applyFill="1" applyBorder="1" applyAlignment="1"/>
    <xf numFmtId="0" fontId="29" fillId="12" borderId="0" xfId="0" applyFont="1" applyFill="1" applyBorder="1" applyAlignment="1">
      <alignment horizontal="left" indent="1"/>
    </xf>
    <xf numFmtId="171" fontId="18" fillId="12" borderId="0" xfId="23" applyNumberFormat="1" applyFont="1" applyFill="1" applyBorder="1" applyAlignment="1">
      <alignment horizontal="left" vertical="center" indent="2"/>
    </xf>
    <xf numFmtId="0" fontId="29" fillId="12" borderId="0" xfId="0" applyFont="1" applyFill="1" applyBorder="1" applyAlignment="1">
      <alignment horizontal="left" vertical="center" indent="1"/>
    </xf>
    <xf numFmtId="0" fontId="0" fillId="12" borderId="0" xfId="0" applyFont="1" applyFill="1" applyBorder="1" applyAlignment="1">
      <alignment horizontal="left" indent="2"/>
    </xf>
    <xf numFmtId="0" fontId="11" fillId="12" borderId="0" xfId="11" applyFont="1" applyFill="1" applyAlignment="1">
      <alignment horizontal="left"/>
    </xf>
    <xf numFmtId="171" fontId="8" fillId="12" borderId="0" xfId="23" applyNumberFormat="1" applyFont="1" applyFill="1" applyBorder="1" applyAlignment="1">
      <alignment horizontal="left"/>
    </xf>
    <xf numFmtId="43" fontId="8" fillId="12" borderId="0" xfId="23" applyFont="1" applyFill="1" applyBorder="1" applyAlignment="1">
      <alignment horizontal="left"/>
    </xf>
    <xf numFmtId="171" fontId="8" fillId="12" borderId="14" xfId="23" applyNumberFormat="1" applyFont="1" applyFill="1" applyBorder="1" applyAlignment="1">
      <alignment horizontal="left"/>
    </xf>
    <xf numFmtId="43" fontId="8" fillId="12" borderId="14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 indent="1"/>
    </xf>
    <xf numFmtId="171" fontId="1" fillId="12" borderId="0" xfId="23" applyNumberFormat="1" applyFont="1" applyFill="1" applyBorder="1" applyAlignment="1">
      <alignment horizontal="left"/>
    </xf>
    <xf numFmtId="43" fontId="1" fillId="12" borderId="0" xfId="23" applyFont="1" applyFill="1" applyBorder="1" applyAlignment="1">
      <alignment horizontal="left"/>
    </xf>
    <xf numFmtId="171" fontId="1" fillId="12" borderId="15" xfId="23" applyNumberFormat="1" applyFont="1" applyFill="1" applyBorder="1" applyAlignment="1">
      <alignment horizontal="left"/>
    </xf>
    <xf numFmtId="43" fontId="1" fillId="12" borderId="15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171" fontId="15" fillId="7" borderId="16" xfId="23" applyNumberFormat="1" applyFont="1" applyFill="1" applyBorder="1"/>
    <xf numFmtId="171" fontId="12" fillId="8" borderId="16" xfId="23" applyNumberFormat="1" applyFont="1" applyFill="1" applyBorder="1"/>
    <xf numFmtId="171" fontId="8" fillId="12" borderId="16" xfId="23" applyNumberFormat="1" applyFont="1" applyFill="1" applyBorder="1" applyAlignment="1">
      <alignment horizontal="left"/>
    </xf>
    <xf numFmtId="171" fontId="8" fillId="12" borderId="18" xfId="23" applyNumberFormat="1" applyFont="1" applyFill="1" applyBorder="1" applyAlignment="1">
      <alignment horizontal="left"/>
    </xf>
    <xf numFmtId="171" fontId="1" fillId="12" borderId="16" xfId="23" applyNumberFormat="1" applyFont="1" applyFill="1" applyBorder="1" applyAlignment="1">
      <alignment horizontal="left"/>
    </xf>
    <xf numFmtId="171" fontId="1" fillId="12" borderId="19" xfId="23" applyNumberFormat="1" applyFont="1" applyFill="1" applyBorder="1" applyAlignment="1">
      <alignment horizontal="left"/>
    </xf>
    <xf numFmtId="43" fontId="8" fillId="12" borderId="16" xfId="23" applyFont="1" applyFill="1" applyBorder="1" applyAlignment="1">
      <alignment horizontal="left"/>
    </xf>
    <xf numFmtId="43" fontId="8" fillId="12" borderId="18" xfId="23" applyFont="1" applyFill="1" applyBorder="1" applyAlignment="1">
      <alignment horizontal="left"/>
    </xf>
    <xf numFmtId="43" fontId="1" fillId="12" borderId="16" xfId="23" applyFont="1" applyFill="1" applyBorder="1" applyAlignment="1">
      <alignment horizontal="left"/>
    </xf>
    <xf numFmtId="43" fontId="1" fillId="12" borderId="19" xfId="23" applyFont="1" applyFill="1" applyBorder="1" applyAlignment="1">
      <alignment horizontal="left"/>
    </xf>
    <xf numFmtId="0" fontId="1" fillId="12" borderId="8" xfId="0" applyFont="1" applyFill="1" applyBorder="1"/>
    <xf numFmtId="0" fontId="2" fillId="12" borderId="9" xfId="12" applyFont="1" applyFill="1" applyBorder="1" applyAlignment="1">
      <alignment horizontal="left"/>
    </xf>
    <xf numFmtId="0" fontId="1" fillId="12" borderId="10" xfId="0" applyFont="1" applyFill="1" applyBorder="1"/>
    <xf numFmtId="0" fontId="2" fillId="12" borderId="11" xfId="12" applyFont="1" applyFill="1" applyBorder="1" applyAlignment="1">
      <alignment horizontal="left"/>
    </xf>
    <xf numFmtId="173" fontId="3" fillId="12" borderId="7" xfId="79" applyNumberFormat="1" applyFont="1" applyFill="1" applyBorder="1"/>
    <xf numFmtId="0" fontId="10" fillId="12" borderId="9" xfId="13" applyFont="1" applyFill="1" applyBorder="1" applyAlignment="1">
      <alignment horizontal="left"/>
    </xf>
    <xf numFmtId="0" fontId="10" fillId="12" borderId="11" xfId="13" applyFont="1" applyFill="1" applyBorder="1" applyAlignment="1">
      <alignment horizontal="left"/>
    </xf>
    <xf numFmtId="43" fontId="3" fillId="12" borderId="20" xfId="23" applyFont="1" applyFill="1" applyBorder="1"/>
    <xf numFmtId="43" fontId="3" fillId="12" borderId="21" xfId="23" applyFont="1" applyFill="1" applyBorder="1"/>
    <xf numFmtId="171" fontId="18" fillId="12" borderId="22" xfId="23" applyNumberFormat="1" applyFont="1" applyFill="1" applyBorder="1"/>
    <xf numFmtId="171" fontId="18" fillId="12" borderId="23" xfId="23" applyNumberFormat="1" applyFont="1" applyFill="1" applyBorder="1"/>
    <xf numFmtId="171" fontId="25" fillId="8" borderId="16" xfId="23" applyNumberFormat="1" applyFont="1" applyFill="1" applyBorder="1"/>
    <xf numFmtId="9" fontId="12" fillId="7" borderId="16" xfId="79" applyFont="1" applyFill="1" applyBorder="1"/>
    <xf numFmtId="173" fontId="12" fillId="8" borderId="16" xfId="79" applyNumberFormat="1" applyFont="1" applyFill="1" applyBorder="1"/>
    <xf numFmtId="173" fontId="12" fillId="12" borderId="22" xfId="79" applyNumberFormat="1" applyFont="1" applyFill="1" applyBorder="1"/>
    <xf numFmtId="0" fontId="1" fillId="12" borderId="5" xfId="0" applyFont="1" applyFill="1" applyBorder="1"/>
    <xf numFmtId="0" fontId="2" fillId="12" borderId="6" xfId="12" applyFont="1" applyFill="1" applyBorder="1" applyAlignment="1">
      <alignment horizontal="left"/>
    </xf>
    <xf numFmtId="0" fontId="10" fillId="12" borderId="6" xfId="13" applyFont="1" applyFill="1" applyBorder="1" applyAlignment="1">
      <alignment horizontal="left"/>
    </xf>
    <xf numFmtId="0" fontId="10" fillId="12" borderId="4" xfId="13" applyFont="1" applyFill="1" applyBorder="1" applyAlignment="1">
      <alignment horizontal="left"/>
    </xf>
    <xf numFmtId="171" fontId="12" fillId="12" borderId="4" xfId="23" applyNumberFormat="1" applyFont="1" applyFill="1" applyBorder="1"/>
    <xf numFmtId="43" fontId="3" fillId="12" borderId="4" xfId="23" applyFont="1" applyFill="1" applyBorder="1"/>
    <xf numFmtId="0" fontId="10" fillId="12" borderId="24" xfId="13" applyFont="1" applyFill="1" applyBorder="1" applyAlignment="1">
      <alignment horizontal="left"/>
    </xf>
    <xf numFmtId="43" fontId="3" fillId="12" borderId="24" xfId="23" applyFont="1" applyFill="1" applyBorder="1"/>
    <xf numFmtId="171" fontId="12" fillId="12" borderId="25" xfId="23" applyNumberFormat="1" applyFont="1" applyFill="1" applyBorder="1"/>
    <xf numFmtId="0" fontId="0" fillId="0" borderId="16" xfId="0" applyBorder="1"/>
    <xf numFmtId="0" fontId="0" fillId="0" borderId="0" xfId="0" applyBorder="1"/>
    <xf numFmtId="171" fontId="12" fillId="13" borderId="4" xfId="23" applyNumberFormat="1" applyFont="1" applyFill="1" applyBorder="1"/>
    <xf numFmtId="44" fontId="8" fillId="12" borderId="16" xfId="24" applyFont="1" applyFill="1" applyBorder="1" applyAlignment="1">
      <alignment horizontal="left"/>
    </xf>
    <xf numFmtId="44" fontId="8" fillId="12" borderId="0" xfId="24" applyFont="1" applyFill="1" applyBorder="1" applyAlignment="1">
      <alignment horizontal="left"/>
    </xf>
    <xf numFmtId="174" fontId="8" fillId="12" borderId="16" xfId="24" applyNumberFormat="1" applyFont="1" applyFill="1" applyBorder="1" applyAlignment="1">
      <alignment horizontal="left"/>
    </xf>
    <xf numFmtId="174" fontId="8" fillId="12" borderId="0" xfId="24" applyNumberFormat="1" applyFont="1" applyFill="1" applyBorder="1" applyAlignment="1">
      <alignment horizontal="left"/>
    </xf>
    <xf numFmtId="176" fontId="18" fillId="12" borderId="16" xfId="23" applyNumberFormat="1" applyFont="1" applyFill="1" applyBorder="1" applyAlignment="1">
      <alignment horizontal="left"/>
    </xf>
    <xf numFmtId="176" fontId="18" fillId="12" borderId="0" xfId="23" applyNumberFormat="1" applyFont="1" applyFill="1" applyBorder="1" applyAlignment="1">
      <alignment horizontal="left"/>
    </xf>
    <xf numFmtId="171" fontId="0" fillId="0" borderId="0" xfId="0" applyNumberFormat="1"/>
    <xf numFmtId="0" fontId="0" fillId="0" borderId="0" xfId="0"/>
    <xf numFmtId="171" fontId="29" fillId="12" borderId="0" xfId="23" applyNumberFormat="1" applyFont="1" applyFill="1" applyBorder="1" applyAlignment="1"/>
    <xf numFmtId="171" fontId="18" fillId="12" borderId="16" xfId="23" applyNumberFormat="1" applyFont="1" applyFill="1" applyBorder="1" applyAlignment="1">
      <alignment horizontal="left"/>
    </xf>
    <xf numFmtId="171" fontId="18" fillId="12" borderId="0" xfId="23" applyNumberFormat="1" applyFont="1" applyFill="1" applyBorder="1" applyAlignment="1">
      <alignment horizontal="left"/>
    </xf>
    <xf numFmtId="171" fontId="18" fillId="12" borderId="16" xfId="23" applyNumberFormat="1" applyFont="1" applyFill="1" applyBorder="1" applyAlignment="1"/>
    <xf numFmtId="171" fontId="18" fillId="12" borderId="0" xfId="23" applyNumberFormat="1" applyFont="1" applyFill="1" applyBorder="1" applyAlignment="1"/>
    <xf numFmtId="171" fontId="29" fillId="12" borderId="17" xfId="23" applyNumberFormat="1" applyFont="1" applyFill="1" applyBorder="1" applyAlignment="1"/>
    <xf numFmtId="171" fontId="29" fillId="12" borderId="13" xfId="23" applyNumberFormat="1" applyFont="1" applyFill="1" applyBorder="1" applyAlignment="1"/>
    <xf numFmtId="171" fontId="29" fillId="12" borderId="16" xfId="23" applyNumberFormat="1" applyFont="1" applyFill="1" applyBorder="1" applyAlignment="1"/>
    <xf numFmtId="171" fontId="29" fillId="12" borderId="16" xfId="23" applyNumberFormat="1" applyFont="1" applyFill="1" applyBorder="1" applyAlignment="1">
      <alignment horizontal="left"/>
    </xf>
    <xf numFmtId="0" fontId="20" fillId="17" borderId="0" xfId="0" applyFont="1" applyFill="1" applyBorder="1" applyAlignment="1">
      <alignment horizontal="center" wrapText="1"/>
    </xf>
    <xf numFmtId="0" fontId="9" fillId="17" borderId="0" xfId="0" applyFont="1" applyFill="1" applyBorder="1" applyAlignment="1">
      <alignment horizontal="left" vertical="center" wrapText="1" indent="1"/>
    </xf>
    <xf numFmtId="0" fontId="11" fillId="17" borderId="0" xfId="11" applyFont="1" applyFill="1" applyAlignment="1">
      <alignment horizontal="left"/>
    </xf>
    <xf numFmtId="174" fontId="9" fillId="17" borderId="16" xfId="24" applyNumberFormat="1" applyFont="1" applyFill="1" applyBorder="1" applyAlignment="1">
      <alignment vertical="center" wrapText="1"/>
    </xf>
    <xf numFmtId="174" fontId="9" fillId="17" borderId="0" xfId="24" applyNumberFormat="1" applyFont="1" applyFill="1" applyBorder="1" applyAlignment="1">
      <alignment vertical="center" wrapText="1"/>
    </xf>
    <xf numFmtId="44" fontId="9" fillId="17" borderId="0" xfId="24" applyFont="1" applyFill="1" applyBorder="1" applyAlignment="1">
      <alignment vertical="center" wrapText="1"/>
    </xf>
    <xf numFmtId="0" fontId="20" fillId="17" borderId="0" xfId="0" applyFont="1" applyFill="1" applyBorder="1" applyAlignment="1">
      <alignment wrapText="1"/>
    </xf>
    <xf numFmtId="0" fontId="20" fillId="17" borderId="0" xfId="0" applyFont="1" applyFill="1" applyBorder="1"/>
    <xf numFmtId="0" fontId="22" fillId="17" borderId="0" xfId="0" applyFont="1" applyFill="1" applyBorder="1" applyAlignment="1">
      <alignment horizontal="center"/>
    </xf>
    <xf numFmtId="0" fontId="23" fillId="17" borderId="0" xfId="0" applyFont="1" applyFill="1" applyBorder="1" applyAlignment="1">
      <alignment horizontal="center"/>
    </xf>
    <xf numFmtId="0" fontId="20" fillId="17" borderId="0" xfId="0" applyFont="1" applyFill="1" applyAlignment="1">
      <alignment wrapText="1"/>
    </xf>
    <xf numFmtId="0" fontId="20" fillId="17" borderId="0" xfId="0" applyFont="1" applyFill="1"/>
    <xf numFmtId="0" fontId="23" fillId="17" borderId="0" xfId="0" applyFont="1" applyFill="1" applyAlignment="1">
      <alignment horizontal="center"/>
    </xf>
    <xf numFmtId="0" fontId="22" fillId="17" borderId="0" xfId="0" applyFont="1" applyFill="1" applyAlignment="1">
      <alignment horizontal="center"/>
    </xf>
    <xf numFmtId="172" fontId="22" fillId="17" borderId="0" xfId="0" applyNumberFormat="1" applyFont="1" applyFill="1" applyAlignment="1">
      <alignment horizontal="center"/>
    </xf>
    <xf numFmtId="0" fontId="22" fillId="18" borderId="0" xfId="0" applyFont="1" applyFill="1" applyAlignment="1">
      <alignment wrapText="1"/>
    </xf>
    <xf numFmtId="172" fontId="9" fillId="17" borderId="0" xfId="0" applyNumberFormat="1" applyFont="1" applyFill="1" applyAlignment="1">
      <alignment horizontal="center"/>
    </xf>
    <xf numFmtId="0" fontId="20" fillId="17" borderId="0" xfId="0" applyFont="1" applyFill="1" applyBorder="1" applyAlignment="1">
      <alignment horizontal="left" wrapText="1"/>
    </xf>
    <xf numFmtId="0" fontId="20" fillId="17" borderId="0" xfId="0" applyFont="1" applyFill="1" applyBorder="1" applyAlignment="1">
      <alignment horizontal="left"/>
    </xf>
    <xf numFmtId="44" fontId="9" fillId="17" borderId="16" xfId="24" applyNumberFormat="1" applyFont="1" applyFill="1" applyBorder="1" applyAlignment="1">
      <alignment vertical="center" wrapText="1"/>
    </xf>
    <xf numFmtId="43" fontId="8" fillId="12" borderId="16" xfId="23" applyFont="1" applyFill="1" applyBorder="1" applyAlignment="1">
      <alignment horizontal="right"/>
    </xf>
    <xf numFmtId="43" fontId="8" fillId="12" borderId="0" xfId="23" applyFont="1" applyFill="1" applyBorder="1" applyAlignment="1">
      <alignment horizontal="right"/>
    </xf>
    <xf numFmtId="171" fontId="12" fillId="12" borderId="22" xfId="23" applyNumberFormat="1" applyFont="1" applyFill="1" applyBorder="1" applyAlignment="1">
      <alignment horizontal="right"/>
    </xf>
    <xf numFmtId="43" fontId="3" fillId="12" borderId="20" xfId="23" applyFont="1" applyFill="1" applyBorder="1" applyAlignment="1">
      <alignment horizontal="right"/>
    </xf>
    <xf numFmtId="171" fontId="12" fillId="8" borderId="16" xfId="23" applyNumberFormat="1" applyFont="1" applyFill="1" applyBorder="1" applyAlignment="1">
      <alignment horizontal="right"/>
    </xf>
    <xf numFmtId="44" fontId="3" fillId="8" borderId="0" xfId="24" applyFont="1" applyFill="1" applyBorder="1" applyAlignment="1">
      <alignment horizontal="right"/>
    </xf>
    <xf numFmtId="171" fontId="25" fillId="8" borderId="16" xfId="23" applyNumberFormat="1" applyFont="1" applyFill="1" applyBorder="1" applyAlignment="1">
      <alignment horizontal="right"/>
    </xf>
    <xf numFmtId="171" fontId="18" fillId="12" borderId="22" xfId="23" applyNumberFormat="1" applyFont="1" applyFill="1" applyBorder="1" applyAlignment="1">
      <alignment horizontal="right"/>
    </xf>
    <xf numFmtId="43" fontId="3" fillId="12" borderId="7" xfId="23" applyFont="1" applyFill="1" applyBorder="1" applyAlignment="1">
      <alignment horizontal="right"/>
    </xf>
    <xf numFmtId="171" fontId="15" fillId="7" borderId="16" xfId="23" applyNumberFormat="1" applyFont="1" applyFill="1" applyBorder="1" applyAlignment="1">
      <alignment horizontal="right"/>
    </xf>
    <xf numFmtId="44" fontId="16" fillId="7" borderId="0" xfId="24" applyFont="1" applyFill="1" applyBorder="1" applyAlignment="1">
      <alignment horizontal="right"/>
    </xf>
    <xf numFmtId="171" fontId="12" fillId="12" borderId="25" xfId="23" applyNumberFormat="1" applyFont="1" applyFill="1" applyBorder="1" applyAlignment="1">
      <alignment horizontal="right"/>
    </xf>
    <xf numFmtId="43" fontId="3" fillId="12" borderId="24" xfId="23" applyFont="1" applyFill="1" applyBorder="1" applyAlignment="1">
      <alignment horizontal="right"/>
    </xf>
    <xf numFmtId="171" fontId="8" fillId="12" borderId="0" xfId="23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30" xfId="0" applyFill="1" applyBorder="1"/>
    <xf numFmtId="0" fontId="0" fillId="0" borderId="0" xfId="0" applyFill="1" applyBorder="1"/>
    <xf numFmtId="0" fontId="0" fillId="0" borderId="31" xfId="0" applyFill="1" applyBorder="1"/>
    <xf numFmtId="164" fontId="0" fillId="0" borderId="30" xfId="0" applyNumberFormat="1" applyFill="1" applyBorder="1"/>
    <xf numFmtId="164" fontId="0" fillId="0" borderId="0" xfId="0" applyNumberFormat="1" applyFill="1" applyBorder="1"/>
    <xf numFmtId="164" fontId="0" fillId="0" borderId="31" xfId="0" applyNumberFormat="1" applyFill="1" applyBorder="1"/>
    <xf numFmtId="171" fontId="0" fillId="0" borderId="30" xfId="0" applyNumberFormat="1" applyFill="1" applyBorder="1"/>
    <xf numFmtId="171" fontId="0" fillId="0" borderId="0" xfId="0" applyNumberFormat="1" applyFill="1" applyBorder="1"/>
    <xf numFmtId="171" fontId="0" fillId="0" borderId="31" xfId="0" applyNumberFormat="1" applyFill="1" applyBorder="1"/>
    <xf numFmtId="0" fontId="0" fillId="0" borderId="32" xfId="0" applyBorder="1"/>
    <xf numFmtId="0" fontId="0" fillId="0" borderId="14" xfId="0" applyBorder="1"/>
    <xf numFmtId="0" fontId="0" fillId="0" borderId="33" xfId="0" applyBorder="1"/>
    <xf numFmtId="1" fontId="0" fillId="0" borderId="30" xfId="0" applyNumberFormat="1" applyBorder="1"/>
    <xf numFmtId="1" fontId="0" fillId="0" borderId="0" xfId="0" applyNumberFormat="1" applyBorder="1"/>
    <xf numFmtId="1" fontId="0" fillId="0" borderId="31" xfId="0" applyNumberFormat="1" applyBorder="1"/>
    <xf numFmtId="43" fontId="0" fillId="0" borderId="31" xfId="0" applyNumberFormat="1" applyFill="1" applyBorder="1"/>
    <xf numFmtId="43" fontId="0" fillId="0" borderId="0" xfId="0" applyNumberFormat="1" applyFill="1" applyBorder="1"/>
    <xf numFmtId="164" fontId="0" fillId="0" borderId="0" xfId="0" applyNumberFormat="1"/>
    <xf numFmtId="0" fontId="0" fillId="0" borderId="14" xfId="0" applyFill="1" applyBorder="1"/>
    <xf numFmtId="0" fontId="21" fillId="0" borderId="0" xfId="0" applyFont="1" applyFill="1" applyBorder="1" applyAlignment="1"/>
    <xf numFmtId="171" fontId="8" fillId="12" borderId="16" xfId="23" applyNumberFormat="1" applyFont="1" applyFill="1" applyBorder="1" applyAlignment="1">
      <alignment horizontal="right"/>
    </xf>
    <xf numFmtId="0" fontId="0" fillId="0" borderId="0" xfId="0"/>
    <xf numFmtId="2" fontId="0" fillId="0" borderId="0" xfId="0" applyNumberFormat="1"/>
    <xf numFmtId="0" fontId="22" fillId="17" borderId="0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ill="1"/>
    <xf numFmtId="171" fontId="18" fillId="12" borderId="14" xfId="23" applyNumberFormat="1" applyFont="1" applyFill="1" applyBorder="1" applyAlignment="1"/>
    <xf numFmtId="172" fontId="9" fillId="20" borderId="0" xfId="0" applyNumberFormat="1" applyFont="1" applyFill="1" applyAlignment="1">
      <alignment horizontal="center"/>
    </xf>
    <xf numFmtId="172" fontId="22" fillId="20" borderId="0" xfId="0" applyNumberFormat="1" applyFont="1" applyFill="1" applyAlignment="1">
      <alignment horizontal="center"/>
    </xf>
    <xf numFmtId="171" fontId="15" fillId="21" borderId="0" xfId="23" applyNumberFormat="1" applyFont="1" applyFill="1" applyBorder="1"/>
    <xf numFmtId="171" fontId="12" fillId="22" borderId="0" xfId="23" applyNumberFormat="1" applyFont="1" applyFill="1" applyBorder="1"/>
    <xf numFmtId="171" fontId="12" fillId="23" borderId="4" xfId="23" applyNumberFormat="1" applyFont="1" applyFill="1" applyBorder="1"/>
    <xf numFmtId="0" fontId="31" fillId="0" borderId="0" xfId="0" applyFont="1" applyFill="1" applyBorder="1" applyAlignment="1">
      <alignment horizontal="left"/>
    </xf>
    <xf numFmtId="0" fontId="17" fillId="0" borderId="30" xfId="0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22" fillId="17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1" fillId="0" borderId="0" xfId="0" applyFont="1" applyFill="1" applyBorder="1" applyAlignment="1">
      <alignment horizontal="left"/>
    </xf>
    <xf numFmtId="0" fontId="31" fillId="0" borderId="0" xfId="0" applyFont="1" applyFill="1" applyBorder="1" applyAlignment="1"/>
    <xf numFmtId="0" fontId="22" fillId="17" borderId="0" xfId="0" applyFont="1" applyFill="1" applyAlignment="1">
      <alignment horizontal="center" wrapText="1"/>
    </xf>
    <xf numFmtId="172" fontId="22" fillId="19" borderId="0" xfId="0" applyNumberFormat="1" applyFont="1" applyFill="1" applyAlignment="1">
      <alignment horizontal="center" wrapText="1"/>
    </xf>
    <xf numFmtId="0" fontId="22" fillId="18" borderId="0" xfId="0" applyFont="1" applyFill="1" applyAlignment="1">
      <alignment horizontal="center" wrapText="1"/>
    </xf>
    <xf numFmtId="0" fontId="1" fillId="12" borderId="9" xfId="0" applyFont="1" applyFill="1" applyBorder="1"/>
    <xf numFmtId="0" fontId="1" fillId="12" borderId="11" xfId="0" applyFont="1" applyFill="1" applyBorder="1"/>
    <xf numFmtId="0" fontId="9" fillId="7" borderId="0" xfId="0" applyFont="1" applyFill="1"/>
    <xf numFmtId="0" fontId="24" fillId="8" borderId="0" xfId="0" applyFont="1" applyFill="1"/>
  </cellXfs>
  <cellStyles count="140">
    <cellStyle name="_Button" xfId="2" xr:uid="{00000000-0005-0000-0000-000000000000}"/>
    <cellStyle name="_Button 2" xfId="81" xr:uid="{00000000-0005-0000-0000-000001000000}"/>
    <cellStyle name="_Column1" xfId="3" xr:uid="{00000000-0005-0000-0000-000002000000}"/>
    <cellStyle name="_Column1 2" xfId="82" xr:uid="{00000000-0005-0000-0000-000003000000}"/>
    <cellStyle name="_Column2" xfId="4" xr:uid="{00000000-0005-0000-0000-000004000000}"/>
    <cellStyle name="_Column2 2" xfId="83" xr:uid="{00000000-0005-0000-0000-000005000000}"/>
    <cellStyle name="_Column3" xfId="5" xr:uid="{00000000-0005-0000-0000-000006000000}"/>
    <cellStyle name="_Column3 2" xfId="84" xr:uid="{00000000-0005-0000-0000-000007000000}"/>
    <cellStyle name="_Column4" xfId="6" xr:uid="{00000000-0005-0000-0000-000008000000}"/>
    <cellStyle name="_Column4 2" xfId="85" xr:uid="{00000000-0005-0000-0000-000009000000}"/>
    <cellStyle name="_Column5" xfId="7" xr:uid="{00000000-0005-0000-0000-00000A000000}"/>
    <cellStyle name="_Column5 2" xfId="86" xr:uid="{00000000-0005-0000-0000-00000B000000}"/>
    <cellStyle name="_Column6" xfId="8" xr:uid="{00000000-0005-0000-0000-00000C000000}"/>
    <cellStyle name="_Column6 2" xfId="87" xr:uid="{00000000-0005-0000-0000-00000D000000}"/>
    <cellStyle name="_Column7" xfId="9" xr:uid="{00000000-0005-0000-0000-00000E000000}"/>
    <cellStyle name="_Column7 2" xfId="88" xr:uid="{00000000-0005-0000-0000-00000F000000}"/>
    <cellStyle name="_Data" xfId="10" xr:uid="{00000000-0005-0000-0000-000010000000}"/>
    <cellStyle name="_Data 2" xfId="89" xr:uid="{00000000-0005-0000-0000-000011000000}"/>
    <cellStyle name="_Header" xfId="11" xr:uid="{00000000-0005-0000-0000-000012000000}"/>
    <cellStyle name="_Header 2" xfId="90" xr:uid="{00000000-0005-0000-0000-000013000000}"/>
    <cellStyle name="_Row1" xfId="12" xr:uid="{00000000-0005-0000-0000-000014000000}"/>
    <cellStyle name="_Row1 2" xfId="91" xr:uid="{00000000-0005-0000-0000-000015000000}"/>
    <cellStyle name="_Row2" xfId="13" xr:uid="{00000000-0005-0000-0000-000016000000}"/>
    <cellStyle name="_Row2 2" xfId="92" xr:uid="{00000000-0005-0000-0000-000017000000}"/>
    <cellStyle name="_Row3" xfId="14" xr:uid="{00000000-0005-0000-0000-000018000000}"/>
    <cellStyle name="_Row3 2" xfId="93" xr:uid="{00000000-0005-0000-0000-000019000000}"/>
    <cellStyle name="_Row4" xfId="15" xr:uid="{00000000-0005-0000-0000-00001A000000}"/>
    <cellStyle name="_Row4 2" xfId="94" xr:uid="{00000000-0005-0000-0000-00001B000000}"/>
    <cellStyle name="_Row5" xfId="16" xr:uid="{00000000-0005-0000-0000-00001C000000}"/>
    <cellStyle name="_Row5 2" xfId="95" xr:uid="{00000000-0005-0000-0000-00001D000000}"/>
    <cellStyle name="_Row6" xfId="17" xr:uid="{00000000-0005-0000-0000-00001E000000}"/>
    <cellStyle name="_Row6 2" xfId="96" xr:uid="{00000000-0005-0000-0000-00001F000000}"/>
    <cellStyle name="_Row7" xfId="18" xr:uid="{00000000-0005-0000-0000-000020000000}"/>
    <cellStyle name="_Row7 2" xfId="97" xr:uid="{00000000-0005-0000-0000-000021000000}"/>
    <cellStyle name="Comma" xfId="23" builtinId="3"/>
    <cellStyle name="Comma [1]" xfId="19" xr:uid="{00000000-0005-0000-0000-000023000000}"/>
    <cellStyle name="Comma 10" xfId="36" xr:uid="{00000000-0005-0000-0000-000024000000}"/>
    <cellStyle name="Comma 11" xfId="37" xr:uid="{00000000-0005-0000-0000-000025000000}"/>
    <cellStyle name="Comma 12" xfId="38" xr:uid="{00000000-0005-0000-0000-000026000000}"/>
    <cellStyle name="Comma 13" xfId="39" xr:uid="{00000000-0005-0000-0000-000027000000}"/>
    <cellStyle name="Comma 14" xfId="40" xr:uid="{00000000-0005-0000-0000-000028000000}"/>
    <cellStyle name="Comma 15" xfId="41" xr:uid="{00000000-0005-0000-0000-000029000000}"/>
    <cellStyle name="Comma 16" xfId="42" xr:uid="{00000000-0005-0000-0000-00002A000000}"/>
    <cellStyle name="Comma 17" xfId="43" xr:uid="{00000000-0005-0000-0000-00002B000000}"/>
    <cellStyle name="Comma 18" xfId="44" xr:uid="{00000000-0005-0000-0000-00002C000000}"/>
    <cellStyle name="Comma 19" xfId="45" xr:uid="{00000000-0005-0000-0000-00002D000000}"/>
    <cellStyle name="Comma 2" xfId="27" xr:uid="{00000000-0005-0000-0000-00002E000000}"/>
    <cellStyle name="Comma 2 2" xfId="100" xr:uid="{00000000-0005-0000-0000-00002F000000}"/>
    <cellStyle name="Comma 2 2 2" xfId="128" xr:uid="{00000000-0005-0000-0000-000030000000}"/>
    <cellStyle name="Comma 2 3" xfId="110" xr:uid="{00000000-0005-0000-0000-000031000000}"/>
    <cellStyle name="Comma 2 4" xfId="122" xr:uid="{00000000-0005-0000-0000-000032000000}"/>
    <cellStyle name="Comma 2 5" xfId="132" xr:uid="{00000000-0005-0000-0000-000033000000}"/>
    <cellStyle name="Comma 2 6" xfId="135" xr:uid="{3C73E779-B7AE-4D9E-999A-51C3731AB048}"/>
    <cellStyle name="Comma 2 7" xfId="139" xr:uid="{7B81A8C4-D865-4DA1-9BA4-E0482831E0A2}"/>
    <cellStyle name="Comma 20" xfId="46" xr:uid="{00000000-0005-0000-0000-000034000000}"/>
    <cellStyle name="Comma 21" xfId="47" xr:uid="{00000000-0005-0000-0000-000035000000}"/>
    <cellStyle name="Comma 22" xfId="49" xr:uid="{00000000-0005-0000-0000-000036000000}"/>
    <cellStyle name="Comma 23" xfId="50" xr:uid="{00000000-0005-0000-0000-000037000000}"/>
    <cellStyle name="Comma 24" xfId="48" xr:uid="{00000000-0005-0000-0000-000038000000}"/>
    <cellStyle name="Comma 25" xfId="51" xr:uid="{00000000-0005-0000-0000-000039000000}"/>
    <cellStyle name="Comma 26" xfId="52" xr:uid="{00000000-0005-0000-0000-00003A000000}"/>
    <cellStyle name="Comma 27" xfId="53" xr:uid="{00000000-0005-0000-0000-00003B000000}"/>
    <cellStyle name="Comma 28" xfId="54" xr:uid="{00000000-0005-0000-0000-00003C000000}"/>
    <cellStyle name="Comma 29" xfId="55" xr:uid="{00000000-0005-0000-0000-00003D000000}"/>
    <cellStyle name="Comma 3" xfId="30" xr:uid="{00000000-0005-0000-0000-00003E000000}"/>
    <cellStyle name="Comma 3 2" xfId="127" xr:uid="{00000000-0005-0000-0000-00003F000000}"/>
    <cellStyle name="Comma 30" xfId="56" xr:uid="{00000000-0005-0000-0000-000040000000}"/>
    <cellStyle name="Comma 31" xfId="57" xr:uid="{00000000-0005-0000-0000-000041000000}"/>
    <cellStyle name="Comma 32" xfId="58" xr:uid="{00000000-0005-0000-0000-000042000000}"/>
    <cellStyle name="Comma 33" xfId="59" xr:uid="{00000000-0005-0000-0000-000043000000}"/>
    <cellStyle name="Comma 34" xfId="60" xr:uid="{00000000-0005-0000-0000-000044000000}"/>
    <cellStyle name="Comma 35" xfId="61" xr:uid="{00000000-0005-0000-0000-000045000000}"/>
    <cellStyle name="Comma 36" xfId="62" xr:uid="{00000000-0005-0000-0000-000046000000}"/>
    <cellStyle name="Comma 37" xfId="63" xr:uid="{00000000-0005-0000-0000-000047000000}"/>
    <cellStyle name="Comma 38" xfId="64" xr:uid="{00000000-0005-0000-0000-000048000000}"/>
    <cellStyle name="Comma 39" xfId="65" xr:uid="{00000000-0005-0000-0000-000049000000}"/>
    <cellStyle name="Comma 4" xfId="31" xr:uid="{00000000-0005-0000-0000-00004A000000}"/>
    <cellStyle name="Comma 4 2" xfId="129" xr:uid="{00000000-0005-0000-0000-00004B000000}"/>
    <cellStyle name="Comma 40" xfId="66" xr:uid="{00000000-0005-0000-0000-00004C000000}"/>
    <cellStyle name="Comma 41" xfId="67" xr:uid="{00000000-0005-0000-0000-00004D000000}"/>
    <cellStyle name="Comma 42" xfId="68" xr:uid="{00000000-0005-0000-0000-00004E000000}"/>
    <cellStyle name="Comma 43" xfId="69" xr:uid="{00000000-0005-0000-0000-00004F000000}"/>
    <cellStyle name="Comma 44" xfId="70" xr:uid="{00000000-0005-0000-0000-000050000000}"/>
    <cellStyle name="Comma 45" xfId="71" xr:uid="{00000000-0005-0000-0000-000051000000}"/>
    <cellStyle name="Comma 46" xfId="72" xr:uid="{00000000-0005-0000-0000-000052000000}"/>
    <cellStyle name="Comma 47" xfId="73" xr:uid="{00000000-0005-0000-0000-000053000000}"/>
    <cellStyle name="Comma 48" xfId="74" xr:uid="{00000000-0005-0000-0000-000054000000}"/>
    <cellStyle name="Comma 49" xfId="75" xr:uid="{00000000-0005-0000-0000-000055000000}"/>
    <cellStyle name="Comma 5" xfId="26" xr:uid="{00000000-0005-0000-0000-000056000000}"/>
    <cellStyle name="Comma 50" xfId="76" xr:uid="{00000000-0005-0000-0000-000057000000}"/>
    <cellStyle name="Comma 51" xfId="77" xr:uid="{00000000-0005-0000-0000-000058000000}"/>
    <cellStyle name="Comma 52" xfId="78" xr:uid="{00000000-0005-0000-0000-000059000000}"/>
    <cellStyle name="Comma 53" xfId="98" xr:uid="{00000000-0005-0000-0000-00005A000000}"/>
    <cellStyle name="Comma 54" xfId="103" xr:uid="{00000000-0005-0000-0000-00005B000000}"/>
    <cellStyle name="Comma 55" xfId="101" xr:uid="{00000000-0005-0000-0000-00005C000000}"/>
    <cellStyle name="Comma 56" xfId="102" xr:uid="{00000000-0005-0000-0000-00005D000000}"/>
    <cellStyle name="Comma 57" xfId="104" xr:uid="{00000000-0005-0000-0000-00005E000000}"/>
    <cellStyle name="Comma 58" xfId="105" xr:uid="{00000000-0005-0000-0000-00005F000000}"/>
    <cellStyle name="Comma 59" xfId="106" xr:uid="{00000000-0005-0000-0000-000060000000}"/>
    <cellStyle name="Comma 6" xfId="32" xr:uid="{00000000-0005-0000-0000-000061000000}"/>
    <cellStyle name="Comma 60" xfId="107" xr:uid="{00000000-0005-0000-0000-000062000000}"/>
    <cellStyle name="Comma 61" xfId="108" xr:uid="{00000000-0005-0000-0000-000063000000}"/>
    <cellStyle name="Comma 62" xfId="111" xr:uid="{00000000-0005-0000-0000-000064000000}"/>
    <cellStyle name="Comma 63" xfId="112" xr:uid="{00000000-0005-0000-0000-000065000000}"/>
    <cellStyle name="Comma 64" xfId="113" xr:uid="{00000000-0005-0000-0000-000066000000}"/>
    <cellStyle name="Comma 65" xfId="114" xr:uid="{00000000-0005-0000-0000-000067000000}"/>
    <cellStyle name="Comma 66" xfId="116" xr:uid="{00000000-0005-0000-0000-000068000000}"/>
    <cellStyle name="Comma 67" xfId="115" xr:uid="{00000000-0005-0000-0000-000069000000}"/>
    <cellStyle name="Comma 68" xfId="117" xr:uid="{00000000-0005-0000-0000-00006A000000}"/>
    <cellStyle name="Comma 69" xfId="118" xr:uid="{00000000-0005-0000-0000-00006B000000}"/>
    <cellStyle name="Comma 7" xfId="33" xr:uid="{00000000-0005-0000-0000-00006C000000}"/>
    <cellStyle name="Comma 7 2" xfId="121" xr:uid="{00000000-0005-0000-0000-00006D000000}"/>
    <cellStyle name="Comma 70" xfId="119" xr:uid="{00000000-0005-0000-0000-00006E000000}"/>
    <cellStyle name="Comma 71" xfId="123" xr:uid="{00000000-0005-0000-0000-00006F000000}"/>
    <cellStyle name="Comma 72" xfId="120" xr:uid="{00000000-0005-0000-0000-000070000000}"/>
    <cellStyle name="Comma 73" xfId="124" xr:uid="{00000000-0005-0000-0000-000071000000}"/>
    <cellStyle name="Comma 74" xfId="125" xr:uid="{00000000-0005-0000-0000-000072000000}"/>
    <cellStyle name="Comma 75" xfId="126" xr:uid="{00000000-0005-0000-0000-000073000000}"/>
    <cellStyle name="Comma 76" xfId="130" xr:uid="{00000000-0005-0000-0000-000074000000}"/>
    <cellStyle name="Comma 77" xfId="131" xr:uid="{00000000-0005-0000-0000-000075000000}"/>
    <cellStyle name="Comma 78" xfId="133" xr:uid="{E76963ED-4719-45F3-B85B-EA6D27B7C1B2}"/>
    <cellStyle name="Comma 79" xfId="134" xr:uid="{F5FF978E-714E-4CAD-9952-16BCE8BAEF61}"/>
    <cellStyle name="Comma 8" xfId="34" xr:uid="{00000000-0005-0000-0000-000076000000}"/>
    <cellStyle name="Comma 80" xfId="136" xr:uid="{A525B279-564B-40CE-B892-CDD9E946F3D5}"/>
    <cellStyle name="Comma 81" xfId="137" xr:uid="{78EC3F62-DA76-427F-A0CA-B1EDE249C422}"/>
    <cellStyle name="Comma 82" xfId="138" xr:uid="{E02039AF-61AA-48A8-B7EE-01103642500A}"/>
    <cellStyle name="Comma 9" xfId="35" xr:uid="{00000000-0005-0000-0000-000077000000}"/>
    <cellStyle name="Currency" xfId="24" builtinId="4"/>
    <cellStyle name="Normal" xfId="0" builtinId="0"/>
    <cellStyle name="Normal 2" xfId="1" xr:uid="{00000000-0005-0000-0000-00007A000000}"/>
    <cellStyle name="Normal 2 2" xfId="28" xr:uid="{00000000-0005-0000-0000-00007B000000}"/>
    <cellStyle name="Normal 2 3" xfId="99" xr:uid="{00000000-0005-0000-0000-00007C000000}"/>
    <cellStyle name="Normal 2 4" xfId="109" xr:uid="{00000000-0005-0000-0000-00007D000000}"/>
    <cellStyle name="Normal 3" xfId="80" xr:uid="{00000000-0005-0000-0000-00007E000000}"/>
    <cellStyle name="Normal 6 9" xfId="29" xr:uid="{00000000-0005-0000-0000-00007F000000}"/>
    <cellStyle name="Normal 9" xfId="25" xr:uid="{00000000-0005-0000-0000-000080000000}"/>
    <cellStyle name="Percent" xfId="79" builtinId="5"/>
    <cellStyle name="Short Date" xfId="20" xr:uid="{00000000-0005-0000-0000-000082000000}"/>
    <cellStyle name="Short Time" xfId="21" xr:uid="{00000000-0005-0000-0000-000083000000}"/>
    <cellStyle name="Text" xfId="22" xr:uid="{00000000-0005-0000-0000-000084000000}"/>
  </cellStyles>
  <dxfs count="2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FFD961"/>
      <color rgb="FFFFCF37"/>
      <color rgb="FFFFFFCC"/>
      <color rgb="FF2D7F66"/>
      <color rgb="FF1C5E3A"/>
      <color rgb="FF1D5D32"/>
      <color rgb="FF2A8649"/>
      <color rgb="FF1D593C"/>
      <color rgb="FF007E00"/>
      <color rgb="FF005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Canpotex Colour Scheme 2016">
      <a:dk1>
        <a:sysClr val="windowText" lastClr="000000"/>
      </a:dk1>
      <a:lt1>
        <a:srgbClr val="FFFFFF"/>
      </a:lt1>
      <a:dk2>
        <a:srgbClr val="FFFFFF"/>
      </a:dk2>
      <a:lt2>
        <a:srgbClr val="000000"/>
      </a:lt2>
      <a:accent1>
        <a:srgbClr val="2D7F66"/>
      </a:accent1>
      <a:accent2>
        <a:srgbClr val="FF5200"/>
      </a:accent2>
      <a:accent3>
        <a:srgbClr val="5B6770"/>
      </a:accent3>
      <a:accent4>
        <a:srgbClr val="71CDB1"/>
      </a:accent4>
      <a:accent5>
        <a:srgbClr val="FF8C53"/>
      </a:accent5>
      <a:accent6>
        <a:srgbClr val="A5AEB5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CB6D-A4D6-467B-BB03-FC3E2E14915D}">
  <sheetPr>
    <tabColor rgb="FF005C00"/>
    <pageSetUpPr fitToPage="1"/>
  </sheetPr>
  <dimension ref="A1:Q50"/>
  <sheetViews>
    <sheetView zoomScaleNormal="100" workbookViewId="0">
      <selection activeCell="G20" sqref="G20:I20"/>
    </sheetView>
  </sheetViews>
  <sheetFormatPr defaultColWidth="9.1796875" defaultRowHeight="14.5" outlineLevelRow="1" outlineLevelCol="1" x14ac:dyDescent="0.35"/>
  <cols>
    <col min="1" max="1" width="34.81640625" style="156" customWidth="1"/>
    <col min="2" max="3" width="17.7265625" style="156" hidden="1" customWidth="1" outlineLevel="1"/>
    <col min="4" max="4" width="18.1796875" style="156" customWidth="1" collapsed="1"/>
    <col min="5" max="9" width="18.1796875" style="156" customWidth="1"/>
    <col min="10" max="10" width="63" style="156" hidden="1" customWidth="1"/>
    <col min="11" max="11" width="9.1796875" style="156"/>
    <col min="12" max="12" width="8.7265625" style="156" customWidth="1"/>
    <col min="13" max="13" width="11.26953125" style="156" bestFit="1" customWidth="1"/>
    <col min="14" max="14" width="10.54296875" style="156" bestFit="1" customWidth="1"/>
    <col min="15" max="17" width="8.7265625" style="156" customWidth="1"/>
    <col min="18" max="16384" width="9.1796875" style="156"/>
  </cols>
  <sheetData>
    <row r="1" spans="1:17" ht="26.5" x14ac:dyDescent="0.85">
      <c r="A1" s="167" t="s">
        <v>133</v>
      </c>
      <c r="B1" s="167"/>
      <c r="C1" s="167"/>
      <c r="D1" s="167"/>
      <c r="E1" s="167"/>
      <c r="F1" s="167"/>
      <c r="G1" s="167"/>
      <c r="H1" s="167"/>
      <c r="I1" s="167"/>
      <c r="J1" s="167"/>
      <c r="M1" s="156" t="s">
        <v>132</v>
      </c>
    </row>
    <row r="2" spans="1:17" s="8" customFormat="1" ht="37.5" customHeight="1" x14ac:dyDescent="0.5">
      <c r="A2" s="100"/>
      <c r="B2" s="100"/>
      <c r="C2" s="100"/>
      <c r="D2" s="158" t="s">
        <v>121</v>
      </c>
      <c r="E2" s="158" t="s">
        <v>122</v>
      </c>
      <c r="F2" s="158" t="s">
        <v>69</v>
      </c>
      <c r="G2" s="158" t="s">
        <v>121</v>
      </c>
      <c r="H2" s="158" t="s">
        <v>122</v>
      </c>
      <c r="I2" s="158" t="s">
        <v>69</v>
      </c>
      <c r="J2" s="27" t="s">
        <v>70</v>
      </c>
    </row>
    <row r="3" spans="1:17" s="160" customFormat="1" ht="22.5" hidden="1" customHeight="1" x14ac:dyDescent="0.35">
      <c r="A3" s="31" t="s">
        <v>103</v>
      </c>
      <c r="B3" s="31"/>
      <c r="C3" s="31"/>
      <c r="D3" s="98">
        <f ca="1">SUM('Rail Billings - Nutrien'!B5,'Rail Billings - Nutrien'!C5,'Rail Billings - Nutrien'!D5,#REF!,#REF!,#REF!)/1000</f>
        <v>2803.4171720000004</v>
      </c>
      <c r="E3" s="91">
        <f ca="1">(_xll.DBGET(#REF!,#REF!,#REF!,#REF!,#REF!,#REF!,#REF!,$M$1,#REF!,#REF!,#REF!))/1000</f>
        <v>0</v>
      </c>
      <c r="F3" s="91">
        <f ca="1">D3-E3</f>
        <v>2803.4171720000004</v>
      </c>
      <c r="G3" s="99">
        <f ca="1">D3</f>
        <v>2803.4171720000004</v>
      </c>
      <c r="H3" s="91">
        <f ca="1">E3</f>
        <v>0</v>
      </c>
      <c r="I3" s="91">
        <f ca="1">G3-H3</f>
        <v>2803.4171720000004</v>
      </c>
      <c r="J3" s="30"/>
    </row>
    <row r="4" spans="1:17" s="160" customFormat="1" ht="22.5" customHeight="1" x14ac:dyDescent="0.35">
      <c r="A4" s="31" t="s">
        <v>104</v>
      </c>
      <c r="B4" s="31"/>
      <c r="C4" s="31"/>
      <c r="D4" s="98">
        <f ca="1">IF(#REF!="Yes",#REF!,(_xll.DBGET(#REF!,#REF!,#REF!,#REF!,#REF!,#REF!,#REF!,$M$1,#REF!,#REF!,#REF!)-_xll.DBGET(#REF!,#REF!,#REF!,#REF!,#REF!,#REF!,#REF!,$M$1,#REF!,#REF!,#REF!))/1000)</f>
        <v>3372.8713629999997</v>
      </c>
      <c r="E4" s="91">
        <f ca="1">(_xll.DBGET(#REF!,#REF!,#REF!,#REF!,#REF!,#REF!,#REF!,$M$1,#REF!,#REF!,#REF!))/1000</f>
        <v>796</v>
      </c>
      <c r="F4" s="91">
        <f ca="1">D4-E4</f>
        <v>2576.8713629999997</v>
      </c>
      <c r="G4" s="99">
        <f ca="1">D4</f>
        <v>3372.8713629999997</v>
      </c>
      <c r="H4" s="91">
        <f ca="1">E4</f>
        <v>796</v>
      </c>
      <c r="I4" s="91">
        <f ca="1">G4-H4</f>
        <v>2576.8713629999997</v>
      </c>
      <c r="J4" s="30"/>
    </row>
    <row r="5" spans="1:17" s="160" customFormat="1" ht="22.5" customHeight="1" x14ac:dyDescent="0.35">
      <c r="A5" s="31" t="s">
        <v>106</v>
      </c>
      <c r="B5" s="31"/>
      <c r="C5" s="31"/>
      <c r="D5" s="87"/>
      <c r="E5" s="88"/>
      <c r="F5" s="93"/>
      <c r="G5" s="92"/>
      <c r="H5" s="88"/>
      <c r="I5" s="93"/>
      <c r="J5" s="30"/>
      <c r="L5" s="136"/>
      <c r="M5" s="136"/>
      <c r="N5" s="136"/>
      <c r="O5" s="136"/>
      <c r="P5" s="136"/>
      <c r="Q5" s="136"/>
    </row>
    <row r="6" spans="1:17" s="160" customFormat="1" x14ac:dyDescent="0.35">
      <c r="A6" s="32" t="s">
        <v>127</v>
      </c>
      <c r="B6" s="32"/>
      <c r="C6" s="32"/>
      <c r="D6" s="94">
        <f ca="1"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669.20899999999995</v>
      </c>
      <c r="E6" s="95">
        <f ca="1"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847.5</v>
      </c>
      <c r="F6" s="95">
        <f t="shared" ref="F6:F14" ca="1" si="0">D6-E6</f>
        <v>-178.29100000000005</v>
      </c>
      <c r="G6" s="94">
        <f ca="1">D6</f>
        <v>669.20899999999995</v>
      </c>
      <c r="H6" s="95">
        <f ca="1">E6</f>
        <v>847.5</v>
      </c>
      <c r="I6" s="95">
        <f t="shared" ref="I6:I14" ca="1" si="1">G6-H6</f>
        <v>-178.29100000000005</v>
      </c>
      <c r="J6" s="30"/>
      <c r="L6" s="136"/>
      <c r="M6" s="136"/>
      <c r="N6" s="136"/>
      <c r="O6" s="136"/>
      <c r="P6" s="136"/>
      <c r="Q6" s="136"/>
    </row>
    <row r="7" spans="1:17" s="160" customFormat="1" x14ac:dyDescent="0.35">
      <c r="A7" s="32" t="s">
        <v>74</v>
      </c>
      <c r="B7" s="32"/>
      <c r="C7" s="32"/>
      <c r="D7" s="94">
        <f ca="1">(_xll.DBGET(#REF!,#REF!,#REF!,#REF!,#REF!,#REF!,#REF!,$M$1,$A7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0</v>
      </c>
      <c r="E7" s="161">
        <f ca="1">(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0</v>
      </c>
      <c r="F7" s="95">
        <f t="shared" ca="1" si="0"/>
        <v>0</v>
      </c>
      <c r="G7" s="94">
        <f ca="1">D7</f>
        <v>0</v>
      </c>
      <c r="H7" s="161">
        <f ca="1">E7</f>
        <v>0</v>
      </c>
      <c r="I7" s="95">
        <f t="shared" ca="1" si="1"/>
        <v>0</v>
      </c>
      <c r="J7" s="30"/>
      <c r="L7" s="136"/>
      <c r="M7" s="136"/>
      <c r="N7" s="136"/>
      <c r="O7" s="136"/>
      <c r="P7" s="136"/>
      <c r="Q7" s="136"/>
    </row>
    <row r="8" spans="1:17" s="160" customFormat="1" ht="15" thickBot="1" x14ac:dyDescent="0.4">
      <c r="A8" s="33" t="s">
        <v>105</v>
      </c>
      <c r="B8" s="33"/>
      <c r="C8" s="33"/>
      <c r="D8" s="96">
        <f ca="1">SUM(D6:D7)</f>
        <v>669.20899999999995</v>
      </c>
      <c r="E8" s="97">
        <f ca="1">SUM(E6:E7)</f>
        <v>847.5</v>
      </c>
      <c r="F8" s="97">
        <f t="shared" ca="1" si="0"/>
        <v>-178.29100000000005</v>
      </c>
      <c r="G8" s="96">
        <f ca="1">SUM(G6:G7)</f>
        <v>669.20899999999995</v>
      </c>
      <c r="H8" s="97">
        <f ca="1">SUM(H6:H7)</f>
        <v>847.5</v>
      </c>
      <c r="I8" s="97">
        <f t="shared" ca="1" si="1"/>
        <v>-178.29100000000005</v>
      </c>
      <c r="J8" s="30"/>
      <c r="L8" s="153"/>
      <c r="M8" s="153"/>
      <c r="N8" s="153"/>
      <c r="O8" s="153"/>
      <c r="P8" s="153"/>
      <c r="Q8" s="153"/>
    </row>
    <row r="9" spans="1:17" s="160" customFormat="1" ht="30" customHeight="1" x14ac:dyDescent="0.35">
      <c r="A9" s="34" t="s">
        <v>75</v>
      </c>
      <c r="B9" s="35" t="str">
        <f ca="1">_xll.DE.NAME(#REF!,"DXMEAS_S","CONTRACT")</f>
        <v>CONTRACT</v>
      </c>
      <c r="C9" s="35"/>
      <c r="D9" s="85">
        <f ca="1">_xll.DBGET(#REF!,#REF!,#REF!,#REF!,#REF!,#REF!,#REF!,$M$1,#REF!,#REF!,$B9)</f>
        <v>198051604.59</v>
      </c>
      <c r="E9" s="86">
        <f ca="1">_xll.DBGET(#REF!,#REF!,#REF!,#REF!,#REF!,#REF!,#REF!,$M$1,#REF!,#REF!,$B9)</f>
        <v>226085000</v>
      </c>
      <c r="F9" s="86">
        <f t="shared" ca="1" si="0"/>
        <v>-28033395.409999996</v>
      </c>
      <c r="G9" s="83">
        <f ca="1">(_xll.DBGET(#REF!,#REF!,#REF!,#REF!,#REF!,#REF!,#REF!,$M$1,#REF!,#REF!,$B9))/(G$8*1000)</f>
        <v>295.94880611288852</v>
      </c>
      <c r="H9" s="84">
        <f ca="1">(_xll.DBGET(#REF!,#REF!,#REF!,#REF!,#REF!,#REF!,#REF!,$M$1,#REF!,#REF!,$B9))/(H$8*1000)</f>
        <v>266.76696165191743</v>
      </c>
      <c r="I9" s="84">
        <f t="shared" ca="1" si="1"/>
        <v>29.181844460971092</v>
      </c>
      <c r="J9" s="30"/>
      <c r="L9" s="168" t="s">
        <v>114</v>
      </c>
      <c r="M9" s="169"/>
      <c r="N9" s="169"/>
      <c r="O9" s="169"/>
      <c r="P9" s="169"/>
      <c r="Q9" s="170"/>
    </row>
    <row r="10" spans="1:17" s="160" customFormat="1" hidden="1" outlineLevel="1" x14ac:dyDescent="0.35">
      <c r="A10" s="34" t="s">
        <v>76</v>
      </c>
      <c r="B10" s="35" t="str">
        <f ca="1">_xll.DE.NAME(#REF!,"DXMEAS_S","INTEREST")</f>
        <v>INTEREST</v>
      </c>
      <c r="C10" s="35"/>
      <c r="D10" s="120">
        <f ca="1">_xll.DBGET(#REF!,#REF!,#REF!,#REF!,#REF!,#REF!,#REF!,$M$1,#REF!,#REF!,$B10)</f>
        <v>0</v>
      </c>
      <c r="E10" s="121">
        <f ca="1">_xll.DBGET(#REF!,#REF!,#REF!,#REF!,#REF!,#REF!,#REF!,$M$1,#REF!,#REF!,$B10)</f>
        <v>0</v>
      </c>
      <c r="F10" s="36">
        <f t="shared" ca="1" si="0"/>
        <v>0</v>
      </c>
      <c r="G10" s="52">
        <f ca="1">(_xll.DBGET(#REF!,#REF!,#REF!,#REF!,#REF!,#REF!,#REF!,$M$1,#REF!,#REF!,$B10))/(G$8*1000)</f>
        <v>0</v>
      </c>
      <c r="H10" s="37">
        <f ca="1">(_xll.DBGET(#REF!,#REF!,#REF!,#REF!,#REF!,#REF!,#REF!,$M$1,#REF!,#REF!,$B10))/(H$8*1000)</f>
        <v>0</v>
      </c>
      <c r="I10" s="37">
        <f t="shared" ca="1" si="1"/>
        <v>0</v>
      </c>
      <c r="J10" s="30"/>
      <c r="L10" s="135"/>
      <c r="M10" s="136"/>
      <c r="N10" s="136"/>
      <c r="O10" s="136"/>
      <c r="P10" s="136"/>
      <c r="Q10" s="137"/>
    </row>
    <row r="11" spans="1:17" s="160" customFormat="1" hidden="1" outlineLevel="1" x14ac:dyDescent="0.35">
      <c r="A11" s="34" t="s">
        <v>112</v>
      </c>
      <c r="B11" s="35" t="s">
        <v>113</v>
      </c>
      <c r="C11" s="35"/>
      <c r="D11" s="120">
        <f ca="1">_xll.DBGET(#REF!,#REF!,#REF!,#REF!,#REF!,#REF!,#REF!,$M$1,#REF!,#REF!,$B11)</f>
        <v>0</v>
      </c>
      <c r="E11" s="121">
        <f ca="1">_xll.DBGET(#REF!,#REF!,#REF!,#REF!,#REF!,#REF!,#REF!,$M$1,#REF!,#REF!,$B11)</f>
        <v>0</v>
      </c>
      <c r="F11" s="36">
        <f t="shared" ca="1" si="0"/>
        <v>0</v>
      </c>
      <c r="G11" s="52">
        <f ca="1">(_xll.DBGET(#REF!,#REF!,#REF!,#REF!,#REF!,#REF!,#REF!,$M$1,#REF!,#REF!,$B11))/(G$8*1000)</f>
        <v>0</v>
      </c>
      <c r="H11" s="37">
        <f ca="1">(_xll.DBGET(#REF!,#REF!,#REF!,#REF!,#REF!,#REF!,#REF!,$M$1,#REF!,#REF!,$B11))/(H$8*1000)</f>
        <v>0</v>
      </c>
      <c r="I11" s="37">
        <f t="shared" ca="1" si="1"/>
        <v>0</v>
      </c>
      <c r="J11" s="30"/>
      <c r="L11" s="135"/>
      <c r="M11" s="136"/>
      <c r="N11" s="136"/>
      <c r="O11" s="136"/>
      <c r="P11" s="136"/>
      <c r="Q11" s="137"/>
    </row>
    <row r="12" spans="1:17" s="160" customFormat="1" collapsed="1" x14ac:dyDescent="0.35">
      <c r="A12" s="34" t="s">
        <v>77</v>
      </c>
      <c r="B12" s="35" t="str">
        <f ca="1">_xll.DE.NAME(#REF!,"DXMEAS_S","SHRINKAGE")</f>
        <v>SHRINKAGE</v>
      </c>
      <c r="C12" s="35"/>
      <c r="D12" s="155">
        <f ca="1">_xll.DBGET(#REF!,#REF!,#REF!,#REF!,#REF!,#REF!,#REF!,$M$1,#REF!,#REF!,$B12)</f>
        <v>0</v>
      </c>
      <c r="E12" s="36">
        <f ca="1">_xll.DBGET(#REF!,#REF!,#REF!,#REF!,#REF!,#REF!,#REF!,$M$1,#REF!,#REF!,$B12)</f>
        <v>-1067175</v>
      </c>
      <c r="F12" s="36">
        <f t="shared" ca="1" si="0"/>
        <v>1067175</v>
      </c>
      <c r="G12" s="52">
        <f ca="1">(_xll.DBGET(#REF!,#REF!,#REF!,#REF!,#REF!,#REF!,#REF!,$M$1,#REF!,#REF!,$B12))/(G$8*1000)</f>
        <v>0</v>
      </c>
      <c r="H12" s="37">
        <f ca="1">(_xll.DBGET(#REF!,#REF!,#REF!,#REF!,#REF!,#REF!,#REF!,$M$1,#REF!,#REF!,$B12))/(H$8*1000)</f>
        <v>-1.2592035398230088</v>
      </c>
      <c r="I12" s="37">
        <f t="shared" ca="1" si="1"/>
        <v>1.2592035398230088</v>
      </c>
      <c r="J12" s="30"/>
      <c r="L12" s="135"/>
      <c r="M12" s="136"/>
      <c r="N12" s="136"/>
      <c r="O12" s="136"/>
      <c r="P12" s="136"/>
      <c r="Q12" s="137"/>
    </row>
    <row r="13" spans="1:17" s="160" customFormat="1" x14ac:dyDescent="0.35">
      <c r="A13" s="34" t="s">
        <v>78</v>
      </c>
      <c r="B13" s="35" t="str">
        <f ca="1">_xll.DE.NAME(#REF!,"DXMEAS_S","CREDITNOTE")</f>
        <v>CREDITNOTE</v>
      </c>
      <c r="C13" s="35"/>
      <c r="D13" s="49">
        <f ca="1">_xll.DBGET(#REF!,#REF!,#REF!,#REF!,#REF!,#REF!,#REF!,$M$1,#REF!,#REF!,$B13)</f>
        <v>-11496564.380000001</v>
      </c>
      <c r="E13" s="38">
        <f ca="1">_xll.DBGET(#REF!,#REF!,#REF!,#REF!,#REF!,#REF!,#REF!,$M$1,#REF!,#REF!,$B13)</f>
        <v>-15949850</v>
      </c>
      <c r="F13" s="38">
        <f t="shared" ca="1" si="0"/>
        <v>4453285.6199999992</v>
      </c>
      <c r="G13" s="53">
        <f ca="1">(_xll.DBGET(#REF!,#REF!,#REF!,#REF!,#REF!,#REF!,#REF!,$M$1,#REF!,#REF!,$B13))/(G$8*1000)</f>
        <v>-17.179333182906987</v>
      </c>
      <c r="H13" s="39">
        <f ca="1">(_xll.DBGET(#REF!,#REF!,#REF!,#REF!,#REF!,#REF!,#REF!,$M$1,#REF!,#REF!,$B13))/(H$8*1000)</f>
        <v>-18.819882005899704</v>
      </c>
      <c r="I13" s="39">
        <f t="shared" ca="1" si="1"/>
        <v>1.6405488229927165</v>
      </c>
      <c r="J13" s="30"/>
      <c r="L13" s="135"/>
      <c r="M13" s="136"/>
      <c r="N13" s="136"/>
      <c r="O13" s="136"/>
      <c r="P13" s="136"/>
      <c r="Q13" s="137"/>
    </row>
    <row r="14" spans="1:17" s="160" customFormat="1" x14ac:dyDescent="0.35">
      <c r="A14" s="40" t="s">
        <v>79</v>
      </c>
      <c r="B14" s="35" t="str">
        <f ca="1">_xll.DE.NAME(#REF!,"DXMEAS_S","INVOICE")</f>
        <v>INVOICE</v>
      </c>
      <c r="C14" s="35"/>
      <c r="D14" s="50">
        <f ca="1">_xll.DBGET(#REF!,#REF!,#REF!,#REF!,#REF!,#REF!,#REF!,$M$1,#REF!,#REF!,$B14)</f>
        <v>186555040.21000001</v>
      </c>
      <c r="E14" s="41">
        <f ca="1">_xll.DBGET(#REF!,#REF!,#REF!,#REF!,#REF!,#REF!,#REF!,$M$1,#REF!,#REF!,$B14)</f>
        <v>209067975</v>
      </c>
      <c r="F14" s="41">
        <f t="shared" ca="1" si="0"/>
        <v>-22512934.789999992</v>
      </c>
      <c r="G14" s="54">
        <f ca="1">(_xll.DBGET(#REF!,#REF!,#REF!,#REF!,#REF!,#REF!,#REF!,$M$1,#REF!,#REF!,$B14))/(G$8*1000)</f>
        <v>278.76947292998153</v>
      </c>
      <c r="H14" s="42">
        <f ca="1">(_xll.DBGET(#REF!,#REF!,#REF!,#REF!,#REF!,#REF!,#REF!,$M$1,#REF!,#REF!,$B14))/(H$8*1000)</f>
        <v>246.68787610619469</v>
      </c>
      <c r="I14" s="42">
        <f t="shared" ca="1" si="1"/>
        <v>32.081596823786839</v>
      </c>
      <c r="J14" s="30"/>
      <c r="L14" s="138">
        <f t="shared" ref="L14:Q14" ca="1" si="2">D14-D13-D12-D10-D9</f>
        <v>0</v>
      </c>
      <c r="M14" s="139">
        <f t="shared" ca="1" si="2"/>
        <v>0</v>
      </c>
      <c r="N14" s="139">
        <f t="shared" ca="1" si="2"/>
        <v>0</v>
      </c>
      <c r="O14" s="139">
        <f t="shared" ca="1" si="2"/>
        <v>0</v>
      </c>
      <c r="P14" s="139">
        <f t="shared" ca="1" si="2"/>
        <v>0</v>
      </c>
      <c r="Q14" s="140">
        <f t="shared" ca="1" si="2"/>
        <v>0</v>
      </c>
    </row>
    <row r="15" spans="1:17" s="160" customFormat="1" ht="22.5" customHeight="1" x14ac:dyDescent="0.35">
      <c r="A15" s="34" t="s">
        <v>80</v>
      </c>
      <c r="B15" s="35" t="str">
        <f ca="1">_xll.DE.NAME(#REF!,"DXMEAS_S","REBATE 1")</f>
        <v>REBATE 1</v>
      </c>
      <c r="C15" s="35"/>
      <c r="D15" s="48">
        <f ca="1">_xll.DBGET(#REF!,#REF!,#REF!,#REF!,#REF!,#REF!,#REF!,$M$1,#REF!,#REF!,$B15)</f>
        <v>971040</v>
      </c>
      <c r="E15" s="133">
        <f ca="1">_xll.DBGET(#REF!,#REF!,#REF!,#REF!,#REF!,#REF!,#REF!,$M$1,#REF!,#REF!,$B15)</f>
        <v>0</v>
      </c>
      <c r="F15" s="36">
        <f ca="1">E15-D15</f>
        <v>-971040</v>
      </c>
      <c r="G15" s="52">
        <f ca="1">(_xll.DBGET(#REF!,#REF!,#REF!,#REF!,#REF!,#REF!,#REF!,$M$1,#REF!,#REF!,$B15))/(G$8*1000)</f>
        <v>1.4510265104025797</v>
      </c>
      <c r="H15" s="37">
        <f ca="1">(_xll.DBGET(#REF!,#REF!,#REF!,#REF!,#REF!,#REF!,#REF!,$M$1,#REF!,#REF!,$B15))/(H$8*1000)</f>
        <v>0</v>
      </c>
      <c r="I15" s="37">
        <f ca="1">H15-G15</f>
        <v>-1.4510265104025797</v>
      </c>
      <c r="J15" s="30"/>
      <c r="L15" s="135"/>
      <c r="M15" s="136"/>
      <c r="N15" s="136"/>
      <c r="O15" s="136"/>
      <c r="P15" s="136"/>
      <c r="Q15" s="137"/>
    </row>
    <row r="16" spans="1:17" s="160" customFormat="1" x14ac:dyDescent="0.35">
      <c r="A16" s="34" t="s">
        <v>81</v>
      </c>
      <c r="B16" s="35" t="str">
        <f ca="1">_xll.DE.NAME(#REF!,"DXMEAS_S","REBATE 2")</f>
        <v>REBATE 2</v>
      </c>
      <c r="C16" s="35"/>
      <c r="D16" s="48">
        <f ca="1">_xll.DBGET(#REF!,#REF!,#REF!,#REF!,#REF!,#REF!,#REF!,$M$1,#REF!,#REF!,$B16)</f>
        <v>0</v>
      </c>
      <c r="E16" s="133">
        <f ca="1">_xll.DBGET(#REF!,#REF!,#REF!,#REF!,#REF!,#REF!,#REF!,$M$1,#REF!,#REF!,$B16)</f>
        <v>0</v>
      </c>
      <c r="F16" s="36">
        <f ca="1">E16-D16</f>
        <v>0</v>
      </c>
      <c r="G16" s="52">
        <f ca="1">(_xll.DBGET(#REF!,#REF!,#REF!,#REF!,#REF!,#REF!,#REF!,$M$1,#REF!,#REF!,$B16))/(G$8*1000)</f>
        <v>0</v>
      </c>
      <c r="H16" s="37">
        <f ca="1">(_xll.DBGET(#REF!,#REF!,#REF!,#REF!,#REF!,#REF!,#REF!,$M$1,#REF!,#REF!,$B16))/(H$8*1000)</f>
        <v>0</v>
      </c>
      <c r="I16" s="37">
        <f ca="1">H16-G16</f>
        <v>0</v>
      </c>
      <c r="J16" s="30"/>
      <c r="L16" s="135"/>
      <c r="M16" s="136"/>
      <c r="N16" s="136"/>
      <c r="O16" s="136"/>
      <c r="P16" s="136"/>
      <c r="Q16" s="137"/>
    </row>
    <row r="17" spans="1:17" s="160" customFormat="1" x14ac:dyDescent="0.35">
      <c r="A17" s="34" t="s">
        <v>82</v>
      </c>
      <c r="B17" s="35" t="str">
        <f ca="1">_xll.DE.NAME(#REF!,"DXMEAS_S","VOL DISC")</f>
        <v>VOL DISC</v>
      </c>
      <c r="C17" s="35"/>
      <c r="D17" s="48">
        <f ca="1">_xll.DBGET(#REF!,#REF!,#REF!,#REF!,#REF!,#REF!,#REF!,$M$1,#REF!,#REF!,$B17)</f>
        <v>157407.35</v>
      </c>
      <c r="E17" s="133">
        <f ca="1">_xll.DBGET(#REF!,#REF!,#REF!,#REF!,#REF!,#REF!,#REF!,$M$1,#REF!,#REF!,$B17)</f>
        <v>126500</v>
      </c>
      <c r="F17" s="36">
        <f ca="1">E17-D17</f>
        <v>-30907.350000000006</v>
      </c>
      <c r="G17" s="52">
        <f ca="1">(_xll.DBGET(#REF!,#REF!,#REF!,#REF!,#REF!,#REF!,#REF!,$M$1,#REF!,#REF!,$B17))/(G$8*1000)</f>
        <v>0.23521403627267418</v>
      </c>
      <c r="H17" s="37">
        <f ca="1">(_xll.DBGET(#REF!,#REF!,#REF!,#REF!,#REF!,#REF!,#REF!,$M$1,#REF!,#REF!,$B17))/(H$8*1000)</f>
        <v>0.14926253687315635</v>
      </c>
      <c r="I17" s="37">
        <f ca="1">H17-G17</f>
        <v>-8.5951499399517822E-2</v>
      </c>
      <c r="J17" s="30"/>
      <c r="L17" s="135"/>
      <c r="M17" s="136"/>
      <c r="N17" s="136"/>
      <c r="O17" s="136"/>
      <c r="P17" s="136"/>
      <c r="Q17" s="137"/>
    </row>
    <row r="18" spans="1:17" s="160" customFormat="1" x14ac:dyDescent="0.35">
      <c r="A18" s="34" t="s">
        <v>83</v>
      </c>
      <c r="B18" s="35" t="str">
        <f ca="1">_xll.DE.NAME(#REF!,"DXMEAS_S","PR RES")</f>
        <v>PR RES</v>
      </c>
      <c r="C18" s="35"/>
      <c r="D18" s="155">
        <f ca="1">_xll.DBGET(#REF!,#REF!,#REF!,#REF!,#REF!,#REF!,#REF!,$M$1,#REF!,#REF!,$B18)</f>
        <v>30481920</v>
      </c>
      <c r="E18" s="133">
        <f ca="1">_xll.DBGET(#REF!,#REF!,#REF!,#REF!,#REF!,#REF!,#REF!,$M$1,#REF!,#REF!,$B18)</f>
        <v>0</v>
      </c>
      <c r="F18" s="36">
        <f ca="1">E18-D18</f>
        <v>-30481920</v>
      </c>
      <c r="G18" s="52">
        <f ca="1">(_xll.DBGET(#REF!,#REF!,#REF!,#REF!,#REF!,#REF!,#REF!,$M$1,#REF!,#REF!,$B18))/(G$8*1000)</f>
        <v>45.549178208900358</v>
      </c>
      <c r="H18" s="37">
        <f ca="1">(_xll.DBGET(#REF!,#REF!,#REF!,#REF!,#REF!,#REF!,#REF!,$M$1,#REF!,#REF!,$B18))/(H$8*1000)</f>
        <v>0</v>
      </c>
      <c r="I18" s="37">
        <f ca="1">H18-G18</f>
        <v>-45.549178208900358</v>
      </c>
      <c r="J18" s="30"/>
      <c r="L18" s="135"/>
      <c r="M18" s="136"/>
      <c r="N18" s="136"/>
      <c r="O18" s="136"/>
      <c r="P18" s="136"/>
      <c r="Q18" s="137"/>
    </row>
    <row r="19" spans="1:17" s="160" customFormat="1" x14ac:dyDescent="0.35">
      <c r="A19" s="34" t="s">
        <v>84</v>
      </c>
      <c r="B19" s="35" t="str">
        <f ca="1">_xll.DE.NAME(#REF!,"DXMEAS_S","FRT Savings Rebate")</f>
        <v>FRT Savings Rebate</v>
      </c>
      <c r="C19" s="35"/>
      <c r="D19" s="155">
        <f ca="1">_xll.DBGET(#REF!,#REF!,#REF!,#REF!,#REF!,#REF!,#REF!,$M$1,#REF!,#REF!,$B19)</f>
        <v>0</v>
      </c>
      <c r="E19" s="133">
        <f ca="1">_xll.DBGET(#REF!,#REF!,#REF!,#REF!,#REF!,#REF!,#REF!,$M$1,#REF!,#REF!,$B19)</f>
        <v>0</v>
      </c>
      <c r="F19" s="36">
        <f ca="1">E19-D19</f>
        <v>0</v>
      </c>
      <c r="G19" s="52">
        <f ca="1">(_xll.DBGET(#REF!,#REF!,#REF!,#REF!,#REF!,#REF!,#REF!,$M$1,#REF!,#REF!,$B19))/(G$8*1000)</f>
        <v>0</v>
      </c>
      <c r="H19" s="37">
        <f ca="1">(_xll.DBGET(#REF!,#REF!,#REF!,#REF!,#REF!,#REF!,#REF!,$M$1,#REF!,#REF!,$B19))/(H$8*1000)</f>
        <v>0</v>
      </c>
      <c r="I19" s="37">
        <f ca="1">H19-G19</f>
        <v>0</v>
      </c>
      <c r="J19" s="30"/>
      <c r="L19" s="135"/>
      <c r="M19" s="136"/>
      <c r="N19" s="136"/>
      <c r="O19" s="136"/>
      <c r="P19" s="136"/>
      <c r="Q19" s="137"/>
    </row>
    <row r="20" spans="1:17" s="160" customFormat="1" x14ac:dyDescent="0.35">
      <c r="A20" s="40" t="s">
        <v>85</v>
      </c>
      <c r="B20" s="35" t="str">
        <f ca="1">_xll.DE.NAME(#REF!,"DXMEAS_S","Net Sale Price")</f>
        <v>Net Sale Price</v>
      </c>
      <c r="C20" s="35"/>
      <c r="D20" s="51">
        <f ca="1">_xll.DBGET(#REF!,#REF!,#REF!,#REF!,#REF!,#REF!,#REF!,$M$1,#REF!,#REF!,$B20)</f>
        <v>154944672.86000001</v>
      </c>
      <c r="E20" s="43">
        <f ca="1">_xll.DBGET(#REF!,#REF!,#REF!,#REF!,#REF!,#REF!,#REF!,$M$1,#REF!,#REF!,$B20)</f>
        <v>208941475</v>
      </c>
      <c r="F20" s="43">
        <f ca="1">D20-E20</f>
        <v>-53996802.139999986</v>
      </c>
      <c r="G20" s="55">
        <f ca="1">(_xll.DBGET(#REF!,#REF!,#REF!,#REF!,#REF!,#REF!,#REF!,$M$1,#REF!,#REF!,$B20))/(G$8*1000)</f>
        <v>231.53405417440592</v>
      </c>
      <c r="H20" s="44">
        <f ca="1">(_xll.DBGET(#REF!,#REF!,#REF!,#REF!,#REF!,#REF!,#REF!,$M$1,#REF!,#REF!,$B20))/(H$8*1000)</f>
        <v>246.53861356932154</v>
      </c>
      <c r="I20" s="44">
        <f ca="1">G20-H20</f>
        <v>-15.004559394915617</v>
      </c>
      <c r="J20" s="30"/>
      <c r="L20" s="141">
        <f ca="1">D20+D19+D18+D17+D16+D15-D14</f>
        <v>0</v>
      </c>
      <c r="M20" s="142">
        <f ca="1">E20+E19+E18+E17+E16+E15-E14</f>
        <v>0</v>
      </c>
      <c r="N20" s="142">
        <f ca="1">F20-F19-F18-F17-F16-F15-F14</f>
        <v>0</v>
      </c>
      <c r="O20" s="142">
        <f ca="1">G20+G19+G18+G17+G16+G15-G14</f>
        <v>0</v>
      </c>
      <c r="P20" s="142">
        <f ca="1">H20+H19+H18+H17+H16+H15-H14</f>
        <v>0</v>
      </c>
      <c r="Q20" s="143">
        <f ca="1">I20-I19-I18-I17-I16-I15-I14</f>
        <v>0</v>
      </c>
    </row>
    <row r="21" spans="1:17" s="160" customFormat="1" ht="22.5" customHeight="1" x14ac:dyDescent="0.35">
      <c r="A21" s="45" t="s">
        <v>100</v>
      </c>
      <c r="B21" s="45"/>
      <c r="C21" s="45"/>
      <c r="D21" s="48"/>
      <c r="E21" s="36"/>
      <c r="F21" s="36"/>
      <c r="G21" s="52"/>
      <c r="H21" s="37"/>
      <c r="I21" s="37"/>
      <c r="J21" s="30"/>
      <c r="L21" s="135"/>
      <c r="M21" s="136"/>
      <c r="N21" s="136"/>
      <c r="O21" s="136"/>
      <c r="P21" s="136"/>
      <c r="Q21" s="137"/>
    </row>
    <row r="22" spans="1:17" s="160" customFormat="1" x14ac:dyDescent="0.35">
      <c r="A22" s="34" t="s">
        <v>86</v>
      </c>
      <c r="B22" s="35" t="str">
        <f ca="1">_xll.DE.NAME(#REF!,"DXMEAS_S","Commissions")</f>
        <v>Commissions</v>
      </c>
      <c r="C22" s="35"/>
      <c r="D22" s="155">
        <f ca="1">_xll.DBGET(#REF!,#REF!,#REF!,#REF!,#REF!,#REF!,#REF!,$M$1,#REF!,#REF!,$B22)</f>
        <v>0</v>
      </c>
      <c r="E22" s="133">
        <f ca="1">_xll.DBGET(#REF!,#REF!,#REF!,#REF!,#REF!,#REF!,#REF!,$M$1,#REF!,#REF!,$B22)</f>
        <v>0</v>
      </c>
      <c r="F22" s="133">
        <f ca="1">E22-D22</f>
        <v>0</v>
      </c>
      <c r="G22" s="52">
        <f ca="1">(_xll.DBGET(#REF!,#REF!,#REF!,#REF!,#REF!,#REF!,#REF!,$M$1,#REF!,#REF!,$B22))/(G$8*1000)</f>
        <v>0</v>
      </c>
      <c r="H22" s="37">
        <f ca="1">(_xll.DBGET(#REF!,#REF!,#REF!,#REF!,#REF!,#REF!,#REF!,$M$1,#REF!,#REF!,$B22))/(H$8*1000)</f>
        <v>0</v>
      </c>
      <c r="I22" s="37">
        <f ca="1">H22-G22</f>
        <v>0</v>
      </c>
      <c r="J22" s="30"/>
      <c r="L22" s="135"/>
      <c r="M22" s="136"/>
      <c r="N22" s="136"/>
      <c r="O22" s="136"/>
      <c r="P22" s="136"/>
      <c r="Q22" s="137"/>
    </row>
    <row r="23" spans="1:17" s="160" customFormat="1" x14ac:dyDescent="0.35">
      <c r="A23" s="34" t="s">
        <v>71</v>
      </c>
      <c r="B23" s="35" t="str">
        <f ca="1">_xll.DE.NAME(#REF!,"DXMEAS_S","Ocean Freight")</f>
        <v>Ocean Freight</v>
      </c>
      <c r="C23" s="35"/>
      <c r="D23" s="155">
        <f ca="1">_xll.DBGET(#REF!,#REF!,#REF!,#REF!,#REF!,#REF!,#REF!,$M$1,#REF!,#REF!,$B23)</f>
        <v>17757888.27</v>
      </c>
      <c r="E23" s="133">
        <f ca="1">_xll.DBGET(#REF!,#REF!,#REF!,#REF!,#REF!,#REF!,#REF!,$M$1,#REF!,#REF!,$B23)</f>
        <v>21617094.6831</v>
      </c>
      <c r="F23" s="133">
        <f ca="1">E23-D23</f>
        <v>3859206.4131000005</v>
      </c>
      <c r="G23" s="52">
        <f ca="1">(_xll.DBGET(#REF!,#REF!,#REF!,#REF!,#REF!,#REF!,#REF!,$M$1,#REF!,#REF!,$B23))/(G$8*1000)</f>
        <v>26.535638746639687</v>
      </c>
      <c r="H23" s="37">
        <f ca="1">(_xll.DBGET(#REF!,#REF!,#REF!,#REF!,#REF!,#REF!,#REF!,$M$1,#REF!,#REF!,$B23))/(H$8*1000)</f>
        <v>25.506896381238938</v>
      </c>
      <c r="I23" s="37">
        <f ca="1">H23-G23</f>
        <v>-1.028742365400749</v>
      </c>
      <c r="J23" s="30"/>
      <c r="L23" s="135"/>
      <c r="M23" s="136"/>
      <c r="N23" s="136"/>
      <c r="O23" s="136"/>
      <c r="P23" s="136"/>
      <c r="Q23" s="137"/>
    </row>
    <row r="24" spans="1:17" s="160" customFormat="1" hidden="1" outlineLevel="1" x14ac:dyDescent="0.35">
      <c r="A24" s="34" t="s">
        <v>87</v>
      </c>
      <c r="B24" s="35" t="str">
        <f ca="1">_xll.DE.NAME(#REF!,"DXMEAS_S","BOF")</f>
        <v>BOF</v>
      </c>
      <c r="C24" s="35" t="s">
        <v>111</v>
      </c>
      <c r="D24" s="155">
        <f ca="1">_xll.DBGET(#REF!,#REF!,#REF!,#REF!,#REF!,#REF!,#REF!,$M$1,#REF!,#REF!,$B24)+_xll.DBGET(#REF!,#REF!,#REF!,#REF!,#REF!,#REF!,#REF!,$M$1,#REF!,#REF!,$C24)</f>
        <v>17424832.760000002</v>
      </c>
      <c r="E24" s="133">
        <f ca="1">_xll.DBGET(#REF!,#REF!,#REF!,#REF!,#REF!,#REF!,#REF!,$M$1,#REF!,#REF!,$B24)+_xll.DBGET(#REF!,#REF!,#REF!,#REF!,#REF!,#REF!,#REF!,$M$1,#REF!,#REF!,$C24)</f>
        <v>21164980</v>
      </c>
      <c r="F24" s="133">
        <f t="shared" ref="F24:F35" ca="1" si="3">E24-D24</f>
        <v>3740147.2399999984</v>
      </c>
      <c r="G24" s="52">
        <f ca="1">(_xll.DBGET(#REF!,#REF!,#REF!,#REF!,#REF!,#REF!,#REF!,$M$1,#REF!,#REF!,$B24)+_xll.DBGET(#REF!,#REF!,#REF!,#REF!,#REF!,#REF!,#REF!,$M$1,#REF!,#REF!,$C24))/(G$8*1000)</f>
        <v>26.037953404691212</v>
      </c>
      <c r="H24" s="37">
        <f ca="1">(_xll.DBGET(#REF!,#REF!,#REF!,#REF!,#REF!,#REF!,#REF!,$M$1,#REF!,#REF!,$B24)+_xll.DBGET(#REF!,#REF!,#REF!,#REF!,#REF!,#REF!,#REF!,$M$1,#REF!,#REF!,$C24))/(H$8*1000)</f>
        <v>24.973427728613569</v>
      </c>
      <c r="I24" s="37">
        <f ca="1">H24-G24</f>
        <v>-1.0645256760776434</v>
      </c>
      <c r="J24" s="30"/>
      <c r="L24" s="141"/>
      <c r="M24" s="136"/>
      <c r="N24" s="136"/>
      <c r="O24" s="136"/>
      <c r="P24" s="136"/>
      <c r="Q24" s="137"/>
    </row>
    <row r="25" spans="1:17" s="160" customFormat="1" hidden="1" outlineLevel="1" x14ac:dyDescent="0.35">
      <c r="A25" s="34" t="s">
        <v>88</v>
      </c>
      <c r="B25" s="35" t="str">
        <f ca="1">_xll.DE.NAME(#REF!,"DXMEAS_S","LOSS_GAIN O_S")</f>
        <v>LOSS_GAIN O_S</v>
      </c>
      <c r="C25" s="35"/>
      <c r="D25" s="155">
        <f ca="1">_xll.DBGET(#REF!,#REF!,#REF!,#REF!,#REF!,#REF!,#REF!,$M$1,#REF!,#REF!,$B25)</f>
        <v>152460.44</v>
      </c>
      <c r="E25" s="133">
        <f ca="1">_xll.DBGET(#REF!,#REF!,#REF!,#REF!,#REF!,#REF!,#REF!,$M$1,#REF!,#REF!,$B25)</f>
        <v>214808.5018</v>
      </c>
      <c r="F25" s="133">
        <f t="shared" ca="1" si="3"/>
        <v>62348.061799999996</v>
      </c>
      <c r="G25" s="52">
        <f ca="1">(_xll.DBGET(#REF!,#REF!,#REF!,#REF!,#REF!,#REF!,#REF!,$M$1,#REF!,#REF!,$B25))/(G$8*1000)</f>
        <v>0.22782186133181115</v>
      </c>
      <c r="H25" s="37">
        <f ca="1">(_xll.DBGET(#REF!,#REF!,#REF!,#REF!,#REF!,#REF!,#REF!,$M$1,#REF!,#REF!,$B25))/(H$8*1000)</f>
        <v>0.25346135905604722</v>
      </c>
      <c r="I25" s="37">
        <f t="shared" ref="I25:I35" ca="1" si="4">H25-G25</f>
        <v>2.5639497724236071E-2</v>
      </c>
      <c r="J25" s="30"/>
      <c r="L25" s="141"/>
      <c r="M25" s="136"/>
      <c r="N25" s="136"/>
      <c r="O25" s="136"/>
      <c r="P25" s="136"/>
      <c r="Q25" s="137"/>
    </row>
    <row r="26" spans="1:17" s="160" customFormat="1" hidden="1" outlineLevel="1" x14ac:dyDescent="0.35">
      <c r="A26" s="34" t="s">
        <v>123</v>
      </c>
      <c r="B26" s="35" t="s">
        <v>124</v>
      </c>
      <c r="C26" s="35"/>
      <c r="D26" s="120">
        <f ca="1">_xll.DBGET(#REF!,#REF!,#REF!,#REF!,#REF!,#REF!,#REF!,$M$1,#REF!,#REF!,$B26)</f>
        <v>180595.07</v>
      </c>
      <c r="E26" s="121">
        <f ca="1">_xll.DBGET(#REF!,#REF!,#REF!,#REF!,#REF!,#REF!,#REF!,$M$1,#REF!,#REF!,$B26)</f>
        <v>237306.1813</v>
      </c>
      <c r="F26" s="133">
        <f t="shared" ca="1" si="3"/>
        <v>56711.11129999999</v>
      </c>
      <c r="G26" s="52">
        <f ca="1">(_xll.DBGET(#REF!,#REF!,#REF!,#REF!,#REF!,#REF!,#REF!,$M$1,#REF!,#REF!,$B26))/(G$8*1000)</f>
        <v>0.26986348061666837</v>
      </c>
      <c r="H26" s="37">
        <f ca="1">(_xll.DBGET(#REF!,#REF!,#REF!,#REF!,#REF!,#REF!,#REF!,$M$1,#REF!,#REF!,$B26))/(H$8*1000)</f>
        <v>0.28000729356932152</v>
      </c>
      <c r="I26" s="37">
        <f t="shared" ca="1" si="4"/>
        <v>1.0143812952653153E-2</v>
      </c>
      <c r="J26" s="30"/>
      <c r="L26" s="141"/>
      <c r="M26" s="136"/>
      <c r="N26" s="136"/>
      <c r="O26" s="136"/>
      <c r="P26" s="136"/>
      <c r="Q26" s="137"/>
    </row>
    <row r="27" spans="1:17" s="160" customFormat="1" hidden="1" outlineLevel="1" x14ac:dyDescent="0.35">
      <c r="A27" s="34" t="s">
        <v>125</v>
      </c>
      <c r="B27" s="35" t="s">
        <v>126</v>
      </c>
      <c r="C27" s="35"/>
      <c r="D27" s="120">
        <f ca="1">_xll.DBGET(#REF!,#REF!,#REF!,#REF!,#REF!,#REF!,#REF!,$M$1,#REF!,#REF!,$B27)</f>
        <v>0</v>
      </c>
      <c r="E27" s="121">
        <f ca="1">_xll.DBGET(#REF!,#REF!,#REF!,#REF!,#REF!,#REF!,#REF!,$M$1,#REF!,#REF!,$B27)</f>
        <v>0</v>
      </c>
      <c r="F27" s="133">
        <f t="shared" ca="1" si="3"/>
        <v>0</v>
      </c>
      <c r="G27" s="52">
        <f ca="1">(_xll.DBGET(#REF!,#REF!,#REF!,#REF!,#REF!,#REF!,#REF!,$M$1,#REF!,#REF!,$B27))/(G$8*1000)</f>
        <v>0</v>
      </c>
      <c r="H27" s="37">
        <f ca="1">(_xll.DBGET(#REF!,#REF!,#REF!,#REF!,#REF!,#REF!,#REF!,$M$1,#REF!,#REF!,$B27))/(H$8*1000)</f>
        <v>0</v>
      </c>
      <c r="I27" s="37">
        <f t="shared" ca="1" si="4"/>
        <v>0</v>
      </c>
      <c r="J27" s="30"/>
      <c r="L27" s="141"/>
      <c r="M27" s="136"/>
      <c r="N27" s="136"/>
      <c r="O27" s="136"/>
      <c r="P27" s="136"/>
      <c r="Q27" s="137"/>
    </row>
    <row r="28" spans="1:17" s="160" customFormat="1" hidden="1" outlineLevel="1" x14ac:dyDescent="0.35">
      <c r="A28" s="34" t="s">
        <v>89</v>
      </c>
      <c r="B28" s="35" t="str">
        <f ca="1">_xll.DE.NAME(#REF!,"DXMEAS_S","CHEMOF")</f>
        <v>CHEMOF</v>
      </c>
      <c r="C28" s="35" t="s">
        <v>119</v>
      </c>
      <c r="D28" s="155">
        <f ca="1">_xll.DBGET(#REF!,#REF!,#REF!,#REF!,#REF!,#REF!,#REF!,$M$1,#REF!,#REF!,$B28)+_xll.DBGET(#REF!,#REF!,#REF!,#REF!,#REF!,#REF!,#REF!,$M$1,#REF!,#REF!,$C28)</f>
        <v>0</v>
      </c>
      <c r="E28" s="133">
        <f ca="1">_xll.DBGET(#REF!,#REF!,#REF!,#REF!,#REF!,#REF!,#REF!,$M$1,#REF!,#REF!,$B28)+_xll.DBGET(#REF!,#REF!,#REF!,#REF!,#REF!,#REF!,#REF!,$M$1,#REF!,#REF!,$C28)</f>
        <v>0</v>
      </c>
      <c r="F28" s="133">
        <f t="shared" ca="1" si="3"/>
        <v>0</v>
      </c>
      <c r="G28" s="52">
        <f ca="1">(_xll.DBGET(#REF!,#REF!,#REF!,#REF!,#REF!,#REF!,#REF!,$M$1,#REF!,#REF!,$B28)+_xll.DBGET(#REF!,#REF!,#REF!,#REF!,#REF!,#REF!,#REF!,$M$1,#REF!,#REF!,$C28))/(G$8*1000)</f>
        <v>0</v>
      </c>
      <c r="H28" s="37">
        <f ca="1">(_xll.DBGET(#REF!,#REF!,#REF!,#REF!,#REF!,#REF!,#REF!,$M$1,#REF!,#REF!,$B28)+_xll.DBGET(#REF!,#REF!,#REF!,#REF!,#REF!,#REF!,#REF!,$M$1,#REF!,#REF!,$C28))/(H$8*1000)</f>
        <v>0</v>
      </c>
      <c r="I28" s="37">
        <f t="shared" ca="1" si="4"/>
        <v>0</v>
      </c>
      <c r="J28" s="30"/>
      <c r="L28" s="135"/>
      <c r="M28" s="136"/>
      <c r="N28" s="136"/>
      <c r="O28" s="136"/>
      <c r="P28" s="136"/>
      <c r="Q28" s="137"/>
    </row>
    <row r="29" spans="1:17" s="160" customFormat="1" hidden="1" outlineLevel="1" x14ac:dyDescent="0.35">
      <c r="A29" s="34" t="s">
        <v>92</v>
      </c>
      <c r="B29" s="35" t="str">
        <f ca="1">_xll.DE.NAME(#REF!,"DXMEAS_S","WHSOF")</f>
        <v>WHSOF</v>
      </c>
      <c r="C29" s="35" t="s">
        <v>120</v>
      </c>
      <c r="D29" s="155">
        <f ca="1">_xll.DBGET(#REF!,#REF!,#REF!,#REF!,#REF!,#REF!,#REF!,$M$1,#REF!,#REF!,$B29)+_xll.DBGET(#REF!,#REF!,#REF!,#REF!,#REF!,#REF!,#REF!,$M$1,#REF!,#REF!,$C29)</f>
        <v>0</v>
      </c>
      <c r="E29" s="133">
        <f ca="1">_xll.DBGET(#REF!,#REF!,#REF!,#REF!,#REF!,#REF!,#REF!,$M$1,#REF!,#REF!,$B29)+_xll.DBGET(#REF!,#REF!,#REF!,#REF!,#REF!,#REF!,#REF!,$M$1,#REF!,#REF!,$C29)</f>
        <v>0</v>
      </c>
      <c r="F29" s="133">
        <f ca="1">E29-D29</f>
        <v>0</v>
      </c>
      <c r="G29" s="52">
        <f ca="1">(_xll.DBGET(#REF!,#REF!,#REF!,#REF!,#REF!,#REF!,#REF!,$M$1,#REF!,#REF!,$B29)+_xll.DBGET(#REF!,#REF!,#REF!,#REF!,#REF!,#REF!,#REF!,$M$1,#REF!,#REF!,$C29))/(G$8*1000)</f>
        <v>0</v>
      </c>
      <c r="H29" s="37">
        <f ca="1">(_xll.DBGET(#REF!,#REF!,#REF!,#REF!,#REF!,#REF!,#REF!,$M$1,#REF!,#REF!,$B29)+_xll.DBGET(#REF!,#REF!,#REF!,#REF!,#REF!,#REF!,#REF!,$M$1,#REF!,#REF!,$C29))/(H$8*1000)</f>
        <v>0</v>
      </c>
      <c r="I29" s="37">
        <f ca="1">H29-G29</f>
        <v>0</v>
      </c>
      <c r="J29" s="30"/>
      <c r="L29" s="135"/>
      <c r="M29" s="136"/>
      <c r="N29" s="136"/>
      <c r="O29" s="136"/>
      <c r="P29" s="136"/>
      <c r="Q29" s="137"/>
    </row>
    <row r="30" spans="1:17" s="160" customFormat="1" collapsed="1" x14ac:dyDescent="0.35">
      <c r="A30" s="34" t="s">
        <v>90</v>
      </c>
      <c r="B30" s="35" t="str">
        <f ca="1">_xll.DE.NAME(#REF!,"DXMEAS_S","CHEM PKG")</f>
        <v>CHEM PKG</v>
      </c>
      <c r="C30" s="35"/>
      <c r="D30" s="155">
        <f ca="1">_xll.DBGET(#REF!,#REF!,#REF!,#REF!,#REF!,#REF!,#REF!,$M$1,#REF!,#REF!,$B30)</f>
        <v>0</v>
      </c>
      <c r="E30" s="133">
        <f ca="1">_xll.DBGET(#REF!,#REF!,#REF!,#REF!,#REF!,#REF!,#REF!,$M$1,#REF!,#REF!,$B30)</f>
        <v>0</v>
      </c>
      <c r="F30" s="133">
        <f t="shared" ca="1" si="3"/>
        <v>0</v>
      </c>
      <c r="G30" s="52">
        <f ca="1">(_xll.DBGET(#REF!,#REF!,#REF!,#REF!,#REF!,#REF!,#REF!,$M$1,#REF!,#REF!,$B30))/(G$8*1000)</f>
        <v>0</v>
      </c>
      <c r="H30" s="37">
        <f ca="1">(_xll.DBGET(#REF!,#REF!,#REF!,#REF!,#REF!,#REF!,#REF!,$M$1,#REF!,#REF!,$B30))/(H$8*1000)</f>
        <v>0</v>
      </c>
      <c r="I30" s="37">
        <f t="shared" ca="1" si="4"/>
        <v>0</v>
      </c>
      <c r="J30" s="30"/>
      <c r="L30" s="135"/>
      <c r="M30" s="136"/>
      <c r="N30" s="136"/>
      <c r="O30" s="136"/>
      <c r="P30" s="136"/>
      <c r="Q30" s="137"/>
    </row>
    <row r="31" spans="1:17" s="160" customFormat="1" x14ac:dyDescent="0.35">
      <c r="A31" s="34" t="s">
        <v>93</v>
      </c>
      <c r="B31" s="35" t="str">
        <f ca="1">_xll.DE.NAME(#REF!,"DXMEAS_S","WHS PKG")</f>
        <v>WHS PKG</v>
      </c>
      <c r="C31" s="35"/>
      <c r="D31" s="155">
        <f ca="1">_xll.DBGET(#REF!,#REF!,#REF!,#REF!,#REF!,#REF!,#REF!,$M$1,#REF!,#REF!,$B31)</f>
        <v>0</v>
      </c>
      <c r="E31" s="133">
        <f ca="1">_xll.DBGET(#REF!,#REF!,#REF!,#REF!,#REF!,#REF!,#REF!,$M$1,#REF!,#REF!,$B31)</f>
        <v>0</v>
      </c>
      <c r="F31" s="133">
        <f ca="1">E31-D31</f>
        <v>0</v>
      </c>
      <c r="G31" s="52">
        <f ca="1">(_xll.DBGET(#REF!,#REF!,#REF!,#REF!,#REF!,#REF!,#REF!,$M$1,#REF!,#REF!,$B31))/(G$8*1000)</f>
        <v>0</v>
      </c>
      <c r="H31" s="37">
        <f ca="1">(_xll.DBGET(#REF!,#REF!,#REF!,#REF!,#REF!,#REF!,#REF!,$M$1,#REF!,#REF!,$B31))/(H$8*1000)</f>
        <v>0</v>
      </c>
      <c r="I31" s="37">
        <f ca="1">H31-G31</f>
        <v>0</v>
      </c>
      <c r="J31" s="30"/>
      <c r="L31" s="135"/>
      <c r="M31" s="136"/>
      <c r="N31" s="136"/>
      <c r="O31" s="136"/>
      <c r="P31" s="136"/>
      <c r="Q31" s="137"/>
    </row>
    <row r="32" spans="1:17" s="160" customFormat="1" x14ac:dyDescent="0.35">
      <c r="A32" s="34" t="s">
        <v>94</v>
      </c>
      <c r="B32" s="35" t="str">
        <f ca="1">_xll.DE.NAME(#REF!,"DXMEAS_S","OFSHRTPUT")</f>
        <v>OFSHRTPUT</v>
      </c>
      <c r="C32" s="35"/>
      <c r="D32" s="155">
        <f ca="1">_xll.DBGET(#REF!,#REF!,#REF!,#REF!,#REF!,#REF!,#REF!,$M$1,#REF!,#REF!,$B32)</f>
        <v>0</v>
      </c>
      <c r="E32" s="133">
        <f ca="1">_xll.DBGET(#REF!,#REF!,#REF!,#REF!,#REF!,#REF!,#REF!,$M$1,#REF!,#REF!,$B32)</f>
        <v>0</v>
      </c>
      <c r="F32" s="133">
        <f ca="1">E32-D32</f>
        <v>0</v>
      </c>
      <c r="G32" s="52">
        <f ca="1">(_xll.DBGET(#REF!,#REF!,#REF!,#REF!,#REF!,#REF!,#REF!,$M$1,#REF!,#REF!,$B32))/(G$8*1000)</f>
        <v>0</v>
      </c>
      <c r="H32" s="37">
        <f ca="1">(_xll.DBGET(#REF!,#REF!,#REF!,#REF!,#REF!,#REF!,#REF!,$M$1,#REF!,#REF!,$B32))/(H$8*1000)</f>
        <v>0</v>
      </c>
      <c r="I32" s="37">
        <f ca="1">H32-G32</f>
        <v>0</v>
      </c>
      <c r="J32" s="30"/>
      <c r="L32" s="135"/>
      <c r="M32" s="136"/>
      <c r="N32" s="136"/>
      <c r="O32" s="136"/>
      <c r="P32" s="136"/>
      <c r="Q32" s="137"/>
    </row>
    <row r="33" spans="1:17" s="160" customFormat="1" x14ac:dyDescent="0.35">
      <c r="A33" s="34" t="s">
        <v>91</v>
      </c>
      <c r="B33" s="35" t="str">
        <f ca="1">_xll.DE.NAME(#REF!,"DXMEAS_S","EDC")</f>
        <v>EDC</v>
      </c>
      <c r="C33" s="35"/>
      <c r="D33" s="48">
        <f ca="1">_xll.DBGET(#REF!,#REF!,#REF!,#REF!,#REF!,#REF!,#REF!,$M$1,#REF!,#REF!,$B33)</f>
        <v>113302.54</v>
      </c>
      <c r="E33" s="36">
        <f ca="1">_xll.DBGET(#REF!,#REF!,#REF!,#REF!,#REF!,#REF!,#REF!,$M$1,#REF!,#REF!,$B33)</f>
        <v>250257.46299999999</v>
      </c>
      <c r="F33" s="36">
        <f t="shared" ca="1" si="3"/>
        <v>136954.92300000001</v>
      </c>
      <c r="G33" s="52">
        <f ca="1">(_xll.DBGET(#REF!,#REF!,#REF!,#REF!,#REF!,#REF!,#REF!,$M$1,#REF!,#REF!,$B33))/(G$8*1000)</f>
        <v>0.16930815335717242</v>
      </c>
      <c r="H33" s="37">
        <f ca="1">(_xll.DBGET(#REF!,#REF!,#REF!,#REF!,#REF!,#REF!,#REF!,$M$1,#REF!,#REF!,$B33))/(H$8*1000)</f>
        <v>0.29528904188790561</v>
      </c>
      <c r="I33" s="37">
        <f t="shared" ca="1" si="4"/>
        <v>0.12598088853073319</v>
      </c>
      <c r="J33" s="30"/>
      <c r="L33" s="135"/>
      <c r="M33" s="136"/>
      <c r="N33" s="136"/>
      <c r="O33" s="136"/>
      <c r="P33" s="136"/>
      <c r="Q33" s="137"/>
    </row>
    <row r="34" spans="1:17" s="160" customFormat="1" x14ac:dyDescent="0.35">
      <c r="A34" s="34" t="s">
        <v>95</v>
      </c>
      <c r="B34" s="35" t="str">
        <f ca="1">_xll.DE.NAME(#REF!,"DXMEAS_S","Disport SRVL")</f>
        <v>Disport SRVL</v>
      </c>
      <c r="C34" s="35"/>
      <c r="D34" s="48">
        <f ca="1">_xll.DBGET(#REF!,#REF!,#REF!,#REF!,#REF!,#REF!,#REF!,$M$1,#REF!,#REF!,$B34)</f>
        <v>214765.98300000001</v>
      </c>
      <c r="E34" s="36">
        <f ca="1">_xll.DBGET(#REF!,#REF!,#REF!,#REF!,#REF!,#REF!,#REF!,$M$1,#REF!,#REF!,$B34)</f>
        <v>230943.75</v>
      </c>
      <c r="F34" s="36">
        <f t="shared" ca="1" si="3"/>
        <v>16177.766999999993</v>
      </c>
      <c r="G34" s="52">
        <f ca="1">(_xll.DBGET(#REF!,#REF!,#REF!,#REF!,#REF!,#REF!,#REF!,$M$1,#REF!,#REF!,$B34))/(G$8*1000)</f>
        <v>0.32092512652997796</v>
      </c>
      <c r="H34" s="37">
        <f ca="1">(_xll.DBGET(#REF!,#REF!,#REF!,#REF!,#REF!,#REF!,#REF!,$M$1,#REF!,#REF!,$B34))/(H$8*1000)</f>
        <v>0.27250000000000002</v>
      </c>
      <c r="I34" s="37">
        <f t="shared" ca="1" si="4"/>
        <v>-4.8425126529977935E-2</v>
      </c>
      <c r="J34" s="30"/>
      <c r="L34" s="135"/>
      <c r="M34" s="136"/>
      <c r="N34" s="136"/>
      <c r="O34" s="136"/>
      <c r="P34" s="136"/>
      <c r="Q34" s="137"/>
    </row>
    <row r="35" spans="1:17" s="160" customFormat="1" x14ac:dyDescent="0.35">
      <c r="A35" s="34" t="s">
        <v>96</v>
      </c>
      <c r="B35" s="35" t="str">
        <f ca="1">_xll.DE.NAME(#REF!,"DXMEAS_S","AllTons")</f>
        <v>AllTons</v>
      </c>
      <c r="C35" s="35"/>
      <c r="D35" s="48">
        <f ca="1">_xll.DBGET(#REF!,#REF!,#REF!,#REF!,#REF!,#REF!,#REF!,$M$1,#REF!,#REF!,$B35)</f>
        <v>-54149.006600000001</v>
      </c>
      <c r="E35" s="36">
        <f ca="1">_xll.DBGET(#REF!,#REF!,#REF!,#REF!,#REF!,#REF!,#REF!,$M$1,#REF!,#REF!,$B35)</f>
        <v>140515.5</v>
      </c>
      <c r="F35" s="36">
        <f t="shared" ca="1" si="3"/>
        <v>194664.50659999999</v>
      </c>
      <c r="G35" s="52">
        <f ca="1">(_xll.DBGET(#REF!,#REF!,#REF!,#REF!,#REF!,#REF!,#REF!,$M$1,#REF!,#REF!,$B35))/(G$8*1000)</f>
        <v>-8.0914940773360783E-2</v>
      </c>
      <c r="H35" s="37">
        <f ca="1">(_xll.DBGET(#REF!,#REF!,#REF!,#REF!,#REF!,#REF!,#REF!,$M$1,#REF!,#REF!,$B35))/(H$8*1000)</f>
        <v>0.1658</v>
      </c>
      <c r="I35" s="37">
        <f t="shared" ca="1" si="4"/>
        <v>0.24671494077336079</v>
      </c>
      <c r="J35" s="30"/>
      <c r="L35" s="135"/>
      <c r="M35" s="136"/>
      <c r="N35" s="136"/>
      <c r="O35" s="136"/>
      <c r="P35" s="136"/>
      <c r="Q35" s="137"/>
    </row>
    <row r="36" spans="1:17" s="160" customFormat="1" hidden="1" outlineLevel="1" x14ac:dyDescent="0.35">
      <c r="A36" s="34" t="s">
        <v>110</v>
      </c>
      <c r="B36" s="35" t="s">
        <v>115</v>
      </c>
      <c r="C36" s="35"/>
      <c r="D36" s="36">
        <f ca="1">_xll.DBGET(#REF!,#REF!,#REF!,#REF!,#REF!,#REF!,#REF!,$M$1,#REF!,#REF!,$B36)-_xll.DBGET(#REF!,#REF!,#REF!,#REF!,#REF!,#REF!,#REF!,$M$1,#REF!,#REF!,$B28)-_xll.DBGET(#REF!,#REF!,#REF!,#REF!,#REF!,#REF!,#REF!,$M$1,#REF!,#REF!,$B29)-D32-D31-D33-D30</f>
        <v>850482.89</v>
      </c>
      <c r="E36" s="36">
        <f ca="1">_xll.DBGET(#REF!,#REF!,#REF!,#REF!,#REF!,#REF!,#REF!,$M$1,#REF!,#REF!,$B36)-_xll.DBGET(#REF!,#REF!,#REF!,#REF!,#REF!,#REF!,#REF!,$M$1,#REF!,#REF!,$B28)-_xll.DBGET(#REF!,#REF!,#REF!,#REF!,#REF!,#REF!,#REF!,$M$1,#REF!,#REF!,$B29)-E32-E31-E33-E30</f>
        <v>0</v>
      </c>
      <c r="F36" s="36">
        <f ca="1">E36-D36</f>
        <v>-850482.89</v>
      </c>
      <c r="G36" s="52">
        <f ca="1">(_xll.DBGET(#REF!,#REF!,#REF!,#REF!,#REF!,#REF!,#REF!,$M$1,#REF!,#REF!,$B36)-_xll.DBGET(#REF!,#REF!,#REF!,#REF!,#REF!,#REF!,#REF!,$M$1,#REF!,#REF!,$B28)-_xll.DBGET(#REF!,#REF!,#REF!,#REF!,#REF!,#REF!,#REF!,$M$1,#REF!,#REF!,$B29))/(G$8*1000)-G32-G31-G33-G30</f>
        <v>1.270877842348205</v>
      </c>
      <c r="H36" s="37">
        <f ca="1">(_xll.DBGET(#REF!,#REF!,#REF!,#REF!,#REF!,#REF!,#REF!,$M$1,#REF!,#REF!,$B36)-_xll.DBGET(#REF!,#REF!,#REF!,#REF!,#REF!,#REF!,#REF!,$M$1,#REF!,#REF!,$B28)-_xll.DBGET(#REF!,#REF!,#REF!,#REF!,#REF!,#REF!,#REF!,$M$1,#REF!,#REF!,$B29))/(H$8*1000)-H32-H31-H33-H30</f>
        <v>0</v>
      </c>
      <c r="I36" s="37">
        <f ca="1">H36-G36</f>
        <v>-1.270877842348205</v>
      </c>
      <c r="J36" s="30"/>
      <c r="K36" s="134"/>
      <c r="L36" s="135"/>
      <c r="M36" s="136"/>
      <c r="N36" s="136"/>
      <c r="O36" s="136"/>
      <c r="P36" s="136"/>
      <c r="Q36" s="137"/>
    </row>
    <row r="37" spans="1:17" s="160" customFormat="1" collapsed="1" x14ac:dyDescent="0.35">
      <c r="A37" s="40" t="s">
        <v>101</v>
      </c>
      <c r="B37" s="35"/>
      <c r="C37" s="35"/>
      <c r="D37" s="51">
        <f ca="1">SUM(D22:D36)-D23</f>
        <v>18882290.676400002</v>
      </c>
      <c r="E37" s="43">
        <f ca="1">SUM(E22:E36)-E23</f>
        <v>22238811.3961</v>
      </c>
      <c r="F37" s="43">
        <f ca="1">E37-D37</f>
        <v>3356520.7196999975</v>
      </c>
      <c r="G37" s="55">
        <f ca="1">SUM(G22:G36)-G23</f>
        <v>28.215834928101689</v>
      </c>
      <c r="H37" s="44">
        <f ca="1">SUM(H22:H36)-H23</f>
        <v>26.240485423126835</v>
      </c>
      <c r="I37" s="44">
        <f ca="1">H37-G37</f>
        <v>-1.9753495049748544</v>
      </c>
      <c r="J37" s="30"/>
      <c r="L37" s="135"/>
      <c r="M37" s="136"/>
      <c r="N37" s="136"/>
      <c r="O37" s="136"/>
      <c r="P37" s="136"/>
      <c r="Q37" s="137"/>
    </row>
    <row r="38" spans="1:17" s="160" customFormat="1" ht="22.5" customHeight="1" x14ac:dyDescent="0.35">
      <c r="A38" s="40" t="s">
        <v>97</v>
      </c>
      <c r="B38" s="35" t="str">
        <f ca="1">_xll.DE.NAME(#REF!,"DXMEAS_S","Net FOB Port")</f>
        <v>Net FOB Port</v>
      </c>
      <c r="C38" s="35"/>
      <c r="D38" s="50">
        <f ca="1">_xll.DBGET(#REF!,#REF!,#REF!,#REF!,#REF!,#REF!,#REF!,$M$1,#REF!,#REF!,$B38)</f>
        <v>136062382.18360001</v>
      </c>
      <c r="E38" s="41">
        <f ca="1">_xll.DBGET(#REF!,#REF!,#REF!,#REF!,#REF!,#REF!,#REF!,$M$1,#REF!,#REF!,$B38)</f>
        <v>186702663.60389999</v>
      </c>
      <c r="F38" s="41">
        <f ca="1">D38-E38</f>
        <v>-50640281.420299977</v>
      </c>
      <c r="G38" s="54">
        <f ca="1">(_xll.DBGET(#REF!,#REF!,#REF!,#REF!,#REF!,#REF!,#REF!,$M$1,#REF!,#REF!,$B38))/(G$8*1000)</f>
        <v>203.31821924630424</v>
      </c>
      <c r="H38" s="42">
        <f ca="1">(_xll.DBGET(#REF!,#REF!,#REF!,#REF!,#REF!,#REF!,#REF!,$M$1,#REF!,#REF!,$B38))/(H$8*1000)</f>
        <v>220.29812814619467</v>
      </c>
      <c r="I38" s="42">
        <f ca="1">G38-H38</f>
        <v>-16.979908899890432</v>
      </c>
      <c r="J38" s="30"/>
      <c r="L38" s="141">
        <f ca="1">D38+D37-D20</f>
        <v>0</v>
      </c>
      <c r="M38" s="142">
        <f ca="1">E38+E37-E20</f>
        <v>0</v>
      </c>
      <c r="N38" s="142">
        <f ca="1">F38-F37-F20</f>
        <v>0</v>
      </c>
      <c r="O38" s="151">
        <f ca="1">G38+G37-G20</f>
        <v>0</v>
      </c>
      <c r="P38" s="151">
        <f ca="1">H38+H37-H20</f>
        <v>0</v>
      </c>
      <c r="Q38" s="150">
        <f ca="1">I38-I37-I20</f>
        <v>3.907985046680551E-14</v>
      </c>
    </row>
    <row r="39" spans="1:17" s="160" customFormat="1" ht="22.5" customHeight="1" x14ac:dyDescent="0.35">
      <c r="A39" s="34" t="s">
        <v>98</v>
      </c>
      <c r="B39" s="35" t="str">
        <f ca="1">_xll.DE.NAME(#REF!,"DXMEAS_S","INLAND")</f>
        <v>INLAND</v>
      </c>
      <c r="C39" s="35"/>
      <c r="D39" s="155">
        <f ca="1">_xll.DBGET(#REF!,#REF!,#REF!,#REF!,#REF!,#REF!,#REF!,$M$1,#REF!,#REF!,$B39)</f>
        <v>20889726.631299999</v>
      </c>
      <c r="E39" s="36">
        <f ca="1">_xll.DBGET(#REF!,#REF!,#REF!,#REF!,#REF!,#REF!,#REF!,$M$1,#REF!,#REF!,$B39)</f>
        <v>26638963.239916999</v>
      </c>
      <c r="F39" s="36">
        <f ca="1">E39-D39</f>
        <v>5749236.6086170003</v>
      </c>
      <c r="G39" s="52">
        <f ca="1">(_xll.DBGET(#REF!,#REF!,#REF!,#REF!,#REF!,#REF!,#REF!,$M$1,#REF!,#REF!,$B39))/(G$8*1000)</f>
        <v>31.215549449125756</v>
      </c>
      <c r="H39" s="37">
        <f ca="1">(_xll.DBGET(#REF!,#REF!,#REF!,#REF!,#REF!,#REF!,#REF!,$M$1,#REF!,#REF!,$B39))/(H$8*1000)</f>
        <v>31.432405002851915</v>
      </c>
      <c r="I39" s="37">
        <f ca="1">H39-G39</f>
        <v>0.21685555372615894</v>
      </c>
      <c r="J39" s="30"/>
      <c r="L39" s="135"/>
      <c r="M39" s="136"/>
      <c r="N39" s="136"/>
      <c r="O39" s="136"/>
      <c r="P39" s="136"/>
      <c r="Q39" s="137"/>
    </row>
    <row r="40" spans="1:17" s="160" customFormat="1" x14ac:dyDescent="0.35">
      <c r="A40" s="34" t="s">
        <v>72</v>
      </c>
      <c r="B40" s="35" t="str">
        <f ca="1">_xll.DE.NAME(#REF!,"DXMEAS_S","TERMINAL")</f>
        <v>TERMINAL</v>
      </c>
      <c r="C40" s="35"/>
      <c r="D40" s="48">
        <f ca="1">_xll.DBGET(#REF!,#REF!,#REF!,#REF!,#REF!,#REF!,#REF!,$M$1,#REF!,#REF!,$B40)</f>
        <v>7453095.9551999997</v>
      </c>
      <c r="E40" s="36">
        <f ca="1">_xll.DBGET(#REF!,#REF!,#REF!,#REF!,#REF!,#REF!,#REF!,$M$1,#REF!,#REF!,$B40)</f>
        <v>10336374.888967</v>
      </c>
      <c r="F40" s="36">
        <f ca="1">E40-D40</f>
        <v>2883278.9337670002</v>
      </c>
      <c r="G40" s="52">
        <f ca="1">(_xll.DBGET(#REF!,#REF!,#REF!,#REF!,#REF!,#REF!,#REF!,$M$1,#REF!,#REF!,$B40))/(G$8*1000)</f>
        <v>11.137172326134287</v>
      </c>
      <c r="H40" s="37">
        <f ca="1">(_xll.DBGET(#REF!,#REF!,#REF!,#REF!,#REF!,#REF!,#REF!,$M$1,#REF!,#REF!,$B40))/(H$8*1000)</f>
        <v>12.196312553353392</v>
      </c>
      <c r="I40" s="37">
        <f ca="1">H40-G40</f>
        <v>1.0591402272191051</v>
      </c>
      <c r="J40" s="30"/>
      <c r="L40" s="135"/>
      <c r="M40" s="136"/>
      <c r="N40" s="136"/>
      <c r="O40" s="136"/>
      <c r="P40" s="136"/>
      <c r="Q40" s="137"/>
    </row>
    <row r="41" spans="1:17" s="160" customFormat="1" x14ac:dyDescent="0.35">
      <c r="A41" s="34" t="s">
        <v>99</v>
      </c>
      <c r="B41" s="35" t="str">
        <f ca="1">_xll.DE.NAME(#REF!,"DXMEAS_S","S&amp;A")</f>
        <v>S&amp;A</v>
      </c>
      <c r="C41" s="35"/>
      <c r="D41" s="48">
        <f ca="1">_xll.DBGET(#REF!,#REF!,#REF!,#REF!,#REF!,#REF!,#REF!,$M$1,#REF!,#REF!,$B41)</f>
        <v>3379209.3753999998</v>
      </c>
      <c r="E41" s="36">
        <f ca="1">_xll.DBGET(#REF!,#REF!,#REF!,#REF!,#REF!,#REF!,#REF!,$M$1,#REF!,#REF!,$B41)</f>
        <v>6337196.807</v>
      </c>
      <c r="F41" s="36">
        <f ca="1">E41-D41</f>
        <v>2957987.4316000002</v>
      </c>
      <c r="G41" s="52">
        <f ca="1">(_xll.DBGET(#REF!,#REF!,#REF!,#REF!,#REF!,#REF!,#REF!,$M$1,#REF!,#REF!,$B41))/(G$8*1000)</f>
        <v>5.0495575752866442</v>
      </c>
      <c r="H41" s="37">
        <f ca="1">(_xll.DBGET(#REF!,#REF!,#REF!,#REF!,#REF!,#REF!,#REF!,$M$1,#REF!,#REF!,$B41))/(H$8*1000)</f>
        <v>7.4775183563421832</v>
      </c>
      <c r="I41" s="37">
        <f ca="1">H41-G41</f>
        <v>2.427960781055539</v>
      </c>
      <c r="J41" s="30"/>
      <c r="L41" s="135"/>
      <c r="M41" s="136"/>
      <c r="N41" s="136"/>
      <c r="O41" s="136"/>
      <c r="P41" s="136"/>
      <c r="Q41" s="137"/>
    </row>
    <row r="42" spans="1:17" s="160" customFormat="1" hidden="1" outlineLevel="1" x14ac:dyDescent="0.35">
      <c r="A42" s="34" t="s">
        <v>116</v>
      </c>
      <c r="B42" s="35"/>
      <c r="C42" s="35"/>
      <c r="D42" s="48">
        <f ca="1">SUM(#REF!)</f>
        <v>9347411</v>
      </c>
      <c r="E42" s="36">
        <f ca="1">SUM(#REF!)</f>
        <v>10129974</v>
      </c>
      <c r="F42" s="36">
        <f ca="1">E42-D42</f>
        <v>782563</v>
      </c>
      <c r="G42" s="52">
        <f ca="1">D42/(G$8*1000)</f>
        <v>13.967850103629807</v>
      </c>
      <c r="H42" s="37">
        <f ca="1">E42/(H$8*1000)</f>
        <v>11.952771681415928</v>
      </c>
      <c r="I42" s="37">
        <f ca="1">H42-G42</f>
        <v>-2.0150784222138789</v>
      </c>
      <c r="J42" s="30"/>
      <c r="L42" s="135"/>
      <c r="M42" s="136"/>
      <c r="N42" s="136"/>
      <c r="O42" s="136"/>
      <c r="P42" s="136"/>
      <c r="Q42" s="137"/>
    </row>
    <row r="43" spans="1:17" s="160" customFormat="1" hidden="1" outlineLevel="1" x14ac:dyDescent="0.35">
      <c r="A43" s="34" t="s">
        <v>117</v>
      </c>
      <c r="B43" s="35"/>
      <c r="C43" s="35"/>
      <c r="D43" s="48">
        <f ca="1">D41-D42</f>
        <v>-5968201.6246000007</v>
      </c>
      <c r="E43" s="36">
        <f ca="1">E41-E42</f>
        <v>-3792777.193</v>
      </c>
      <c r="F43" s="36">
        <f ca="1">E43-D43</f>
        <v>2175424.4316000007</v>
      </c>
      <c r="G43" s="52">
        <f ca="1">D43/(G$8*1000)</f>
        <v>-8.918292528343164</v>
      </c>
      <c r="H43" s="37">
        <f ca="1">E43/(H$8*1000)</f>
        <v>-4.4752533250737461</v>
      </c>
      <c r="I43" s="37">
        <f ca="1">H43-G43</f>
        <v>4.4430392032694179</v>
      </c>
      <c r="J43" s="30"/>
      <c r="L43" s="135"/>
      <c r="M43" s="136"/>
      <c r="N43" s="136"/>
      <c r="O43" s="136"/>
      <c r="P43" s="136"/>
      <c r="Q43" s="137"/>
    </row>
    <row r="44" spans="1:17" s="160" customFormat="1" ht="15" customHeight="1" collapsed="1" x14ac:dyDescent="0.35">
      <c r="A44" s="45"/>
      <c r="B44" s="45"/>
      <c r="C44" s="45"/>
      <c r="D44" s="48"/>
      <c r="E44" s="36"/>
      <c r="F44" s="36"/>
      <c r="G44" s="52"/>
      <c r="H44" s="37"/>
      <c r="I44" s="37"/>
      <c r="J44" s="30"/>
      <c r="L44" s="135"/>
      <c r="M44" s="136"/>
      <c r="N44" s="136"/>
      <c r="O44" s="136"/>
      <c r="P44" s="136"/>
      <c r="Q44" s="137"/>
    </row>
    <row r="45" spans="1:17" x14ac:dyDescent="0.35">
      <c r="A45" s="101" t="s">
        <v>73</v>
      </c>
      <c r="B45" s="102" t="str">
        <f ca="1">_xll.DE.NAME(#REF!,"DXMEAS_S","Netback ($/mt)")</f>
        <v>Netback ($/mt)</v>
      </c>
      <c r="C45" s="102"/>
      <c r="D45" s="103">
        <f ca="1">(_xll.DBGET(#REF!,#REF!,#REF!,#REF!,#REF!,#REF!,#REF!,$M$1,#REF!,#REF!,$B45)*_xll.DBGET(#REF!,#REF!,#REF!,#REF!,#REF!,#REF!,#REF!,$M$1,#REF!,#REF!,#REF!))</f>
        <v>104340350.22170165</v>
      </c>
      <c r="E45" s="104">
        <f ca="1">(_xll.DBGET(#REF!,#REF!,#REF!,#REF!,#REF!,#REF!,#REF!,$M$1,#REF!,#REF!,$B45)*_xll.DBGET(#REF!,#REF!,#REF!,#REF!,#REF!,#REF!,#REF!,$M$1,#REF!,#REF!,#REF!))</f>
        <v>143390128.66801837</v>
      </c>
      <c r="F45" s="104">
        <f ca="1">D45-E45</f>
        <v>-39049778.446316719</v>
      </c>
      <c r="G45" s="119">
        <f ca="1">D45/(G8*1000)</f>
        <v>155.91593989576</v>
      </c>
      <c r="H45" s="105">
        <f ca="1">E45/(H8*1000)</f>
        <v>169.19189223365001</v>
      </c>
      <c r="I45" s="105">
        <f ca="1">G45-H45</f>
        <v>-13.275952337890004</v>
      </c>
      <c r="J45" s="29"/>
      <c r="L45" s="147">
        <f ca="1">D45+D41+D40+D39-D38</f>
        <v>1.6391277313232422E-6</v>
      </c>
      <c r="M45" s="148">
        <f ca="1">E45+E41+E40+E39-E38</f>
        <v>2.4139881134033203E-6</v>
      </c>
      <c r="N45" s="148">
        <f ca="1">F45-F41-F40-F39-F38</f>
        <v>-7.3760747909545898E-7</v>
      </c>
      <c r="O45" s="148">
        <f ca="1">G45+G41+G40+G39-G38</f>
        <v>2.4442670110147446E-12</v>
      </c>
      <c r="P45" s="148">
        <f ca="1">H45+H41+H40+H39-H38</f>
        <v>2.8137492336099967E-12</v>
      </c>
      <c r="Q45" s="149">
        <f ca="1">I45-I41-I40-I39-I38</f>
        <v>-3.730349362740526E-13</v>
      </c>
    </row>
    <row r="46" spans="1:17" x14ac:dyDescent="0.35">
      <c r="A46" s="28"/>
      <c r="B46" s="28"/>
      <c r="C46" s="28"/>
      <c r="D46" s="28"/>
      <c r="E46" s="28"/>
      <c r="F46" s="28"/>
      <c r="G46" s="28"/>
      <c r="H46" s="28"/>
      <c r="I46" s="28"/>
      <c r="J46" s="28"/>
      <c r="L46" s="144"/>
      <c r="M46" s="145"/>
      <c r="N46" s="145"/>
      <c r="O46" s="145"/>
      <c r="P46" s="145"/>
      <c r="Q46" s="146"/>
    </row>
    <row r="47" spans="1:17" x14ac:dyDescent="0.35">
      <c r="A47" s="156" t="s">
        <v>118</v>
      </c>
      <c r="G47" s="152"/>
    </row>
    <row r="48" spans="1:17" x14ac:dyDescent="0.35">
      <c r="G48" s="152"/>
    </row>
    <row r="50" spans="1:6" x14ac:dyDescent="0.35">
      <c r="A50" s="159" t="s">
        <v>129</v>
      </c>
      <c r="C50" s="156" t="s">
        <v>128</v>
      </c>
      <c r="D50" s="157">
        <f ca="1">(D23)/(1000*D6)</f>
        <v>26.535638746639687</v>
      </c>
      <c r="E50" s="157">
        <f ca="1">E23/(1000*E6)</f>
        <v>25.506896381238938</v>
      </c>
      <c r="F50" s="157">
        <f ca="1">E50-D50</f>
        <v>-1.028742365400749</v>
      </c>
    </row>
  </sheetData>
  <mergeCells count="2">
    <mergeCell ref="A1:J1"/>
    <mergeCell ref="L9:Q9"/>
  </mergeCells>
  <conditionalFormatting sqref="L14:Q45">
    <cfRule type="cellIs" dxfId="1" priority="1" operator="lessThanOrEqual">
      <formula>-0.006</formula>
    </cfRule>
    <cfRule type="cellIs" dxfId="0" priority="2" operator="greaterThanOrEqual">
      <formula>0.006</formula>
    </cfRule>
  </conditionalFormatting>
  <pageMargins left="0.70866141732283472" right="0.70866141732283472" top="0.74803149606299213" bottom="0.74803149606299213" header="0.31496062992125984" footer="0.31496062992125984"/>
  <pageSetup scale="84" orientation="landscape" r:id="rId1"/>
  <customProperties>
    <customPr name="IbpWorksheetKeyString_GUID" r:id="rId2"/>
    <customPr name="REPORT_C2UN_CONVERTER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5"/>
    <pageSetUpPr fitToPage="1"/>
  </sheetPr>
  <dimension ref="A1:AD37"/>
  <sheetViews>
    <sheetView showGridLines="0" tabSelected="1" zoomScale="90" zoomScaleNormal="90" workbookViewId="0">
      <selection activeCell="B2" sqref="B1:B1048576"/>
    </sheetView>
  </sheetViews>
  <sheetFormatPr defaultRowHeight="14.5" x14ac:dyDescent="0.35"/>
  <cols>
    <col min="1" max="1" width="14" customWidth="1"/>
    <col min="2" max="2" width="14" style="156" customWidth="1"/>
    <col min="3" max="3" width="8.453125" customWidth="1"/>
    <col min="4" max="4" width="11.7265625" style="22" customWidth="1"/>
    <col min="5" max="5" width="14.7265625" style="22" customWidth="1"/>
    <col min="6" max="6" width="11.7265625" customWidth="1"/>
    <col min="7" max="7" width="14.7265625" customWidth="1"/>
    <col min="8" max="8" width="11.7265625" style="22" customWidth="1"/>
    <col min="9" max="9" width="17" style="22" customWidth="1"/>
    <col min="10" max="10" width="11.7265625" style="22" customWidth="1"/>
    <col min="11" max="11" width="14.7265625" style="22" customWidth="1"/>
    <col min="12" max="12" width="11.7265625" style="22" customWidth="1"/>
    <col min="13" max="13" width="14.7265625" style="22" customWidth="1"/>
    <col min="14" max="14" width="11.7265625" customWidth="1"/>
    <col min="15" max="15" width="14.7265625" customWidth="1"/>
    <col min="16" max="16" width="11.7265625" style="22" customWidth="1"/>
    <col min="17" max="17" width="14.7265625" style="22" customWidth="1"/>
    <col min="18" max="18" width="11.7265625" style="22" customWidth="1"/>
    <col min="19" max="19" width="14.7265625" style="22" customWidth="1"/>
    <col min="20" max="20" width="11.7265625" style="22" customWidth="1"/>
    <col min="21" max="21" width="14.7265625" style="22" customWidth="1"/>
    <col min="22" max="22" width="11.7265625" style="22" customWidth="1"/>
    <col min="23" max="23" width="14.7265625" style="22" customWidth="1"/>
    <col min="24" max="24" width="7.54296875" customWidth="1"/>
    <col min="26" max="26" width="16" bestFit="1" customWidth="1"/>
    <col min="28" max="28" width="16" bestFit="1" customWidth="1"/>
    <col min="29" max="29" width="13.81640625" customWidth="1"/>
    <col min="30" max="30" width="16" bestFit="1" customWidth="1"/>
  </cols>
  <sheetData>
    <row r="1" spans="1:30" ht="26.5" x14ac:dyDescent="0.85">
      <c r="A1" s="167" t="s">
        <v>60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</row>
    <row r="2" spans="1:30" s="8" customFormat="1" ht="37.5" customHeight="1" x14ac:dyDescent="0.5">
      <c r="A2" s="106"/>
      <c r="B2" s="110"/>
      <c r="C2" s="106"/>
      <c r="D2" s="171" t="s">
        <v>136</v>
      </c>
      <c r="E2" s="171"/>
      <c r="F2" s="171" t="s">
        <v>137</v>
      </c>
      <c r="G2" s="171"/>
      <c r="H2" s="171" t="s">
        <v>138</v>
      </c>
      <c r="I2" s="171"/>
      <c r="J2" s="171" t="s">
        <v>139</v>
      </c>
      <c r="K2" s="171"/>
      <c r="L2" s="171" t="s">
        <v>140</v>
      </c>
      <c r="M2" s="171"/>
      <c r="N2" s="171" t="s">
        <v>141</v>
      </c>
      <c r="O2" s="171"/>
      <c r="P2" s="171" t="s">
        <v>142</v>
      </c>
      <c r="Q2" s="171"/>
      <c r="R2" s="171" t="s">
        <v>148</v>
      </c>
      <c r="S2" s="171"/>
      <c r="T2" s="171" t="s">
        <v>143</v>
      </c>
      <c r="U2" s="171"/>
      <c r="V2" s="171" t="s">
        <v>135</v>
      </c>
      <c r="W2" s="171"/>
    </row>
    <row r="3" spans="1:30" ht="16" x14ac:dyDescent="0.5">
      <c r="A3" s="107"/>
      <c r="B3" s="111"/>
      <c r="C3" s="107"/>
      <c r="D3" s="109" t="s">
        <v>0</v>
      </c>
      <c r="E3" s="108" t="s">
        <v>61</v>
      </c>
      <c r="F3" s="109" t="s">
        <v>0</v>
      </c>
      <c r="G3" s="108" t="s">
        <v>61</v>
      </c>
      <c r="H3" s="109" t="s">
        <v>0</v>
      </c>
      <c r="I3" s="108" t="s">
        <v>61</v>
      </c>
      <c r="J3" s="109" t="s">
        <v>0</v>
      </c>
      <c r="K3" s="108" t="s">
        <v>61</v>
      </c>
      <c r="L3" s="109" t="s">
        <v>0</v>
      </c>
      <c r="M3" s="108" t="s">
        <v>61</v>
      </c>
      <c r="N3" s="109" t="s">
        <v>0</v>
      </c>
      <c r="O3" s="108" t="s">
        <v>61</v>
      </c>
      <c r="P3" s="109" t="s">
        <v>0</v>
      </c>
      <c r="Q3" s="108" t="s">
        <v>61</v>
      </c>
      <c r="R3" s="109" t="s">
        <v>0</v>
      </c>
      <c r="S3" s="108" t="s">
        <v>61</v>
      </c>
      <c r="T3" s="109" t="s">
        <v>0</v>
      </c>
      <c r="U3" s="108" t="s">
        <v>61</v>
      </c>
      <c r="V3" s="109" t="s">
        <v>0</v>
      </c>
      <c r="W3" s="108" t="s">
        <v>61</v>
      </c>
      <c r="Y3" s="172"/>
      <c r="Z3" s="172"/>
      <c r="AA3" s="172"/>
      <c r="AB3" s="172"/>
      <c r="AC3" s="172"/>
      <c r="AD3" s="172"/>
    </row>
    <row r="4" spans="1:30" s="10" customFormat="1" x14ac:dyDescent="0.35">
      <c r="A4" s="9" t="s">
        <v>64</v>
      </c>
      <c r="B4" s="180" t="s">
        <v>65</v>
      </c>
      <c r="C4" s="2" t="s">
        <v>7</v>
      </c>
      <c r="D4" s="46">
        <v>9641373.1799999997</v>
      </c>
      <c r="E4" s="5">
        <v>160.02234892639001</v>
      </c>
      <c r="F4" s="46">
        <v>1170224.1969999999</v>
      </c>
      <c r="G4" s="5">
        <v>149.60894199558001</v>
      </c>
      <c r="H4" s="46">
        <v>1113477</v>
      </c>
      <c r="I4" s="5">
        <v>151.42157397304999</v>
      </c>
      <c r="J4" s="46">
        <v>736659</v>
      </c>
      <c r="K4" s="5">
        <v>150.26237542849</v>
      </c>
      <c r="L4" s="46">
        <v>775636</v>
      </c>
      <c r="M4" s="5">
        <v>148.15077426902999</v>
      </c>
      <c r="N4" s="46">
        <v>2467953.63</v>
      </c>
      <c r="O4" s="5">
        <v>175.66585436174</v>
      </c>
      <c r="P4" s="46">
        <v>3737921.21</v>
      </c>
      <c r="Q4" s="5">
        <v>156.17548399852001</v>
      </c>
      <c r="R4" s="46">
        <v>3435498.39</v>
      </c>
      <c r="S4" s="5">
        <v>152.97004580471</v>
      </c>
      <c r="T4" s="46">
        <v>3020360.1970000002</v>
      </c>
      <c r="U4" s="5">
        <v>150.43655243692001</v>
      </c>
      <c r="V4" s="46">
        <v>12661733.426999999</v>
      </c>
      <c r="W4" s="5">
        <v>157.73572945667999</v>
      </c>
      <c r="Z4" s="22"/>
      <c r="AB4" s="22"/>
    </row>
    <row r="5" spans="1:30" x14ac:dyDescent="0.35">
      <c r="A5" s="15" t="s">
        <v>1</v>
      </c>
      <c r="B5" s="181" t="s">
        <v>6</v>
      </c>
      <c r="C5" s="19" t="s">
        <v>7</v>
      </c>
      <c r="D5" s="47">
        <v>5802877</v>
      </c>
      <c r="E5" s="7">
        <v>160.71039273283</v>
      </c>
      <c r="F5" s="47">
        <v>755822</v>
      </c>
      <c r="G5" s="7">
        <v>149.18970198845</v>
      </c>
      <c r="H5" s="47">
        <v>660822</v>
      </c>
      <c r="I5" s="7">
        <v>148.21196489131</v>
      </c>
      <c r="J5" s="47">
        <v>434790</v>
      </c>
      <c r="K5" s="7">
        <v>142.55727124910001</v>
      </c>
      <c r="L5" s="47">
        <v>412736</v>
      </c>
      <c r="M5" s="7">
        <v>140.84244559525001</v>
      </c>
      <c r="N5" s="47">
        <v>1696337</v>
      </c>
      <c r="O5" s="7">
        <v>173.71224178993</v>
      </c>
      <c r="P5" s="47">
        <v>2150950</v>
      </c>
      <c r="Q5" s="7">
        <v>153.73869388684</v>
      </c>
      <c r="R5" s="47">
        <v>1955590</v>
      </c>
      <c r="S5" s="7">
        <v>157.10036098220999</v>
      </c>
      <c r="T5" s="47">
        <v>1851434</v>
      </c>
      <c r="U5" s="7">
        <v>147.28316643538</v>
      </c>
      <c r="V5" s="47">
        <v>7654311</v>
      </c>
      <c r="W5" s="7">
        <v>157.46259900027999</v>
      </c>
    </row>
    <row r="6" spans="1:30" x14ac:dyDescent="0.35">
      <c r="A6" s="56"/>
      <c r="B6" s="178" t="s">
        <v>6</v>
      </c>
      <c r="C6" s="61" t="s">
        <v>8</v>
      </c>
      <c r="D6" s="65">
        <v>4152369</v>
      </c>
      <c r="E6" s="63">
        <v>156.86649051871001</v>
      </c>
      <c r="F6" s="65">
        <v>539487</v>
      </c>
      <c r="G6" s="63">
        <v>143.23874259689001</v>
      </c>
      <c r="H6" s="65">
        <v>453735</v>
      </c>
      <c r="I6" s="63">
        <v>141.53192936204999</v>
      </c>
      <c r="J6" s="65">
        <v>290290</v>
      </c>
      <c r="K6" s="63">
        <v>137.01793663014999</v>
      </c>
      <c r="L6" s="65">
        <v>296650</v>
      </c>
      <c r="M6" s="63">
        <v>132.44883733244001</v>
      </c>
      <c r="N6" s="65">
        <v>1161229</v>
      </c>
      <c r="O6" s="63">
        <v>169.85412736506001</v>
      </c>
      <c r="P6" s="65">
        <v>1550263</v>
      </c>
      <c r="Q6" s="63">
        <v>152.54467234031</v>
      </c>
      <c r="R6" s="65">
        <v>1440877</v>
      </c>
      <c r="S6" s="63">
        <v>151.04943206561001</v>
      </c>
      <c r="T6" s="65">
        <v>1283512</v>
      </c>
      <c r="U6" s="63">
        <v>141.22841572249999</v>
      </c>
      <c r="V6" s="65">
        <v>5435881</v>
      </c>
      <c r="W6" s="63">
        <v>153.17405195027999</v>
      </c>
    </row>
    <row r="7" spans="1:30" x14ac:dyDescent="0.35">
      <c r="A7" s="58"/>
      <c r="B7" s="179" t="s">
        <v>6</v>
      </c>
      <c r="C7" s="62" t="s">
        <v>9</v>
      </c>
      <c r="D7" s="66">
        <v>1650508</v>
      </c>
      <c r="E7" s="64">
        <v>170.38093076895001</v>
      </c>
      <c r="F7" s="66">
        <v>216335</v>
      </c>
      <c r="G7" s="64">
        <v>164.02995081214999</v>
      </c>
      <c r="H7" s="66">
        <v>207087</v>
      </c>
      <c r="I7" s="64">
        <v>162.84816089044</v>
      </c>
      <c r="J7" s="66">
        <v>144500</v>
      </c>
      <c r="K7" s="64">
        <v>153.68539198636</v>
      </c>
      <c r="L7" s="66">
        <v>116086</v>
      </c>
      <c r="M7" s="64">
        <v>162.29174948342001</v>
      </c>
      <c r="N7" s="66">
        <v>535108</v>
      </c>
      <c r="O7" s="64">
        <v>182.08467194510001</v>
      </c>
      <c r="P7" s="66">
        <v>600687</v>
      </c>
      <c r="Q7" s="64">
        <v>156.82024455265</v>
      </c>
      <c r="R7" s="66">
        <v>514713</v>
      </c>
      <c r="S7" s="64">
        <v>174.03920710532</v>
      </c>
      <c r="T7" s="66">
        <v>567922</v>
      </c>
      <c r="U7" s="64">
        <v>160.96699132150999</v>
      </c>
      <c r="V7" s="66">
        <v>2218430</v>
      </c>
      <c r="W7" s="64">
        <v>167.97094563582999</v>
      </c>
    </row>
    <row r="8" spans="1:30" x14ac:dyDescent="0.35">
      <c r="A8" s="15" t="s">
        <v>2</v>
      </c>
      <c r="B8" s="181" t="s">
        <v>10</v>
      </c>
      <c r="C8" s="19" t="s">
        <v>7</v>
      </c>
      <c r="D8" s="67">
        <v>3163722</v>
      </c>
      <c r="E8" s="7">
        <v>152.41123869945</v>
      </c>
      <c r="F8" s="67">
        <v>349719</v>
      </c>
      <c r="G8" s="7">
        <v>143.93003171914</v>
      </c>
      <c r="H8" s="67">
        <v>358280</v>
      </c>
      <c r="I8" s="7">
        <v>151.87654605425999</v>
      </c>
      <c r="J8" s="67">
        <v>235620</v>
      </c>
      <c r="K8" s="7">
        <v>157.40505527389999</v>
      </c>
      <c r="L8" s="67">
        <v>295900</v>
      </c>
      <c r="M8" s="7">
        <v>155.89280904933</v>
      </c>
      <c r="N8" s="67">
        <v>601055</v>
      </c>
      <c r="O8" s="7">
        <v>168.95007892238999</v>
      </c>
      <c r="P8" s="67">
        <v>1321329</v>
      </c>
      <c r="Q8" s="7">
        <v>154.73395354562999</v>
      </c>
      <c r="R8" s="67">
        <v>1241338</v>
      </c>
      <c r="S8" s="7">
        <v>141.9307546611</v>
      </c>
      <c r="T8" s="67">
        <v>943619</v>
      </c>
      <c r="U8" s="7">
        <v>150.31191064057001</v>
      </c>
      <c r="V8" s="67">
        <v>4107341</v>
      </c>
      <c r="W8" s="7">
        <v>151.92893984878</v>
      </c>
    </row>
    <row r="9" spans="1:30" x14ac:dyDescent="0.35">
      <c r="A9" s="56"/>
      <c r="B9" s="178" t="s">
        <v>10</v>
      </c>
      <c r="C9" s="61" t="s">
        <v>8</v>
      </c>
      <c r="D9" s="65">
        <v>179583</v>
      </c>
      <c r="E9" s="63">
        <v>143.72214953363999</v>
      </c>
      <c r="F9" s="65">
        <v>10129</v>
      </c>
      <c r="G9" s="63">
        <v>146.57497936874</v>
      </c>
      <c r="H9" s="65">
        <v>29564</v>
      </c>
      <c r="I9" s="63">
        <v>132.94053707026001</v>
      </c>
      <c r="J9" s="65">
        <v>11868</v>
      </c>
      <c r="K9" s="63">
        <v>143.94959748625999</v>
      </c>
      <c r="L9" s="65">
        <v>10000</v>
      </c>
      <c r="M9" s="63">
        <v>95.348323345571004</v>
      </c>
      <c r="N9" s="65">
        <v>58791</v>
      </c>
      <c r="O9" s="63">
        <v>165.93676530421001</v>
      </c>
      <c r="P9" s="65">
        <v>63078</v>
      </c>
      <c r="Q9" s="63">
        <v>138.24462134976</v>
      </c>
      <c r="R9" s="65">
        <v>57714</v>
      </c>
      <c r="S9" s="63">
        <v>127.07960261288</v>
      </c>
      <c r="T9" s="65">
        <v>51561</v>
      </c>
      <c r="U9" s="63">
        <v>138.15298048792999</v>
      </c>
      <c r="V9" s="65">
        <v>231144</v>
      </c>
      <c r="W9" s="63">
        <v>142.47984203197001</v>
      </c>
    </row>
    <row r="10" spans="1:30" x14ac:dyDescent="0.35">
      <c r="A10" s="58"/>
      <c r="B10" s="179" t="s">
        <v>10</v>
      </c>
      <c r="C10" s="62" t="s">
        <v>9</v>
      </c>
      <c r="D10" s="66">
        <v>2984139</v>
      </c>
      <c r="E10" s="64">
        <v>152.93414084967</v>
      </c>
      <c r="F10" s="66">
        <v>339590</v>
      </c>
      <c r="G10" s="64">
        <v>143.85114048341001</v>
      </c>
      <c r="H10" s="66">
        <v>328716</v>
      </c>
      <c r="I10" s="64">
        <v>153.57960939649001</v>
      </c>
      <c r="J10" s="66">
        <v>223752</v>
      </c>
      <c r="K10" s="64">
        <v>158.11874441645</v>
      </c>
      <c r="L10" s="66">
        <v>285900</v>
      </c>
      <c r="M10" s="64">
        <v>158.01048955663001</v>
      </c>
      <c r="N10" s="66">
        <v>542264</v>
      </c>
      <c r="O10" s="64">
        <v>169.27677536716001</v>
      </c>
      <c r="P10" s="66">
        <v>1258251</v>
      </c>
      <c r="Q10" s="64">
        <v>155.56058837148001</v>
      </c>
      <c r="R10" s="66">
        <v>1183624</v>
      </c>
      <c r="S10" s="64">
        <v>142.65490303026999</v>
      </c>
      <c r="T10" s="66">
        <v>892058</v>
      </c>
      <c r="U10" s="64">
        <v>151.01469745219001</v>
      </c>
      <c r="V10" s="66">
        <v>3876197</v>
      </c>
      <c r="W10" s="64">
        <v>152.49240508694999</v>
      </c>
    </row>
    <row r="11" spans="1:30" x14ac:dyDescent="0.35">
      <c r="A11" s="17" t="s">
        <v>3</v>
      </c>
      <c r="B11" s="17" t="s">
        <v>11</v>
      </c>
      <c r="C11" s="20" t="s">
        <v>7</v>
      </c>
      <c r="D11" s="67">
        <v>346877</v>
      </c>
      <c r="E11" s="7">
        <v>198.83046645843001</v>
      </c>
      <c r="F11" s="67">
        <v>31319</v>
      </c>
      <c r="G11" s="7">
        <v>162.49096290841999</v>
      </c>
      <c r="H11" s="67">
        <v>38967</v>
      </c>
      <c r="I11" s="7">
        <v>176.70418181546</v>
      </c>
      <c r="J11" s="67">
        <v>29500</v>
      </c>
      <c r="K11" s="7">
        <v>187.82983512180999</v>
      </c>
      <c r="L11" s="67">
        <v>47000</v>
      </c>
      <c r="M11" s="7">
        <v>151.92097828345001</v>
      </c>
      <c r="N11" s="67">
        <v>114452</v>
      </c>
      <c r="O11" s="7">
        <v>217.96372030109001</v>
      </c>
      <c r="P11" s="67">
        <v>123253</v>
      </c>
      <c r="Q11" s="7">
        <v>199.66170176790999</v>
      </c>
      <c r="R11" s="67">
        <v>109172</v>
      </c>
      <c r="S11" s="7">
        <v>177.83340297695</v>
      </c>
      <c r="T11" s="67">
        <v>99786</v>
      </c>
      <c r="U11" s="7">
        <v>175.53230369215001</v>
      </c>
      <c r="V11" s="67">
        <v>446663</v>
      </c>
      <c r="W11" s="7">
        <v>193.62557939638</v>
      </c>
    </row>
    <row r="12" spans="1:30" s="22" customFormat="1" x14ac:dyDescent="0.35">
      <c r="A12" s="56"/>
      <c r="B12" s="178" t="s">
        <v>11</v>
      </c>
      <c r="C12" s="61" t="s">
        <v>8</v>
      </c>
      <c r="D12" s="127">
        <v>15918</v>
      </c>
      <c r="E12" s="123">
        <v>190.65320709260001</v>
      </c>
      <c r="F12" s="127">
        <v>0</v>
      </c>
      <c r="G12" s="123">
        <v>0</v>
      </c>
      <c r="H12" s="127">
        <v>0</v>
      </c>
      <c r="I12" s="123">
        <v>0</v>
      </c>
      <c r="J12" s="127">
        <v>0</v>
      </c>
      <c r="K12" s="123">
        <v>0</v>
      </c>
      <c r="L12" s="127">
        <v>11000</v>
      </c>
      <c r="M12" s="123">
        <v>129.26746809923</v>
      </c>
      <c r="N12" s="127">
        <v>0</v>
      </c>
      <c r="O12" s="123">
        <v>0</v>
      </c>
      <c r="P12" s="127">
        <v>15918</v>
      </c>
      <c r="Q12" s="123">
        <v>190.95777801860001</v>
      </c>
      <c r="R12" s="127">
        <v>0</v>
      </c>
      <c r="S12" s="123">
        <v>0</v>
      </c>
      <c r="T12" s="127">
        <v>0</v>
      </c>
      <c r="U12" s="123">
        <v>0</v>
      </c>
      <c r="V12" s="127">
        <v>15918</v>
      </c>
      <c r="W12" s="123">
        <v>190.65320709260001</v>
      </c>
    </row>
    <row r="13" spans="1:30" s="22" customFormat="1" x14ac:dyDescent="0.35">
      <c r="A13" s="56"/>
      <c r="B13" s="178" t="s">
        <v>11</v>
      </c>
      <c r="C13" s="61" t="s">
        <v>9</v>
      </c>
      <c r="D13" s="127">
        <v>330959</v>
      </c>
      <c r="E13" s="123">
        <v>199.22376476603</v>
      </c>
      <c r="F13" s="127">
        <v>31319</v>
      </c>
      <c r="G13" s="123">
        <v>162.49096290841999</v>
      </c>
      <c r="H13" s="127">
        <v>38967</v>
      </c>
      <c r="I13" s="123">
        <v>176.70418181546</v>
      </c>
      <c r="J13" s="127">
        <v>29500</v>
      </c>
      <c r="K13" s="123">
        <v>187.82983512180999</v>
      </c>
      <c r="L13" s="127">
        <v>36000</v>
      </c>
      <c r="M13" s="123">
        <v>158.84288417306999</v>
      </c>
      <c r="N13" s="127">
        <v>114452</v>
      </c>
      <c r="O13" s="123">
        <v>218.00608006762999</v>
      </c>
      <c r="P13" s="127">
        <v>107335</v>
      </c>
      <c r="Q13" s="123">
        <v>200.95251145944999</v>
      </c>
      <c r="R13" s="127">
        <v>109172</v>
      </c>
      <c r="S13" s="123">
        <v>177.83340297695</v>
      </c>
      <c r="T13" s="127">
        <v>99786</v>
      </c>
      <c r="U13" s="123">
        <v>175.53230369215001</v>
      </c>
      <c r="V13" s="127">
        <v>430745</v>
      </c>
      <c r="W13" s="123">
        <v>193.73542216259</v>
      </c>
    </row>
    <row r="14" spans="1:30" x14ac:dyDescent="0.35">
      <c r="A14" s="15" t="s">
        <v>4</v>
      </c>
      <c r="B14" s="181" t="s">
        <v>12</v>
      </c>
      <c r="C14" s="19" t="s">
        <v>7</v>
      </c>
      <c r="D14" s="126">
        <v>313847.18</v>
      </c>
      <c r="E14" s="125">
        <v>182.26931168378999</v>
      </c>
      <c r="F14" s="126">
        <v>33364.197</v>
      </c>
      <c r="G14" s="125">
        <v>206.53947836245001</v>
      </c>
      <c r="H14" s="126">
        <v>55408</v>
      </c>
      <c r="I14" s="125">
        <v>168.97834403447999</v>
      </c>
      <c r="J14" s="126">
        <v>36749</v>
      </c>
      <c r="K14" s="125">
        <v>165.47106029152999</v>
      </c>
      <c r="L14" s="126">
        <v>20000</v>
      </c>
      <c r="M14" s="125">
        <v>175.56790743565</v>
      </c>
      <c r="N14" s="126">
        <v>56109.61</v>
      </c>
      <c r="O14" s="125">
        <v>220.37456623028001</v>
      </c>
      <c r="P14" s="126">
        <v>133039.20000000001</v>
      </c>
      <c r="Q14" s="125">
        <v>170.78023907766001</v>
      </c>
      <c r="R14" s="126">
        <v>124698.37</v>
      </c>
      <c r="S14" s="125">
        <v>177.38092426308</v>
      </c>
      <c r="T14" s="126">
        <v>125521.197</v>
      </c>
      <c r="U14" s="125">
        <v>177.93545997875</v>
      </c>
      <c r="V14" s="126">
        <v>439368.37699999998</v>
      </c>
      <c r="W14" s="125">
        <v>181.03119287025001</v>
      </c>
    </row>
    <row r="15" spans="1:30" s="22" customFormat="1" x14ac:dyDescent="0.35">
      <c r="A15" s="56"/>
      <c r="B15" s="178" t="s">
        <v>12</v>
      </c>
      <c r="C15" s="61" t="s">
        <v>8</v>
      </c>
      <c r="D15" s="127">
        <v>64874</v>
      </c>
      <c r="E15" s="123">
        <v>149.07456829392001</v>
      </c>
      <c r="F15" s="127">
        <v>0</v>
      </c>
      <c r="G15" s="123">
        <v>0</v>
      </c>
      <c r="H15" s="127">
        <v>36908</v>
      </c>
      <c r="I15" s="123">
        <v>147.26074684880001</v>
      </c>
      <c r="J15" s="127">
        <v>20749</v>
      </c>
      <c r="K15" s="123">
        <v>151.22569843088999</v>
      </c>
      <c r="L15" s="127">
        <v>0</v>
      </c>
      <c r="M15" s="123">
        <v>0</v>
      </c>
      <c r="N15" s="127">
        <v>0</v>
      </c>
      <c r="O15" s="123">
        <v>0</v>
      </c>
      <c r="P15" s="127">
        <v>40017</v>
      </c>
      <c r="Q15" s="123">
        <v>147.59870777169999</v>
      </c>
      <c r="R15" s="127">
        <v>24857</v>
      </c>
      <c r="S15" s="123">
        <v>152.69130002012</v>
      </c>
      <c r="T15" s="127">
        <v>57657</v>
      </c>
      <c r="U15" s="123">
        <v>148.68761228363999</v>
      </c>
      <c r="V15" s="127">
        <v>122531</v>
      </c>
      <c r="W15" s="123">
        <v>148.89248602344</v>
      </c>
    </row>
    <row r="16" spans="1:30" s="22" customFormat="1" x14ac:dyDescent="0.35">
      <c r="A16" s="56"/>
      <c r="B16" s="178" t="s">
        <v>12</v>
      </c>
      <c r="C16" s="61" t="s">
        <v>9</v>
      </c>
      <c r="D16" s="127">
        <v>248973.18</v>
      </c>
      <c r="E16" s="123">
        <v>190.91874044023999</v>
      </c>
      <c r="F16" s="127">
        <v>33364.197</v>
      </c>
      <c r="G16" s="123">
        <v>206.53947836245001</v>
      </c>
      <c r="H16" s="127">
        <v>18500</v>
      </c>
      <c r="I16" s="123">
        <v>212.30553738199001</v>
      </c>
      <c r="J16" s="127">
        <v>16000</v>
      </c>
      <c r="K16" s="123">
        <v>183.94462361942999</v>
      </c>
      <c r="L16" s="127">
        <v>20000</v>
      </c>
      <c r="M16" s="123">
        <v>175.56790743565</v>
      </c>
      <c r="N16" s="127">
        <v>56109.61</v>
      </c>
      <c r="O16" s="123">
        <v>220.92423303423001</v>
      </c>
      <c r="P16" s="127">
        <v>93022.2</v>
      </c>
      <c r="Q16" s="123">
        <v>180.7526471509</v>
      </c>
      <c r="R16" s="127">
        <v>99841.37</v>
      </c>
      <c r="S16" s="123">
        <v>183.52777491034001</v>
      </c>
      <c r="T16" s="127">
        <v>67864.197</v>
      </c>
      <c r="U16" s="123">
        <v>202.78424960718999</v>
      </c>
      <c r="V16" s="127">
        <v>316837.37699999998</v>
      </c>
      <c r="W16" s="123">
        <v>193.46024377937999</v>
      </c>
    </row>
    <row r="17" spans="1:23" x14ac:dyDescent="0.35">
      <c r="A17" s="15" t="s">
        <v>5</v>
      </c>
      <c r="B17" s="181" t="s">
        <v>13</v>
      </c>
      <c r="C17" s="19" t="s">
        <v>7</v>
      </c>
      <c r="D17" s="126">
        <v>14050</v>
      </c>
      <c r="E17" s="125">
        <v>129.54589691814999</v>
      </c>
      <c r="F17" s="126">
        <v>0</v>
      </c>
      <c r="G17" s="125">
        <v>0</v>
      </c>
      <c r="H17" s="126">
        <v>0</v>
      </c>
      <c r="I17" s="125">
        <v>0</v>
      </c>
      <c r="J17" s="126">
        <v>0</v>
      </c>
      <c r="K17" s="125">
        <v>0</v>
      </c>
      <c r="L17" s="126">
        <v>0</v>
      </c>
      <c r="M17" s="125">
        <v>0</v>
      </c>
      <c r="N17" s="126">
        <v>0</v>
      </c>
      <c r="O17" s="125">
        <v>0</v>
      </c>
      <c r="P17" s="126">
        <v>9350</v>
      </c>
      <c r="Q17" s="125">
        <v>139.30124135829001</v>
      </c>
      <c r="R17" s="126">
        <v>4700</v>
      </c>
      <c r="S17" s="125">
        <v>110.13898829787</v>
      </c>
      <c r="T17" s="126">
        <v>0</v>
      </c>
      <c r="U17" s="125">
        <v>0</v>
      </c>
      <c r="V17" s="126">
        <v>14050</v>
      </c>
      <c r="W17" s="125">
        <v>129.54589691814999</v>
      </c>
    </row>
    <row r="18" spans="1:23" s="22" customFormat="1" x14ac:dyDescent="0.35">
      <c r="A18" s="56"/>
      <c r="B18" s="178" t="s">
        <v>13</v>
      </c>
      <c r="C18" s="61" t="s">
        <v>8</v>
      </c>
      <c r="D18" s="127">
        <v>0</v>
      </c>
      <c r="E18" s="123">
        <v>0</v>
      </c>
      <c r="F18" s="127">
        <v>0</v>
      </c>
      <c r="G18" s="123">
        <v>0</v>
      </c>
      <c r="H18" s="127">
        <v>0</v>
      </c>
      <c r="I18" s="123">
        <v>0</v>
      </c>
      <c r="J18" s="127">
        <v>0</v>
      </c>
      <c r="K18" s="123">
        <v>0</v>
      </c>
      <c r="L18" s="127">
        <v>0</v>
      </c>
      <c r="M18" s="123">
        <v>0</v>
      </c>
      <c r="N18" s="127">
        <v>0</v>
      </c>
      <c r="O18" s="123">
        <v>0</v>
      </c>
      <c r="P18" s="127">
        <v>0</v>
      </c>
      <c r="Q18" s="123">
        <v>0</v>
      </c>
      <c r="R18" s="127">
        <v>0</v>
      </c>
      <c r="S18" s="123">
        <v>0</v>
      </c>
      <c r="T18" s="127">
        <v>0</v>
      </c>
      <c r="U18" s="123">
        <v>0</v>
      </c>
      <c r="V18" s="127">
        <v>0</v>
      </c>
      <c r="W18" s="123">
        <v>0</v>
      </c>
    </row>
    <row r="19" spans="1:23" s="22" customFormat="1" x14ac:dyDescent="0.35">
      <c r="A19" s="56"/>
      <c r="B19" s="178" t="s">
        <v>13</v>
      </c>
      <c r="C19" s="61" t="s">
        <v>9</v>
      </c>
      <c r="D19" s="127">
        <v>14050</v>
      </c>
      <c r="E19" s="123">
        <v>129.55121577936001</v>
      </c>
      <c r="F19" s="127">
        <v>0</v>
      </c>
      <c r="G19" s="123">
        <v>0</v>
      </c>
      <c r="H19" s="127">
        <v>0</v>
      </c>
      <c r="I19" s="123">
        <v>0</v>
      </c>
      <c r="J19" s="127">
        <v>0</v>
      </c>
      <c r="K19" s="123">
        <v>0</v>
      </c>
      <c r="L19" s="127">
        <v>0</v>
      </c>
      <c r="M19" s="123">
        <v>0</v>
      </c>
      <c r="N19" s="127">
        <v>0</v>
      </c>
      <c r="O19" s="123">
        <v>0</v>
      </c>
      <c r="P19" s="127">
        <v>9350</v>
      </c>
      <c r="Q19" s="123">
        <v>139.30923387166001</v>
      </c>
      <c r="R19" s="127">
        <v>4700</v>
      </c>
      <c r="S19" s="123">
        <v>110.13898829787</v>
      </c>
      <c r="T19" s="127">
        <v>0</v>
      </c>
      <c r="U19" s="123">
        <v>0</v>
      </c>
      <c r="V19" s="127">
        <v>14050</v>
      </c>
      <c r="W19" s="123">
        <v>129.55121577936001</v>
      </c>
    </row>
    <row r="20" spans="1:23" ht="6.75" customHeight="1" x14ac:dyDescent="0.35"/>
    <row r="21" spans="1:23" s="22" customFormat="1" ht="18.5" x14ac:dyDescent="0.65">
      <c r="A21" s="173" t="s">
        <v>66</v>
      </c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</row>
    <row r="22" spans="1:23" x14ac:dyDescent="0.35">
      <c r="A22" s="9" t="s">
        <v>64</v>
      </c>
      <c r="B22" s="180" t="s">
        <v>65</v>
      </c>
      <c r="C22" s="2" t="s">
        <v>7</v>
      </c>
      <c r="D22" s="68">
        <v>1</v>
      </c>
      <c r="E22" s="23">
        <v>0.99995384631400075</v>
      </c>
      <c r="F22" s="68">
        <v>1</v>
      </c>
      <c r="G22" s="23">
        <v>0.99999999999996481</v>
      </c>
      <c r="H22" s="68">
        <v>1</v>
      </c>
      <c r="I22" s="23">
        <v>1.0000000000000075</v>
      </c>
      <c r="J22" s="68">
        <v>0.99999999999999989</v>
      </c>
      <c r="K22" s="23">
        <v>1.00000000000003</v>
      </c>
      <c r="L22" s="68">
        <v>1</v>
      </c>
      <c r="M22" s="23">
        <v>0.999999999999997</v>
      </c>
      <c r="N22" s="68">
        <v>0.99999999189611999</v>
      </c>
      <c r="O22" s="23">
        <v>0.99999798062478007</v>
      </c>
      <c r="P22" s="68">
        <v>0.99999999732471623</v>
      </c>
      <c r="Q22" s="23">
        <v>0.9999980922638454</v>
      </c>
      <c r="R22" s="68">
        <v>0.99999999417842844</v>
      </c>
      <c r="S22" s="23">
        <v>0.99986828802171368</v>
      </c>
      <c r="T22" s="68">
        <v>0.99999999999999989</v>
      </c>
      <c r="U22" s="23">
        <v>0.99999999999998235</v>
      </c>
      <c r="V22" s="68">
        <v>0.99999999605109358</v>
      </c>
      <c r="W22" s="23">
        <v>0.99996434645804044</v>
      </c>
    </row>
    <row r="23" spans="1:23" x14ac:dyDescent="0.35">
      <c r="A23" s="15" t="s">
        <v>1</v>
      </c>
      <c r="B23" s="181" t="s">
        <v>6</v>
      </c>
      <c r="C23" s="19" t="s">
        <v>7</v>
      </c>
      <c r="D23" s="69">
        <v>0.601872460661252</v>
      </c>
      <c r="E23" s="24">
        <v>0.60446031555529089</v>
      </c>
      <c r="F23" s="69">
        <v>0.64587794538656262</v>
      </c>
      <c r="G23" s="24">
        <v>0.64406804103982263</v>
      </c>
      <c r="H23" s="69">
        <v>0.5934761113161745</v>
      </c>
      <c r="I23" s="24">
        <v>0.58089648830277785</v>
      </c>
      <c r="J23" s="69">
        <v>0.59021881223198247</v>
      </c>
      <c r="K23" s="24">
        <v>0.55995376801239671</v>
      </c>
      <c r="L23" s="69">
        <v>0.5321258941049668</v>
      </c>
      <c r="M23" s="24">
        <v>0.50587594064278563</v>
      </c>
      <c r="N23" s="69">
        <v>0.68734557220996084</v>
      </c>
      <c r="O23" s="24">
        <v>0.67970147452275675</v>
      </c>
      <c r="P23" s="69">
        <v>0.57544016557802191</v>
      </c>
      <c r="Q23" s="24">
        <v>0.56646163149928441</v>
      </c>
      <c r="R23" s="69">
        <v>0.56923036427328955</v>
      </c>
      <c r="S23" s="24">
        <v>0.58460004531563803</v>
      </c>
      <c r="T23" s="69">
        <v>0.61298450490737943</v>
      </c>
      <c r="U23" s="24">
        <v>0.60013538861467264</v>
      </c>
      <c r="V23" s="69">
        <v>0.60452315191519312</v>
      </c>
      <c r="W23" s="24">
        <v>0.60347637776354279</v>
      </c>
    </row>
    <row r="24" spans="1:23" x14ac:dyDescent="0.35">
      <c r="A24" s="56"/>
      <c r="B24" s="178" t="s">
        <v>6</v>
      </c>
      <c r="C24" s="61" t="s">
        <v>8</v>
      </c>
      <c r="D24" s="70">
        <v>0.43068232319994071</v>
      </c>
      <c r="E24" s="60">
        <v>0.42218868190653047</v>
      </c>
      <c r="F24" s="70">
        <v>0.46101166031520713</v>
      </c>
      <c r="G24" s="60">
        <v>0.44138224403729659</v>
      </c>
      <c r="H24" s="70">
        <v>0.40749382340183049</v>
      </c>
      <c r="I24" s="60">
        <v>0.38087959011338934</v>
      </c>
      <c r="J24" s="70">
        <v>0.39406292463677223</v>
      </c>
      <c r="K24" s="60">
        <v>0.35932939754348869</v>
      </c>
      <c r="L24" s="70">
        <v>0.38246032932973717</v>
      </c>
      <c r="M24" s="60">
        <v>0.34192481406487796</v>
      </c>
      <c r="N24" s="70">
        <v>0.4705230219418669</v>
      </c>
      <c r="O24" s="60">
        <v>0.4549562439865571</v>
      </c>
      <c r="P24" s="70">
        <v>0.41473934652571237</v>
      </c>
      <c r="Q24" s="60">
        <v>0.40509736933486062</v>
      </c>
      <c r="R24" s="70">
        <v>0.41940843407002731</v>
      </c>
      <c r="S24" s="60">
        <v>0.4141425560575589</v>
      </c>
      <c r="T24" s="70">
        <v>0.42495328910600128</v>
      </c>
      <c r="U24" s="60">
        <v>0.39894213742814494</v>
      </c>
      <c r="V24" s="70">
        <v>0.42931570399424746</v>
      </c>
      <c r="W24" s="60">
        <v>0.41690000213138767</v>
      </c>
    </row>
    <row r="25" spans="1:23" s="22" customFormat="1" x14ac:dyDescent="0.35">
      <c r="A25" s="56"/>
      <c r="B25" s="178" t="s">
        <v>6</v>
      </c>
      <c r="C25" s="61" t="s">
        <v>9</v>
      </c>
      <c r="D25" s="70">
        <v>0.17119013746131129</v>
      </c>
      <c r="E25" s="60">
        <v>0.18227163364874571</v>
      </c>
      <c r="F25" s="70">
        <v>0.18486628507135544</v>
      </c>
      <c r="G25" s="60">
        <v>0.20268579700252945</v>
      </c>
      <c r="H25" s="70">
        <v>0.18598228791434399</v>
      </c>
      <c r="I25" s="60">
        <v>0.20001689818940649</v>
      </c>
      <c r="J25" s="70">
        <v>0.19615588759521027</v>
      </c>
      <c r="K25" s="60">
        <v>0.20062437046889964</v>
      </c>
      <c r="L25" s="70">
        <v>0.14966556477522963</v>
      </c>
      <c r="M25" s="60">
        <v>0.16395112657790339</v>
      </c>
      <c r="N25" s="70">
        <v>0.21682255026809399</v>
      </c>
      <c r="O25" s="60">
        <v>0.22474523053618897</v>
      </c>
      <c r="P25" s="70">
        <v>0.16070081905230957</v>
      </c>
      <c r="Q25" s="60">
        <v>0.16136426216443264</v>
      </c>
      <c r="R25" s="70">
        <v>0.14982193020326229</v>
      </c>
      <c r="S25" s="60">
        <v>0.17045748925808002</v>
      </c>
      <c r="T25" s="70">
        <v>0.18803121580137813</v>
      </c>
      <c r="U25" s="60">
        <v>0.20119325118650716</v>
      </c>
      <c r="V25" s="70">
        <v>0.17520744792094572</v>
      </c>
      <c r="W25" s="60">
        <v>0.18657637563215618</v>
      </c>
    </row>
    <row r="26" spans="1:23" x14ac:dyDescent="0.35">
      <c r="A26" s="15" t="s">
        <v>2</v>
      </c>
      <c r="B26" s="181" t="s">
        <v>10</v>
      </c>
      <c r="C26" s="19" t="s">
        <v>7</v>
      </c>
      <c r="D26" s="69">
        <v>0.32814018718441518</v>
      </c>
      <c r="E26" s="24">
        <v>0.31253292262852389</v>
      </c>
      <c r="F26" s="69">
        <v>0.2988478625690219</v>
      </c>
      <c r="G26" s="24">
        <v>0.28750408742297828</v>
      </c>
      <c r="H26" s="69">
        <v>0.32176686182112429</v>
      </c>
      <c r="I26" s="24">
        <v>0.32273366552647492</v>
      </c>
      <c r="J26" s="69">
        <v>0.31984948259642521</v>
      </c>
      <c r="K26" s="24">
        <v>0.33505343798706477</v>
      </c>
      <c r="L26" s="69">
        <v>0.38149338091579038</v>
      </c>
      <c r="M26" s="24">
        <v>0.40142938893246738</v>
      </c>
      <c r="N26" s="69">
        <v>0.24354387890180904</v>
      </c>
      <c r="O26" s="24">
        <v>0.23423309960280694</v>
      </c>
      <c r="P26" s="69">
        <v>0.35349300473885592</v>
      </c>
      <c r="Q26" s="24">
        <v>0.35023019473713063</v>
      </c>
      <c r="R26" s="69">
        <v>0.361326904886135</v>
      </c>
      <c r="S26" s="24">
        <v>0.33525125798366995</v>
      </c>
      <c r="T26" s="69">
        <v>0.31241936009395765</v>
      </c>
      <c r="U26" s="24">
        <v>0.31216051003640299</v>
      </c>
      <c r="V26" s="69">
        <v>0.32439010216732783</v>
      </c>
      <c r="W26" s="24">
        <v>0.31244819730747697</v>
      </c>
    </row>
    <row r="27" spans="1:23" s="22" customFormat="1" x14ac:dyDescent="0.35">
      <c r="A27" s="56"/>
      <c r="B27" s="178" t="s">
        <v>10</v>
      </c>
      <c r="C27" s="61" t="s">
        <v>8</v>
      </c>
      <c r="D27" s="70">
        <v>1.8626288667316165E-2</v>
      </c>
      <c r="E27" s="60">
        <v>1.6728977315113514E-2</v>
      </c>
      <c r="F27" s="70">
        <v>8.6556063581378854E-3</v>
      </c>
      <c r="G27" s="60">
        <v>8.4800768352835294E-3</v>
      </c>
      <c r="H27" s="70">
        <v>2.6551064817683705E-2</v>
      </c>
      <c r="I27" s="60">
        <v>2.3310501430122334E-2</v>
      </c>
      <c r="J27" s="70">
        <v>1.6110574906435679E-2</v>
      </c>
      <c r="K27" s="60">
        <v>1.5433742255441205E-2</v>
      </c>
      <c r="L27" s="70">
        <v>1.2892645519289977E-2</v>
      </c>
      <c r="M27" s="60">
        <v>8.2975748174004896E-3</v>
      </c>
      <c r="N27" s="70">
        <v>2.382176037886093E-2</v>
      </c>
      <c r="O27" s="60">
        <v>2.2502414458874583E-2</v>
      </c>
      <c r="P27" s="70">
        <v>1.6875155054431979E-2</v>
      </c>
      <c r="Q27" s="60">
        <v>1.4937680108233537E-2</v>
      </c>
      <c r="R27" s="70">
        <v>1.6799309284496564E-2</v>
      </c>
      <c r="S27" s="60">
        <v>1.3955997311853822E-2</v>
      </c>
      <c r="T27" s="70">
        <v>1.7071142723710048E-2</v>
      </c>
      <c r="U27" s="60">
        <v>1.5677235415271183E-2</v>
      </c>
      <c r="V27" s="70">
        <v>1.8255320358198851E-2</v>
      </c>
      <c r="W27" s="60">
        <v>1.648970192003019E-2</v>
      </c>
    </row>
    <row r="28" spans="1:23" s="22" customFormat="1" x14ac:dyDescent="0.35">
      <c r="A28" s="56"/>
      <c r="B28" s="178" t="s">
        <v>10</v>
      </c>
      <c r="C28" s="61" t="s">
        <v>9</v>
      </c>
      <c r="D28" s="70">
        <v>0.30951389851709898</v>
      </c>
      <c r="E28" s="60">
        <v>0.29580394531340504</v>
      </c>
      <c r="F28" s="70">
        <v>0.29019225621088401</v>
      </c>
      <c r="G28" s="60">
        <v>0.27902401058770188</v>
      </c>
      <c r="H28" s="70">
        <v>0.29521579700344058</v>
      </c>
      <c r="I28" s="60">
        <v>0.29942316409636149</v>
      </c>
      <c r="J28" s="70">
        <v>0.30373890768998951</v>
      </c>
      <c r="K28" s="60">
        <v>0.31961969573162485</v>
      </c>
      <c r="L28" s="70">
        <v>0.3686007353965004</v>
      </c>
      <c r="M28" s="60">
        <v>0.39313181411506243</v>
      </c>
      <c r="N28" s="70">
        <v>0.2197221185229481</v>
      </c>
      <c r="O28" s="60">
        <v>0.2117306851439332</v>
      </c>
      <c r="P28" s="70">
        <v>0.33661784968442393</v>
      </c>
      <c r="Q28" s="60">
        <v>0.33529251462891335</v>
      </c>
      <c r="R28" s="70">
        <v>0.34452759560163843</v>
      </c>
      <c r="S28" s="60">
        <v>0.32129526067181519</v>
      </c>
      <c r="T28" s="70">
        <v>0.29534821737024763</v>
      </c>
      <c r="U28" s="60">
        <v>0.29648327462113144</v>
      </c>
      <c r="V28" s="70">
        <v>0.30613478180912901</v>
      </c>
      <c r="W28" s="60">
        <v>0.29595849538746177</v>
      </c>
    </row>
    <row r="29" spans="1:23" x14ac:dyDescent="0.35">
      <c r="A29" s="17" t="s">
        <v>3</v>
      </c>
      <c r="B29" s="17" t="s">
        <v>11</v>
      </c>
      <c r="C29" s="20" t="s">
        <v>7</v>
      </c>
      <c r="D29" s="69">
        <v>3.5977966366819963E-2</v>
      </c>
      <c r="E29" s="24">
        <v>4.4703229785928986E-2</v>
      </c>
      <c r="F29" s="69">
        <v>2.6763247658260481E-2</v>
      </c>
      <c r="G29" s="24">
        <v>2.9067686894515575E-2</v>
      </c>
      <c r="H29" s="69">
        <v>3.4995783478239784E-2</v>
      </c>
      <c r="I29" s="24">
        <v>4.0838971120548281E-2</v>
      </c>
      <c r="J29" s="69">
        <v>4.0045665633624244E-2</v>
      </c>
      <c r="K29" s="24">
        <v>5.005757929659771E-2</v>
      </c>
      <c r="L29" s="69">
        <v>6.0595433940662885E-2</v>
      </c>
      <c r="M29" s="24">
        <v>6.2137492356663805E-2</v>
      </c>
      <c r="N29" s="69">
        <v>4.6375263541722216E-2</v>
      </c>
      <c r="O29" s="24">
        <v>5.7541774457101479E-2</v>
      </c>
      <c r="P29" s="69">
        <v>3.2973675226289752E-2</v>
      </c>
      <c r="Q29" s="24">
        <v>4.2155016527983188E-2</v>
      </c>
      <c r="R29" s="69">
        <v>3.1777630959681516E-2</v>
      </c>
      <c r="S29" s="24">
        <v>3.6942685232116503E-2</v>
      </c>
      <c r="T29" s="69">
        <v>3.3037781420611138E-2</v>
      </c>
      <c r="U29" s="24">
        <v>3.8549127773113943E-2</v>
      </c>
      <c r="V29" s="69">
        <v>3.527660747046938E-2</v>
      </c>
      <c r="W29" s="24">
        <v>4.3303147512207707E-2</v>
      </c>
    </row>
    <row r="30" spans="1:23" s="22" customFormat="1" x14ac:dyDescent="0.35">
      <c r="A30" s="56"/>
      <c r="B30" s="178" t="s">
        <v>11</v>
      </c>
      <c r="C30" s="61" t="s">
        <v>8</v>
      </c>
      <c r="D30" s="70">
        <v>1.6510096334638508E-3</v>
      </c>
      <c r="E30" s="60">
        <v>1.9670395021226372E-3</v>
      </c>
      <c r="F30" s="70">
        <v>0</v>
      </c>
      <c r="G30" s="60">
        <v>0</v>
      </c>
      <c r="H30" s="70">
        <v>0</v>
      </c>
      <c r="I30" s="60">
        <v>0</v>
      </c>
      <c r="J30" s="70">
        <v>0</v>
      </c>
      <c r="K30" s="60">
        <v>0</v>
      </c>
      <c r="L30" s="70">
        <v>1.4181910071218974E-2</v>
      </c>
      <c r="M30" s="60">
        <v>1.2374283001642597E-2</v>
      </c>
      <c r="N30" s="70">
        <v>0</v>
      </c>
      <c r="O30" s="60">
        <v>0</v>
      </c>
      <c r="P30" s="70">
        <v>4.2585167278044369E-3</v>
      </c>
      <c r="Q30" s="60">
        <v>5.2069433125898337E-3</v>
      </c>
      <c r="R30" s="70">
        <v>0</v>
      </c>
      <c r="S30" s="60">
        <v>0</v>
      </c>
      <c r="T30" s="70">
        <v>0</v>
      </c>
      <c r="U30" s="60">
        <v>0</v>
      </c>
      <c r="V30" s="70">
        <v>1.2571738373559744E-3</v>
      </c>
      <c r="W30" s="60">
        <v>1.5195303232211144E-3</v>
      </c>
    </row>
    <row r="31" spans="1:23" s="22" customFormat="1" x14ac:dyDescent="0.35">
      <c r="A31" s="56"/>
      <c r="B31" s="178" t="s">
        <v>11</v>
      </c>
      <c r="C31" s="61" t="s">
        <v>9</v>
      </c>
      <c r="D31" s="70">
        <v>3.4326956733356111E-2</v>
      </c>
      <c r="E31" s="60">
        <v>4.2736190283806152E-2</v>
      </c>
      <c r="F31" s="70">
        <v>2.6763247658260481E-2</v>
      </c>
      <c r="G31" s="60">
        <v>2.9067686894515575E-2</v>
      </c>
      <c r="H31" s="70">
        <v>3.4995783478239784E-2</v>
      </c>
      <c r="I31" s="60">
        <v>4.0838971120548281E-2</v>
      </c>
      <c r="J31" s="70">
        <v>4.0045665633624244E-2</v>
      </c>
      <c r="K31" s="60">
        <v>5.005757929659771E-2</v>
      </c>
      <c r="L31" s="70">
        <v>4.6413523869443918E-2</v>
      </c>
      <c r="M31" s="60">
        <v>4.9763209355020335E-2</v>
      </c>
      <c r="N31" s="70">
        <v>4.6375263541722216E-2</v>
      </c>
      <c r="O31" s="60">
        <v>5.7552957309591479E-2</v>
      </c>
      <c r="P31" s="70">
        <v>2.8715158498485313E-2</v>
      </c>
      <c r="Q31" s="60">
        <v>3.6948073215393236E-2</v>
      </c>
      <c r="R31" s="70">
        <v>3.1777630959681516E-2</v>
      </c>
      <c r="S31" s="60">
        <v>3.6942685232116503E-2</v>
      </c>
      <c r="T31" s="70">
        <v>3.3037781420611138E-2</v>
      </c>
      <c r="U31" s="60">
        <v>3.8549127773113943E-2</v>
      </c>
      <c r="V31" s="70">
        <v>3.4019433633113404E-2</v>
      </c>
      <c r="W31" s="60">
        <v>4.178361718898637E-2</v>
      </c>
    </row>
    <row r="32" spans="1:23" x14ac:dyDescent="0.35">
      <c r="A32" s="15" t="s">
        <v>4</v>
      </c>
      <c r="B32" s="181" t="s">
        <v>12</v>
      </c>
      <c r="C32" s="19" t="s">
        <v>7</v>
      </c>
      <c r="D32" s="69">
        <v>3.2552124488972434E-2</v>
      </c>
      <c r="E32" s="24">
        <v>3.7077654241779286E-2</v>
      </c>
      <c r="F32" s="69">
        <v>2.8510944386155094E-2</v>
      </c>
      <c r="G32" s="24">
        <v>3.9360184642648351E-2</v>
      </c>
      <c r="H32" s="69">
        <v>4.9761243384461466E-2</v>
      </c>
      <c r="I32" s="24">
        <v>5.5530875050206374E-2</v>
      </c>
      <c r="J32" s="69">
        <v>4.9886039537968045E-2</v>
      </c>
      <c r="K32" s="24">
        <v>5.493521470397076E-2</v>
      </c>
      <c r="L32" s="69">
        <v>2.5785291038579954E-2</v>
      </c>
      <c r="M32" s="24">
        <v>3.0557178068080178E-2</v>
      </c>
      <c r="N32" s="69">
        <v>2.2735277242627937E-2</v>
      </c>
      <c r="O32" s="24">
        <v>2.8521632042114872E-2</v>
      </c>
      <c r="P32" s="69">
        <v>3.5591761443254183E-2</v>
      </c>
      <c r="Q32" s="24">
        <v>3.8920126084140021E-2</v>
      </c>
      <c r="R32" s="69">
        <v>3.6297024723682084E-2</v>
      </c>
      <c r="S32" s="24">
        <v>4.2089284602203819E-2</v>
      </c>
      <c r="T32" s="69">
        <v>4.1558353578051738E-2</v>
      </c>
      <c r="U32" s="24">
        <v>4.9154973575792772E-2</v>
      </c>
      <c r="V32" s="69">
        <v>3.4700491803364514E-2</v>
      </c>
      <c r="W32" s="24">
        <v>3.9825291618996457E-2</v>
      </c>
    </row>
    <row r="33" spans="1:23" s="22" customFormat="1" x14ac:dyDescent="0.35">
      <c r="A33" s="56"/>
      <c r="B33" s="178" t="s">
        <v>12</v>
      </c>
      <c r="C33" s="61" t="s">
        <v>8</v>
      </c>
      <c r="D33" s="70">
        <v>6.7287095716380106E-3</v>
      </c>
      <c r="E33" s="60">
        <v>6.2683711450112409E-3</v>
      </c>
      <c r="F33" s="70">
        <v>0</v>
      </c>
      <c r="G33" s="60">
        <v>0</v>
      </c>
      <c r="H33" s="70">
        <v>3.3146620900117378E-2</v>
      </c>
      <c r="I33" s="60">
        <v>3.2235803797245464E-2</v>
      </c>
      <c r="J33" s="70">
        <v>2.816635648244303E-2</v>
      </c>
      <c r="K33" s="60">
        <v>2.8346929290612482E-2</v>
      </c>
      <c r="L33" s="70">
        <v>0</v>
      </c>
      <c r="M33" s="60">
        <v>0</v>
      </c>
      <c r="N33" s="70">
        <v>0</v>
      </c>
      <c r="O33" s="60">
        <v>0</v>
      </c>
      <c r="P33" s="70">
        <v>1.0705683119521933E-2</v>
      </c>
      <c r="Q33" s="60">
        <v>1.0117753144083187E-2</v>
      </c>
      <c r="R33" s="70">
        <v>7.2353403140439252E-3</v>
      </c>
      <c r="S33" s="60">
        <v>7.2221558987421953E-3</v>
      </c>
      <c r="T33" s="70">
        <v>1.9089445046080376E-2</v>
      </c>
      <c r="U33" s="60">
        <v>1.8867515625310638E-2</v>
      </c>
      <c r="V33" s="70">
        <v>9.6772689700380006E-3</v>
      </c>
      <c r="W33" s="60">
        <v>9.134725783622592E-3</v>
      </c>
    </row>
    <row r="34" spans="1:23" s="22" customFormat="1" x14ac:dyDescent="0.35">
      <c r="A34" s="56"/>
      <c r="B34" s="178" t="s">
        <v>12</v>
      </c>
      <c r="C34" s="61" t="s">
        <v>9</v>
      </c>
      <c r="D34" s="70">
        <v>2.582341491733442E-2</v>
      </c>
      <c r="E34" s="60">
        <v>3.0809283096769578E-2</v>
      </c>
      <c r="F34" s="70">
        <v>2.8510944386155094E-2</v>
      </c>
      <c r="G34" s="60">
        <v>3.9360184642648351E-2</v>
      </c>
      <c r="H34" s="70">
        <v>1.6614622484344085E-2</v>
      </c>
      <c r="I34" s="60">
        <v>2.329507125296008E-2</v>
      </c>
      <c r="J34" s="70">
        <v>2.1719683055525012E-2</v>
      </c>
      <c r="K34" s="60">
        <v>2.6588285413358101E-2</v>
      </c>
      <c r="L34" s="70">
        <v>2.5785291038579954E-2</v>
      </c>
      <c r="M34" s="60">
        <v>3.0557178068080178E-2</v>
      </c>
      <c r="N34" s="70">
        <v>2.2735277242627937E-2</v>
      </c>
      <c r="O34" s="60">
        <v>2.859277180472997E-2</v>
      </c>
      <c r="P34" s="70">
        <v>2.4886078323732245E-2</v>
      </c>
      <c r="Q34" s="60">
        <v>2.8802372940056723E-2</v>
      </c>
      <c r="R34" s="70">
        <v>2.9061684409638158E-2</v>
      </c>
      <c r="S34" s="60">
        <v>3.4867128703462709E-2</v>
      </c>
      <c r="T34" s="70">
        <v>2.2468908531971359E-2</v>
      </c>
      <c r="U34" s="60">
        <v>3.0287457950480046E-2</v>
      </c>
      <c r="V34" s="70">
        <v>2.5023222833326517E-2</v>
      </c>
      <c r="W34" s="60">
        <v>3.0690565835374734E-2</v>
      </c>
    </row>
    <row r="35" spans="1:23" x14ac:dyDescent="0.35">
      <c r="A35" s="15" t="s">
        <v>5</v>
      </c>
      <c r="B35" s="181" t="s">
        <v>13</v>
      </c>
      <c r="C35" s="19" t="s">
        <v>7</v>
      </c>
      <c r="D35" s="69">
        <v>1.4572612985404637E-3</v>
      </c>
      <c r="E35" s="24">
        <v>1.1797241024775345E-3</v>
      </c>
      <c r="F35" s="69">
        <v>0</v>
      </c>
      <c r="G35" s="24">
        <v>0</v>
      </c>
      <c r="H35" s="69">
        <v>0</v>
      </c>
      <c r="I35" s="24">
        <v>0</v>
      </c>
      <c r="J35" s="69">
        <v>0</v>
      </c>
      <c r="K35" s="24">
        <v>0</v>
      </c>
      <c r="L35" s="69">
        <v>0</v>
      </c>
      <c r="M35" s="24">
        <v>0</v>
      </c>
      <c r="N35" s="69">
        <v>0</v>
      </c>
      <c r="O35" s="24">
        <v>0</v>
      </c>
      <c r="P35" s="69">
        <v>2.5013903382944767E-3</v>
      </c>
      <c r="Q35" s="24">
        <v>2.2311234153073321E-3</v>
      </c>
      <c r="R35" s="69">
        <v>1.3680693356401194E-3</v>
      </c>
      <c r="S35" s="24">
        <v>9.8501488808538018E-4</v>
      </c>
      <c r="T35" s="69">
        <v>0</v>
      </c>
      <c r="U35" s="24">
        <v>0</v>
      </c>
      <c r="V35" s="69">
        <v>1.109642694738751E-3</v>
      </c>
      <c r="W35" s="24">
        <v>9.1133225581641823E-4</v>
      </c>
    </row>
    <row r="36" spans="1:23" s="22" customFormat="1" x14ac:dyDescent="0.35">
      <c r="A36" s="56"/>
      <c r="B36" s="178" t="s">
        <v>13</v>
      </c>
      <c r="C36" s="61" t="s">
        <v>8</v>
      </c>
      <c r="D36" s="70">
        <v>0</v>
      </c>
      <c r="E36" s="60">
        <v>0</v>
      </c>
      <c r="F36" s="70">
        <v>0</v>
      </c>
      <c r="G36" s="60">
        <v>0</v>
      </c>
      <c r="H36" s="70">
        <v>0</v>
      </c>
      <c r="I36" s="60">
        <v>0</v>
      </c>
      <c r="J36" s="70">
        <v>0</v>
      </c>
      <c r="K36" s="60">
        <v>0</v>
      </c>
      <c r="L36" s="70">
        <v>0</v>
      </c>
      <c r="M36" s="60">
        <v>0</v>
      </c>
      <c r="N36" s="70">
        <v>0</v>
      </c>
      <c r="O36" s="60">
        <v>0</v>
      </c>
      <c r="P36" s="70">
        <v>0</v>
      </c>
      <c r="Q36" s="60">
        <v>0</v>
      </c>
      <c r="R36" s="70">
        <v>0</v>
      </c>
      <c r="S36" s="60">
        <v>0</v>
      </c>
      <c r="T36" s="70">
        <v>0</v>
      </c>
      <c r="U36" s="60">
        <v>0</v>
      </c>
      <c r="V36" s="70">
        <v>0</v>
      </c>
      <c r="W36" s="60">
        <v>0</v>
      </c>
    </row>
    <row r="37" spans="1:23" s="22" customFormat="1" x14ac:dyDescent="0.35">
      <c r="A37" s="56"/>
      <c r="B37" s="178" t="s">
        <v>13</v>
      </c>
      <c r="C37" s="61" t="s">
        <v>9</v>
      </c>
      <c r="D37" s="70">
        <v>1.4572612985404637E-3</v>
      </c>
      <c r="E37" s="60">
        <v>1.1797725392780544E-3</v>
      </c>
      <c r="F37" s="70">
        <v>0</v>
      </c>
      <c r="G37" s="60">
        <v>0</v>
      </c>
      <c r="H37" s="70">
        <v>0</v>
      </c>
      <c r="I37" s="60">
        <v>0</v>
      </c>
      <c r="J37" s="70">
        <v>0</v>
      </c>
      <c r="K37" s="60">
        <v>0</v>
      </c>
      <c r="L37" s="70">
        <v>0</v>
      </c>
      <c r="M37" s="60">
        <v>0</v>
      </c>
      <c r="N37" s="70">
        <v>0</v>
      </c>
      <c r="O37" s="60">
        <v>0</v>
      </c>
      <c r="P37" s="70">
        <v>2.5013903382944767E-3</v>
      </c>
      <c r="Q37" s="60">
        <v>2.2312514276893692E-3</v>
      </c>
      <c r="R37" s="70">
        <v>1.3680693356401194E-3</v>
      </c>
      <c r="S37" s="60">
        <v>9.8501488808538018E-4</v>
      </c>
      <c r="T37" s="70">
        <v>0</v>
      </c>
      <c r="U37" s="60">
        <v>0</v>
      </c>
      <c r="V37" s="70">
        <v>1.109642694738751E-3</v>
      </c>
      <c r="W37" s="60">
        <v>9.1136967305540609E-4</v>
      </c>
    </row>
  </sheetData>
  <mergeCells count="15">
    <mergeCell ref="Y3:Z3"/>
    <mergeCell ref="AA3:AB3"/>
    <mergeCell ref="AC3:AD3"/>
    <mergeCell ref="H2:I2"/>
    <mergeCell ref="A21:W21"/>
    <mergeCell ref="D2:E2"/>
    <mergeCell ref="V2:W2"/>
    <mergeCell ref="R2:S2"/>
    <mergeCell ref="L2:M2"/>
    <mergeCell ref="A1:W1"/>
    <mergeCell ref="F2:G2"/>
    <mergeCell ref="N2:O2"/>
    <mergeCell ref="J2:K2"/>
    <mergeCell ref="P2:Q2"/>
    <mergeCell ref="T2:U2"/>
  </mergeCells>
  <pageMargins left="0.70866141732283472" right="0.70866141732283472" top="0.74803149606299213" bottom="0.74803149606299213" header="0.31496062992125984" footer="0.31496062992125984"/>
  <pageSetup scale="42" orientation="landscape" r:id="rId1"/>
  <customProperties>
    <customPr name="Ibp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5"/>
    <pageSetUpPr fitToPage="1"/>
  </sheetPr>
  <dimension ref="A1:AC13"/>
  <sheetViews>
    <sheetView showGridLines="0" zoomScale="93" zoomScaleNormal="93" workbookViewId="0">
      <selection sqref="A1:V1"/>
    </sheetView>
  </sheetViews>
  <sheetFormatPr defaultColWidth="9.1796875" defaultRowHeight="14.5" x14ac:dyDescent="0.35"/>
  <cols>
    <col min="1" max="1" width="12.26953125" style="22" customWidth="1"/>
    <col min="2" max="2" width="9.1796875" style="22" customWidth="1"/>
    <col min="3" max="3" width="11.7265625" style="22" customWidth="1"/>
    <col min="4" max="4" width="14.26953125" style="22" customWidth="1"/>
    <col min="5" max="5" width="11.7265625" style="22" customWidth="1"/>
    <col min="6" max="6" width="14.26953125" style="22" customWidth="1"/>
    <col min="7" max="7" width="11.7265625" style="22" customWidth="1"/>
    <col min="8" max="8" width="14.26953125" style="22" customWidth="1"/>
    <col min="9" max="9" width="11.7265625" style="22" customWidth="1"/>
    <col min="10" max="10" width="14.26953125" style="22" customWidth="1"/>
    <col min="11" max="11" width="11.7265625" style="22" customWidth="1"/>
    <col min="12" max="12" width="14.26953125" style="22" customWidth="1"/>
    <col min="13" max="13" width="11.7265625" style="22" customWidth="1"/>
    <col min="14" max="14" width="14.26953125" style="22" customWidth="1"/>
    <col min="15" max="15" width="11.7265625" style="22" customWidth="1"/>
    <col min="16" max="16" width="14.26953125" style="22" customWidth="1"/>
    <col min="17" max="17" width="11.7265625" style="22" customWidth="1"/>
    <col min="18" max="18" width="14.26953125" style="22" customWidth="1"/>
    <col min="19" max="19" width="11.7265625" style="22" customWidth="1"/>
    <col min="20" max="20" width="14.26953125" style="22" customWidth="1"/>
    <col min="21" max="21" width="11.7265625" style="22" customWidth="1"/>
    <col min="22" max="22" width="14.26953125" style="22" customWidth="1"/>
    <col min="23" max="24" width="9.1796875" style="22"/>
    <col min="25" max="25" width="16" style="22" bestFit="1" customWidth="1"/>
    <col min="26" max="26" width="9.1796875" style="22"/>
    <col min="27" max="27" width="16" style="22" bestFit="1" customWidth="1"/>
    <col min="28" max="28" width="13.81640625" style="22" customWidth="1"/>
    <col min="29" max="29" width="16" style="22" bestFit="1" customWidth="1"/>
    <col min="30" max="16384" width="9.1796875" style="22"/>
  </cols>
  <sheetData>
    <row r="1" spans="1:29" ht="26.5" x14ac:dyDescent="0.85">
      <c r="A1" s="167" t="s">
        <v>62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</row>
    <row r="2" spans="1:29" s="8" customFormat="1" ht="37.5" customHeight="1" x14ac:dyDescent="0.5">
      <c r="A2" s="106"/>
      <c r="B2" s="106"/>
      <c r="C2" s="171" t="s">
        <v>136</v>
      </c>
      <c r="D2" s="171"/>
      <c r="E2" s="171" t="s">
        <v>137</v>
      </c>
      <c r="F2" s="171"/>
      <c r="G2" s="171" t="s">
        <v>138</v>
      </c>
      <c r="H2" s="171"/>
      <c r="I2" s="171" t="s">
        <v>139</v>
      </c>
      <c r="J2" s="171"/>
      <c r="K2" s="171" t="s">
        <v>140</v>
      </c>
      <c r="L2" s="171"/>
      <c r="M2" s="171" t="s">
        <v>141</v>
      </c>
      <c r="N2" s="171"/>
      <c r="O2" s="171" t="s">
        <v>142</v>
      </c>
      <c r="P2" s="171"/>
      <c r="Q2" s="171" t="s">
        <v>148</v>
      </c>
      <c r="R2" s="171"/>
      <c r="S2" s="171" t="s">
        <v>143</v>
      </c>
      <c r="T2" s="171"/>
      <c r="U2" s="171" t="s">
        <v>135</v>
      </c>
      <c r="V2" s="171"/>
    </row>
    <row r="3" spans="1:29" ht="16" x14ac:dyDescent="0.5">
      <c r="A3" s="107"/>
      <c r="B3" s="107"/>
      <c r="C3" s="109" t="s">
        <v>0</v>
      </c>
      <c r="D3" s="108" t="s">
        <v>61</v>
      </c>
      <c r="E3" s="109" t="s">
        <v>0</v>
      </c>
      <c r="F3" s="108" t="s">
        <v>61</v>
      </c>
      <c r="G3" s="109" t="s">
        <v>0</v>
      </c>
      <c r="H3" s="108" t="s">
        <v>61</v>
      </c>
      <c r="I3" s="109" t="s">
        <v>0</v>
      </c>
      <c r="J3" s="108" t="s">
        <v>61</v>
      </c>
      <c r="K3" s="109" t="s">
        <v>0</v>
      </c>
      <c r="L3" s="108" t="s">
        <v>61</v>
      </c>
      <c r="M3" s="109" t="s">
        <v>0</v>
      </c>
      <c r="N3" s="108" t="s">
        <v>61</v>
      </c>
      <c r="O3" s="109" t="s">
        <v>0</v>
      </c>
      <c r="P3" s="108" t="s">
        <v>61</v>
      </c>
      <c r="Q3" s="109" t="s">
        <v>0</v>
      </c>
      <c r="R3" s="108" t="s">
        <v>61</v>
      </c>
      <c r="S3" s="109" t="s">
        <v>0</v>
      </c>
      <c r="T3" s="108" t="s">
        <v>61</v>
      </c>
      <c r="U3" s="109" t="s">
        <v>0</v>
      </c>
      <c r="V3" s="108" t="s">
        <v>61</v>
      </c>
      <c r="X3" s="172"/>
      <c r="Y3" s="172"/>
      <c r="Z3" s="172"/>
      <c r="AA3" s="172"/>
      <c r="AB3" s="172"/>
      <c r="AC3" s="172"/>
    </row>
    <row r="4" spans="1:29" x14ac:dyDescent="0.35">
      <c r="A4" s="9" t="s">
        <v>17</v>
      </c>
      <c r="B4" s="2" t="s">
        <v>7</v>
      </c>
      <c r="C4" s="46">
        <v>2457852</v>
      </c>
      <c r="D4" s="5">
        <v>150.79223883456001</v>
      </c>
      <c r="E4" s="46">
        <v>279900</v>
      </c>
      <c r="F4" s="5">
        <v>143.15932838725001</v>
      </c>
      <c r="G4" s="46">
        <v>288820</v>
      </c>
      <c r="H4" s="5">
        <v>151.89977486145</v>
      </c>
      <c r="I4" s="46">
        <v>167951</v>
      </c>
      <c r="J4" s="5">
        <v>158.22334284346999</v>
      </c>
      <c r="K4" s="46">
        <v>225500</v>
      </c>
      <c r="L4" s="5">
        <v>161.49346664097999</v>
      </c>
      <c r="M4" s="46">
        <v>429708</v>
      </c>
      <c r="N4" s="5">
        <v>164.529413589</v>
      </c>
      <c r="O4" s="46">
        <v>1041186</v>
      </c>
      <c r="P4" s="5">
        <v>152.75837632546001</v>
      </c>
      <c r="Q4" s="46">
        <v>986958</v>
      </c>
      <c r="R4" s="5">
        <v>142.73709492876</v>
      </c>
      <c r="S4" s="46">
        <v>736671</v>
      </c>
      <c r="T4" s="5">
        <v>150.02050799471999</v>
      </c>
      <c r="U4" s="46">
        <v>3194523</v>
      </c>
      <c r="V4" s="5">
        <v>150.61427432170001</v>
      </c>
    </row>
    <row r="5" spans="1:29" x14ac:dyDescent="0.35">
      <c r="A5" s="71"/>
      <c r="B5" s="73" t="s">
        <v>8</v>
      </c>
      <c r="C5" s="122">
        <v>65644</v>
      </c>
      <c r="D5" s="128">
        <v>147.37454525622999</v>
      </c>
      <c r="E5" s="122">
        <v>0</v>
      </c>
      <c r="F5" s="128">
        <v>0</v>
      </c>
      <c r="G5" s="122">
        <v>7864</v>
      </c>
      <c r="H5" s="128">
        <v>115.03584868657001</v>
      </c>
      <c r="I5" s="122">
        <v>0</v>
      </c>
      <c r="J5" s="128">
        <v>0</v>
      </c>
      <c r="K5" s="122">
        <v>0</v>
      </c>
      <c r="L5" s="128">
        <v>0</v>
      </c>
      <c r="M5" s="122">
        <v>27258</v>
      </c>
      <c r="N5" s="128">
        <v>161.18092484408001</v>
      </c>
      <c r="O5" s="122">
        <v>32178</v>
      </c>
      <c r="P5" s="128">
        <v>136.11439996892</v>
      </c>
      <c r="Q5" s="122">
        <v>6208</v>
      </c>
      <c r="R5" s="128">
        <v>145.1185304768</v>
      </c>
      <c r="S5" s="122">
        <v>7864</v>
      </c>
      <c r="T5" s="128">
        <v>115.03584868657001</v>
      </c>
      <c r="U5" s="122">
        <v>73508</v>
      </c>
      <c r="V5" s="128">
        <v>143.91490127430001</v>
      </c>
    </row>
    <row r="6" spans="1:29" x14ac:dyDescent="0.35">
      <c r="A6" s="71"/>
      <c r="B6" s="73" t="s">
        <v>9</v>
      </c>
      <c r="C6" s="122">
        <v>2392208</v>
      </c>
      <c r="D6" s="128">
        <v>150.88602293580001</v>
      </c>
      <c r="E6" s="122">
        <v>279900</v>
      </c>
      <c r="F6" s="128">
        <v>143.15932838725001</v>
      </c>
      <c r="G6" s="122">
        <v>280956</v>
      </c>
      <c r="H6" s="128">
        <v>152.93160160812999</v>
      </c>
      <c r="I6" s="122">
        <v>167951</v>
      </c>
      <c r="J6" s="128">
        <v>158.22334284346999</v>
      </c>
      <c r="K6" s="122">
        <v>225500</v>
      </c>
      <c r="L6" s="128">
        <v>161.49346664097999</v>
      </c>
      <c r="M6" s="122">
        <v>402450</v>
      </c>
      <c r="N6" s="128">
        <v>164.75620724338</v>
      </c>
      <c r="O6" s="122">
        <v>1009008</v>
      </c>
      <c r="P6" s="128">
        <v>153.2891648536</v>
      </c>
      <c r="Q6" s="122">
        <v>980750</v>
      </c>
      <c r="R6" s="128">
        <v>142.72202079990001</v>
      </c>
      <c r="S6" s="122">
        <v>728807</v>
      </c>
      <c r="T6" s="128">
        <v>150.39800074767001</v>
      </c>
      <c r="U6" s="122">
        <v>3121015</v>
      </c>
      <c r="V6" s="128">
        <v>150.77206193693999</v>
      </c>
    </row>
    <row r="7" spans="1:29" x14ac:dyDescent="0.35">
      <c r="A7" s="9" t="s">
        <v>18</v>
      </c>
      <c r="B7" s="2" t="s">
        <v>7</v>
      </c>
      <c r="C7" s="129">
        <v>2178010</v>
      </c>
      <c r="D7" s="130">
        <v>140.76032873278999</v>
      </c>
      <c r="E7" s="129">
        <v>268226</v>
      </c>
      <c r="F7" s="130">
        <v>142.37207243034999</v>
      </c>
      <c r="G7" s="129">
        <v>214640</v>
      </c>
      <c r="H7" s="130">
        <v>143.56337671110001</v>
      </c>
      <c r="I7" s="129">
        <v>133000</v>
      </c>
      <c r="J7" s="130">
        <v>132.50565164919001</v>
      </c>
      <c r="K7" s="129">
        <v>153500</v>
      </c>
      <c r="L7" s="130">
        <v>137.39333269359</v>
      </c>
      <c r="M7" s="129">
        <v>669209</v>
      </c>
      <c r="N7" s="130">
        <v>155.91593989576</v>
      </c>
      <c r="O7" s="129">
        <v>705040</v>
      </c>
      <c r="P7" s="130">
        <v>114.92387604491</v>
      </c>
      <c r="Q7" s="129">
        <v>803761</v>
      </c>
      <c r="R7" s="130">
        <v>150.80493305210999</v>
      </c>
      <c r="S7" s="129">
        <v>615866</v>
      </c>
      <c r="T7" s="130">
        <v>140.65654922713</v>
      </c>
      <c r="U7" s="129">
        <v>2793876</v>
      </c>
      <c r="V7" s="130">
        <v>140.73745217383001</v>
      </c>
    </row>
    <row r="8" spans="1:29" x14ac:dyDescent="0.35">
      <c r="A8" s="71"/>
      <c r="B8" s="73" t="s">
        <v>8</v>
      </c>
      <c r="C8" s="122">
        <v>1191934</v>
      </c>
      <c r="D8" s="128">
        <v>139.00477063923</v>
      </c>
      <c r="E8" s="122">
        <v>125468</v>
      </c>
      <c r="F8" s="128">
        <v>139.04628440225</v>
      </c>
      <c r="G8" s="122">
        <v>81403</v>
      </c>
      <c r="H8" s="128">
        <v>131.43426987517</v>
      </c>
      <c r="I8" s="122">
        <v>44500</v>
      </c>
      <c r="J8" s="128">
        <v>116.1462265733</v>
      </c>
      <c r="K8" s="122">
        <v>101000</v>
      </c>
      <c r="L8" s="128">
        <v>133.7860200776</v>
      </c>
      <c r="M8" s="122">
        <v>337411</v>
      </c>
      <c r="N8" s="128">
        <v>155.45793002955</v>
      </c>
      <c r="O8" s="122">
        <v>327787</v>
      </c>
      <c r="P8" s="128">
        <v>108.61639570209</v>
      </c>
      <c r="Q8" s="122">
        <v>526736</v>
      </c>
      <c r="R8" s="128">
        <v>147.37601789113</v>
      </c>
      <c r="S8" s="122">
        <v>251371</v>
      </c>
      <c r="T8" s="128">
        <v>132.52726115798001</v>
      </c>
      <c r="U8" s="122">
        <v>1443305</v>
      </c>
      <c r="V8" s="128">
        <v>137.87662514274001</v>
      </c>
    </row>
    <row r="9" spans="1:29" x14ac:dyDescent="0.35">
      <c r="A9" s="71"/>
      <c r="B9" s="73" t="s">
        <v>9</v>
      </c>
      <c r="C9" s="122">
        <v>986076</v>
      </c>
      <c r="D9" s="128">
        <v>142.88238563376001</v>
      </c>
      <c r="E9" s="122">
        <v>142758</v>
      </c>
      <c r="F9" s="128">
        <v>145.29506079044</v>
      </c>
      <c r="G9" s="122">
        <v>133237</v>
      </c>
      <c r="H9" s="128">
        <v>150.97382338707001</v>
      </c>
      <c r="I9" s="122">
        <v>88500</v>
      </c>
      <c r="J9" s="128">
        <v>140.73157725233</v>
      </c>
      <c r="K9" s="122">
        <v>52500</v>
      </c>
      <c r="L9" s="128">
        <v>144.33311505958</v>
      </c>
      <c r="M9" s="122">
        <v>331798</v>
      </c>
      <c r="N9" s="128">
        <v>156.38169787793001</v>
      </c>
      <c r="O9" s="122">
        <v>377253</v>
      </c>
      <c r="P9" s="128">
        <v>120.40430975685</v>
      </c>
      <c r="Q9" s="122">
        <v>277025</v>
      </c>
      <c r="R9" s="128">
        <v>157.32468057035001</v>
      </c>
      <c r="S9" s="122">
        <v>364495</v>
      </c>
      <c r="T9" s="128">
        <v>146.26284635393</v>
      </c>
      <c r="U9" s="122">
        <v>1350571</v>
      </c>
      <c r="V9" s="128">
        <v>143.79471162787999</v>
      </c>
    </row>
    <row r="10" spans="1:29" x14ac:dyDescent="0.35">
      <c r="A10" s="9" t="s">
        <v>19</v>
      </c>
      <c r="B10" s="2" t="s">
        <v>7</v>
      </c>
      <c r="C10" s="129">
        <v>1237625</v>
      </c>
      <c r="D10" s="130">
        <v>156.87366778467</v>
      </c>
      <c r="E10" s="129">
        <v>221771</v>
      </c>
      <c r="F10" s="130">
        <v>135.2319284653</v>
      </c>
      <c r="G10" s="129">
        <v>176166</v>
      </c>
      <c r="H10" s="130">
        <v>133.75202900926999</v>
      </c>
      <c r="I10" s="129">
        <v>76193</v>
      </c>
      <c r="J10" s="130">
        <v>129.23255258011</v>
      </c>
      <c r="K10" s="129">
        <v>183900</v>
      </c>
      <c r="L10" s="130">
        <v>135.16873343141</v>
      </c>
      <c r="M10" s="129">
        <v>303173</v>
      </c>
      <c r="N10" s="130">
        <v>172.42761855145</v>
      </c>
      <c r="O10" s="129">
        <v>460933</v>
      </c>
      <c r="P10" s="130">
        <v>159.8260391801</v>
      </c>
      <c r="Q10" s="129">
        <v>473519</v>
      </c>
      <c r="R10" s="130">
        <v>144.04127178740001</v>
      </c>
      <c r="S10" s="129">
        <v>474130</v>
      </c>
      <c r="T10" s="130">
        <v>133.71795884854001</v>
      </c>
      <c r="U10" s="129">
        <v>1711755</v>
      </c>
      <c r="V10" s="130">
        <v>150.45988994971</v>
      </c>
    </row>
    <row r="11" spans="1:29" x14ac:dyDescent="0.35">
      <c r="A11" s="71"/>
      <c r="B11" s="73" t="s">
        <v>8</v>
      </c>
      <c r="C11" s="122">
        <v>1179438</v>
      </c>
      <c r="D11" s="128">
        <v>154.19530630579999</v>
      </c>
      <c r="E11" s="122">
        <v>221771</v>
      </c>
      <c r="F11" s="128">
        <v>135.2319284653</v>
      </c>
      <c r="G11" s="122">
        <v>164183</v>
      </c>
      <c r="H11" s="128">
        <v>134.17853973311</v>
      </c>
      <c r="I11" s="122">
        <v>76193</v>
      </c>
      <c r="J11" s="128">
        <v>129.23255258011</v>
      </c>
      <c r="K11" s="122">
        <v>173650</v>
      </c>
      <c r="L11" s="128">
        <v>131.25489583327001</v>
      </c>
      <c r="M11" s="122">
        <v>292967</v>
      </c>
      <c r="N11" s="128">
        <v>171.9206230927</v>
      </c>
      <c r="O11" s="122">
        <v>412952</v>
      </c>
      <c r="P11" s="128">
        <v>153.25832076755</v>
      </c>
      <c r="Q11" s="122">
        <v>473519</v>
      </c>
      <c r="R11" s="128">
        <v>144.04576039292999</v>
      </c>
      <c r="S11" s="122">
        <v>462147</v>
      </c>
      <c r="T11" s="128">
        <v>133.86859824993999</v>
      </c>
      <c r="U11" s="122">
        <v>1641585</v>
      </c>
      <c r="V11" s="128">
        <v>148.47283250890001</v>
      </c>
    </row>
    <row r="12" spans="1:29" x14ac:dyDescent="0.35">
      <c r="A12" s="71"/>
      <c r="B12" s="73" t="s">
        <v>9</v>
      </c>
      <c r="C12" s="122">
        <v>58187</v>
      </c>
      <c r="D12" s="128">
        <v>211.16348004365</v>
      </c>
      <c r="E12" s="122">
        <v>0</v>
      </c>
      <c r="F12" s="128">
        <v>0</v>
      </c>
      <c r="G12" s="122">
        <v>11983</v>
      </c>
      <c r="H12" s="128">
        <v>127.90826616414</v>
      </c>
      <c r="I12" s="122">
        <v>0</v>
      </c>
      <c r="J12" s="128">
        <v>0</v>
      </c>
      <c r="K12" s="122">
        <v>10250</v>
      </c>
      <c r="L12" s="128">
        <v>201.47486991105001</v>
      </c>
      <c r="M12" s="122">
        <v>10206</v>
      </c>
      <c r="N12" s="128">
        <v>186.98111047423001</v>
      </c>
      <c r="O12" s="122">
        <v>47981</v>
      </c>
      <c r="P12" s="128">
        <v>216.35159000021</v>
      </c>
      <c r="Q12" s="122">
        <v>0</v>
      </c>
      <c r="R12" s="128">
        <v>0</v>
      </c>
      <c r="S12" s="122">
        <v>11983</v>
      </c>
      <c r="T12" s="128">
        <v>127.90826616414</v>
      </c>
      <c r="U12" s="122">
        <v>70170</v>
      </c>
      <c r="V12" s="128">
        <v>196.94590518377001</v>
      </c>
    </row>
    <row r="13" spans="1:29" ht="7.5" customHeight="1" x14ac:dyDescent="0.35"/>
  </sheetData>
  <mergeCells count="14">
    <mergeCell ref="A1:V1"/>
    <mergeCell ref="U2:V2"/>
    <mergeCell ref="X3:Y3"/>
    <mergeCell ref="Z3:AA3"/>
    <mergeCell ref="AB3:AC3"/>
    <mergeCell ref="C2:D2"/>
    <mergeCell ref="E2:F2"/>
    <mergeCell ref="G2:H2"/>
    <mergeCell ref="I2:J2"/>
    <mergeCell ref="K2:L2"/>
    <mergeCell ref="M2:N2"/>
    <mergeCell ref="O2:P2"/>
    <mergeCell ref="Q2:R2"/>
    <mergeCell ref="S2:T2"/>
  </mergeCells>
  <pageMargins left="0.70866141732283472" right="0.70866141732283472" top="0.74803149606299213" bottom="0.74803149606299213" header="0.31496062992125984" footer="0.31496062992125984"/>
  <pageSetup scale="43" orientation="landscape" r:id="rId1"/>
  <customProperties>
    <customPr name="Ibp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5"/>
    <pageSetUpPr fitToPage="1"/>
  </sheetPr>
  <dimension ref="A1:U25"/>
  <sheetViews>
    <sheetView zoomScale="98" zoomScaleNormal="98" workbookViewId="0">
      <selection sqref="A1:U1"/>
    </sheetView>
  </sheetViews>
  <sheetFormatPr defaultRowHeight="14.5" x14ac:dyDescent="0.35"/>
  <cols>
    <col min="1" max="1" width="10.1796875" bestFit="1" customWidth="1"/>
    <col min="2" max="2" width="11.7265625" customWidth="1"/>
    <col min="3" max="3" width="14.26953125" customWidth="1"/>
    <col min="4" max="4" width="11.7265625" style="22" customWidth="1"/>
    <col min="5" max="5" width="14.26953125" style="22" customWidth="1"/>
    <col min="6" max="6" width="11.7265625" style="22" customWidth="1"/>
    <col min="7" max="7" width="14.26953125" style="22" customWidth="1"/>
    <col min="8" max="8" width="11.7265625" style="22" customWidth="1"/>
    <col min="9" max="9" width="14.26953125" style="22" customWidth="1"/>
    <col min="10" max="10" width="11.7265625" style="22" customWidth="1"/>
    <col min="11" max="11" width="14.26953125" style="22" customWidth="1"/>
    <col min="12" max="12" width="11.7265625" style="22" customWidth="1"/>
    <col min="13" max="13" width="14.26953125" style="22" customWidth="1"/>
    <col min="14" max="14" width="11.7265625" style="22" customWidth="1"/>
    <col min="15" max="15" width="14.26953125" style="22" customWidth="1"/>
    <col min="16" max="16" width="11.7265625" style="22" customWidth="1"/>
    <col min="17" max="17" width="14.26953125" style="22" customWidth="1"/>
    <col min="18" max="18" width="11.7265625" style="22" customWidth="1"/>
    <col min="19" max="19" width="14.26953125" style="22" customWidth="1"/>
    <col min="20" max="20" width="11.7265625" style="22" customWidth="1"/>
    <col min="21" max="21" width="14.26953125" style="22" customWidth="1"/>
  </cols>
  <sheetData>
    <row r="1" spans="1:21" ht="26.5" x14ac:dyDescent="0.85">
      <c r="A1" s="174" t="s">
        <v>63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</row>
    <row r="2" spans="1:21" s="8" customFormat="1" ht="37.5" customHeight="1" x14ac:dyDescent="0.5">
      <c r="A2" s="110"/>
      <c r="B2" s="171" t="s">
        <v>136</v>
      </c>
      <c r="C2" s="171"/>
      <c r="D2" s="175" t="s">
        <v>144</v>
      </c>
      <c r="E2" s="175"/>
      <c r="F2" s="175" t="s">
        <v>145</v>
      </c>
      <c r="G2" s="175"/>
      <c r="H2" s="175" t="s">
        <v>146</v>
      </c>
      <c r="I2" s="175"/>
      <c r="J2" s="175" t="s">
        <v>147</v>
      </c>
      <c r="K2" s="175"/>
      <c r="L2" s="175" t="s">
        <v>141</v>
      </c>
      <c r="M2" s="175"/>
      <c r="N2" s="175" t="s">
        <v>142</v>
      </c>
      <c r="O2" s="175"/>
      <c r="P2" s="171" t="s">
        <v>148</v>
      </c>
      <c r="Q2" s="171"/>
      <c r="R2" s="175" t="s">
        <v>143</v>
      </c>
      <c r="S2" s="175"/>
      <c r="T2" s="175" t="s">
        <v>135</v>
      </c>
      <c r="U2" s="175"/>
    </row>
    <row r="3" spans="1:21" ht="16" x14ac:dyDescent="0.5">
      <c r="A3" s="111"/>
      <c r="B3" s="112" t="s">
        <v>0</v>
      </c>
      <c r="C3" s="113" t="s">
        <v>61</v>
      </c>
      <c r="D3" s="112" t="s">
        <v>0</v>
      </c>
      <c r="E3" s="113" t="s">
        <v>61</v>
      </c>
      <c r="F3" s="112" t="s">
        <v>0</v>
      </c>
      <c r="G3" s="113" t="s">
        <v>61</v>
      </c>
      <c r="H3" s="112" t="s">
        <v>0</v>
      </c>
      <c r="I3" s="113" t="s">
        <v>61</v>
      </c>
      <c r="J3" s="112" t="s">
        <v>0</v>
      </c>
      <c r="K3" s="113" t="s">
        <v>61</v>
      </c>
      <c r="L3" s="112" t="s">
        <v>0</v>
      </c>
      <c r="M3" s="113" t="s">
        <v>61</v>
      </c>
      <c r="N3" s="112" t="s">
        <v>0</v>
      </c>
      <c r="O3" s="113" t="s">
        <v>61</v>
      </c>
      <c r="P3" s="112" t="s">
        <v>0</v>
      </c>
      <c r="Q3" s="113" t="s">
        <v>61</v>
      </c>
      <c r="R3" s="112" t="s">
        <v>0</v>
      </c>
      <c r="S3" s="113" t="s">
        <v>61</v>
      </c>
      <c r="T3" s="112" t="s">
        <v>0</v>
      </c>
      <c r="U3" s="113" t="s">
        <v>61</v>
      </c>
    </row>
    <row r="4" spans="1:21" x14ac:dyDescent="0.35">
      <c r="A4" s="4" t="s">
        <v>7</v>
      </c>
      <c r="B4" s="129">
        <v>9641373.1799999997</v>
      </c>
      <c r="C4" s="130">
        <v>160.02234892639001</v>
      </c>
      <c r="D4" s="129">
        <v>1170224.1969999999</v>
      </c>
      <c r="E4" s="130">
        <v>149.60894199558001</v>
      </c>
      <c r="F4" s="129">
        <v>1113477</v>
      </c>
      <c r="G4" s="130">
        <v>151.42157397304999</v>
      </c>
      <c r="H4" s="129">
        <v>736659</v>
      </c>
      <c r="I4" s="130">
        <v>150.26237542849</v>
      </c>
      <c r="J4" s="129">
        <v>775636</v>
      </c>
      <c r="K4" s="130">
        <v>148.15077426902999</v>
      </c>
      <c r="L4" s="129">
        <v>2467953.63</v>
      </c>
      <c r="M4" s="130">
        <v>175.66585436174</v>
      </c>
      <c r="N4" s="129">
        <v>3737921.21</v>
      </c>
      <c r="O4" s="130">
        <v>156.17548399852001</v>
      </c>
      <c r="P4" s="129">
        <v>3435498.39</v>
      </c>
      <c r="Q4" s="130">
        <v>152.97004580471</v>
      </c>
      <c r="R4" s="129">
        <v>3020360.1970000002</v>
      </c>
      <c r="S4" s="130">
        <v>150.43655243692001</v>
      </c>
      <c r="T4" s="129">
        <v>12661733.426999999</v>
      </c>
      <c r="U4" s="130">
        <v>157.73572945667999</v>
      </c>
    </row>
    <row r="5" spans="1:21" x14ac:dyDescent="0.35">
      <c r="A5" s="6" t="s">
        <v>8</v>
      </c>
      <c r="B5" s="124">
        <v>4412744</v>
      </c>
      <c r="C5" s="125">
        <v>156.35500750621</v>
      </c>
      <c r="D5" s="124">
        <v>549616</v>
      </c>
      <c r="E5" s="125">
        <v>143.30022687365999</v>
      </c>
      <c r="F5" s="124">
        <v>520207</v>
      </c>
      <c r="G5" s="125">
        <v>141.45012207011999</v>
      </c>
      <c r="H5" s="124">
        <v>322907</v>
      </c>
      <c r="I5" s="125">
        <v>138.18564683971999</v>
      </c>
      <c r="J5" s="124">
        <v>317650</v>
      </c>
      <c r="K5" s="125">
        <v>131.17070038475001</v>
      </c>
      <c r="L5" s="124">
        <v>1220020.02</v>
      </c>
      <c r="M5" s="125">
        <v>169.63681674272999</v>
      </c>
      <c r="N5" s="124">
        <v>1669276.01</v>
      </c>
      <c r="O5" s="125">
        <v>152.25266308925001</v>
      </c>
      <c r="P5" s="124">
        <v>1523448.02</v>
      </c>
      <c r="Q5" s="125">
        <v>150.21358637119999</v>
      </c>
      <c r="R5" s="124">
        <v>1392730</v>
      </c>
      <c r="S5" s="125">
        <v>141.4233583029</v>
      </c>
      <c r="T5" s="124">
        <v>5805474.0499999998</v>
      </c>
      <c r="U5" s="125">
        <v>152.77291180936001</v>
      </c>
    </row>
    <row r="6" spans="1:21" x14ac:dyDescent="0.35">
      <c r="A6" s="77" t="s">
        <v>40</v>
      </c>
      <c r="B6" s="131">
        <v>0</v>
      </c>
      <c r="C6" s="132">
        <v>0</v>
      </c>
      <c r="D6" s="131">
        <v>0</v>
      </c>
      <c r="E6" s="132">
        <v>0</v>
      </c>
      <c r="F6" s="131">
        <v>87921</v>
      </c>
      <c r="G6" s="132">
        <v>136.45675337310999</v>
      </c>
      <c r="H6" s="131">
        <v>76193</v>
      </c>
      <c r="I6" s="132">
        <v>129.23255258011</v>
      </c>
      <c r="J6" s="131">
        <v>153500</v>
      </c>
      <c r="K6" s="132">
        <v>131.18157605164001</v>
      </c>
      <c r="L6" s="131">
        <v>0</v>
      </c>
      <c r="M6" s="132">
        <v>0</v>
      </c>
      <c r="N6" s="131">
        <v>0</v>
      </c>
      <c r="O6" s="132">
        <v>0</v>
      </c>
      <c r="P6" s="131">
        <v>0</v>
      </c>
      <c r="Q6" s="132">
        <v>0</v>
      </c>
      <c r="R6" s="131">
        <v>164114</v>
      </c>
      <c r="S6" s="132">
        <v>133.10278277328001</v>
      </c>
      <c r="T6" s="131">
        <v>164114</v>
      </c>
      <c r="U6" s="132">
        <v>133.10278277328001</v>
      </c>
    </row>
    <row r="7" spans="1:21" s="22" customFormat="1" x14ac:dyDescent="0.35">
      <c r="A7" s="77" t="s">
        <v>20</v>
      </c>
      <c r="B7" s="131">
        <v>2846499</v>
      </c>
      <c r="C7" s="132">
        <v>160.57220460625001</v>
      </c>
      <c r="D7" s="131">
        <v>369615</v>
      </c>
      <c r="E7" s="132">
        <v>142.19991888410999</v>
      </c>
      <c r="F7" s="131">
        <v>232352</v>
      </c>
      <c r="G7" s="132">
        <v>144.79695610352999</v>
      </c>
      <c r="H7" s="131">
        <v>137097</v>
      </c>
      <c r="I7" s="132">
        <v>144.38899540394999</v>
      </c>
      <c r="J7" s="131">
        <v>41500</v>
      </c>
      <c r="K7" s="132">
        <v>125.07039883953</v>
      </c>
      <c r="L7" s="131">
        <v>818101.02</v>
      </c>
      <c r="M7" s="132">
        <v>171.66603128388999</v>
      </c>
      <c r="N7" s="131">
        <v>1123281.01</v>
      </c>
      <c r="O7" s="132">
        <v>159.92396530784001</v>
      </c>
      <c r="P7" s="131">
        <v>905117.02</v>
      </c>
      <c r="Q7" s="132">
        <v>151.34939267035</v>
      </c>
      <c r="R7" s="131">
        <v>739064</v>
      </c>
      <c r="S7" s="132">
        <v>143.42246877918001</v>
      </c>
      <c r="T7" s="131">
        <v>3585563.05</v>
      </c>
      <c r="U7" s="132">
        <v>157.03726177825999</v>
      </c>
    </row>
    <row r="8" spans="1:21" s="22" customFormat="1" x14ac:dyDescent="0.35">
      <c r="A8" s="77" t="s">
        <v>21</v>
      </c>
      <c r="B8" s="131">
        <v>203975</v>
      </c>
      <c r="C8" s="132">
        <v>138.86149927540001</v>
      </c>
      <c r="D8" s="131">
        <v>10481</v>
      </c>
      <c r="E8" s="132">
        <v>141.47129719826</v>
      </c>
      <c r="F8" s="131">
        <v>19445</v>
      </c>
      <c r="G8" s="132">
        <v>120.14586448347001</v>
      </c>
      <c r="H8" s="131">
        <v>0</v>
      </c>
      <c r="I8" s="132">
        <v>0</v>
      </c>
      <c r="J8" s="131">
        <v>10000</v>
      </c>
      <c r="K8" s="132">
        <v>145.8431150591</v>
      </c>
      <c r="L8" s="131">
        <v>37455</v>
      </c>
      <c r="M8" s="132">
        <v>131.02043274862999</v>
      </c>
      <c r="N8" s="131">
        <v>48552</v>
      </c>
      <c r="O8" s="132">
        <v>128.52214870242</v>
      </c>
      <c r="P8" s="131">
        <v>117968</v>
      </c>
      <c r="Q8" s="132">
        <v>145.60640718075999</v>
      </c>
      <c r="R8" s="131">
        <v>29926</v>
      </c>
      <c r="S8" s="132">
        <v>127.61468291172</v>
      </c>
      <c r="T8" s="131">
        <v>233901</v>
      </c>
      <c r="U8" s="132">
        <v>137.42254763988001</v>
      </c>
    </row>
    <row r="9" spans="1:21" s="22" customFormat="1" x14ac:dyDescent="0.35">
      <c r="A9" s="77" t="s">
        <v>22</v>
      </c>
      <c r="B9" s="131">
        <v>304889</v>
      </c>
      <c r="C9" s="132">
        <v>175.74345009429999</v>
      </c>
      <c r="D9" s="131">
        <v>35207</v>
      </c>
      <c r="E9" s="132">
        <v>153.03078880084001</v>
      </c>
      <c r="F9" s="131">
        <v>34549</v>
      </c>
      <c r="G9" s="132">
        <v>151.71748579659999</v>
      </c>
      <c r="H9" s="131">
        <v>26868</v>
      </c>
      <c r="I9" s="132">
        <v>143.70065135678001</v>
      </c>
      <c r="J9" s="131">
        <v>36500</v>
      </c>
      <c r="K9" s="132">
        <v>132.25676208242001</v>
      </c>
      <c r="L9" s="131">
        <v>103263</v>
      </c>
      <c r="M9" s="132">
        <v>193.98936259067</v>
      </c>
      <c r="N9" s="131">
        <v>74496</v>
      </c>
      <c r="O9" s="132">
        <v>181.45180447272</v>
      </c>
      <c r="P9" s="131">
        <v>127130</v>
      </c>
      <c r="Q9" s="132">
        <v>157.57797200189</v>
      </c>
      <c r="R9" s="131">
        <v>96624</v>
      </c>
      <c r="S9" s="132">
        <v>149.96679395132</v>
      </c>
      <c r="T9" s="131">
        <v>401513</v>
      </c>
      <c r="U9" s="132">
        <v>169.54030443485999</v>
      </c>
    </row>
    <row r="10" spans="1:21" s="22" customFormat="1" x14ac:dyDescent="0.35">
      <c r="A10" s="77" t="s">
        <v>23</v>
      </c>
      <c r="B10" s="131">
        <v>860598</v>
      </c>
      <c r="C10" s="132">
        <v>138.28689552741</v>
      </c>
      <c r="D10" s="131">
        <v>98545</v>
      </c>
      <c r="E10" s="132">
        <v>142.32750077628</v>
      </c>
      <c r="F10" s="131">
        <v>61958</v>
      </c>
      <c r="G10" s="132">
        <v>134.97704147595999</v>
      </c>
      <c r="H10" s="131">
        <v>62000</v>
      </c>
      <c r="I10" s="132">
        <v>128.71721879108</v>
      </c>
      <c r="J10" s="131">
        <v>56000</v>
      </c>
      <c r="K10" s="132">
        <v>132.1024249523</v>
      </c>
      <c r="L10" s="131">
        <v>234929</v>
      </c>
      <c r="M10" s="132">
        <v>155.46668561692999</v>
      </c>
      <c r="N10" s="131">
        <v>324428</v>
      </c>
      <c r="O10" s="132">
        <v>118.62866504186</v>
      </c>
      <c r="P10" s="131">
        <v>301241</v>
      </c>
      <c r="Q10" s="132">
        <v>146.06023811367001</v>
      </c>
      <c r="R10" s="131">
        <v>222503</v>
      </c>
      <c r="S10" s="132">
        <v>136.48822112426001</v>
      </c>
      <c r="T10" s="131">
        <v>1083101</v>
      </c>
      <c r="U10" s="132">
        <v>137.91739125152</v>
      </c>
    </row>
    <row r="11" spans="1:21" s="22" customFormat="1" x14ac:dyDescent="0.35">
      <c r="A11" s="77" t="s">
        <v>24</v>
      </c>
      <c r="B11" s="131">
        <v>196783</v>
      </c>
      <c r="C11" s="132">
        <v>162.46350861558</v>
      </c>
      <c r="D11" s="131">
        <v>35768</v>
      </c>
      <c r="E11" s="132">
        <v>148.30841153540001</v>
      </c>
      <c r="F11" s="131">
        <v>62954</v>
      </c>
      <c r="G11" s="132">
        <v>145.81803091529</v>
      </c>
      <c r="H11" s="131">
        <v>20749</v>
      </c>
      <c r="I11" s="132">
        <v>151.22569843088999</v>
      </c>
      <c r="J11" s="131">
        <v>0</v>
      </c>
      <c r="K11" s="132">
        <v>0</v>
      </c>
      <c r="L11" s="131">
        <v>26272</v>
      </c>
      <c r="M11" s="132">
        <v>192.4950677299</v>
      </c>
      <c r="N11" s="131">
        <v>98519</v>
      </c>
      <c r="O11" s="132">
        <v>165.12817981608001</v>
      </c>
      <c r="P11" s="131">
        <v>71992</v>
      </c>
      <c r="Q11" s="132">
        <v>147.85758208134001</v>
      </c>
      <c r="R11" s="131">
        <v>119471</v>
      </c>
      <c r="S11" s="132">
        <v>147.50278811411999</v>
      </c>
      <c r="T11" s="131">
        <v>316254</v>
      </c>
      <c r="U11" s="132">
        <v>156.81181017373001</v>
      </c>
    </row>
    <row r="12" spans="1:21" x14ac:dyDescent="0.35">
      <c r="A12" s="6" t="s">
        <v>9</v>
      </c>
      <c r="B12" s="124">
        <v>5228629.18</v>
      </c>
      <c r="C12" s="125">
        <v>163.11743145963999</v>
      </c>
      <c r="D12" s="124">
        <v>620608.19700000004</v>
      </c>
      <c r="E12" s="125">
        <v>155.19599480475</v>
      </c>
      <c r="F12" s="124">
        <v>593270</v>
      </c>
      <c r="G12" s="125">
        <v>160.16501132884</v>
      </c>
      <c r="H12" s="124">
        <v>413752</v>
      </c>
      <c r="I12" s="125">
        <v>159.68749046942</v>
      </c>
      <c r="J12" s="124">
        <v>457986</v>
      </c>
      <c r="K12" s="125">
        <v>159.92781651342</v>
      </c>
      <c r="L12" s="124">
        <v>1247933.6100000001</v>
      </c>
      <c r="M12" s="125">
        <v>181.56003538032999</v>
      </c>
      <c r="N12" s="124">
        <v>2068645.2</v>
      </c>
      <c r="O12" s="125">
        <v>159.34097164975</v>
      </c>
      <c r="P12" s="124">
        <v>1912050.37</v>
      </c>
      <c r="Q12" s="125">
        <v>155.16628641221001</v>
      </c>
      <c r="R12" s="124">
        <v>1627630.1969999999</v>
      </c>
      <c r="S12" s="125">
        <v>158.14895903235001</v>
      </c>
      <c r="T12" s="124">
        <v>6856259.3770000003</v>
      </c>
      <c r="U12" s="125">
        <v>161.93794927978001</v>
      </c>
    </row>
    <row r="13" spans="1:21" s="22" customFormat="1" x14ac:dyDescent="0.35">
      <c r="A13" s="77" t="s">
        <v>42</v>
      </c>
      <c r="B13" s="131">
        <v>95450</v>
      </c>
      <c r="C13" s="132">
        <v>142.31223389209001</v>
      </c>
      <c r="D13" s="131">
        <v>14909</v>
      </c>
      <c r="E13" s="132">
        <v>128.96519982311</v>
      </c>
      <c r="F13" s="131">
        <v>24145</v>
      </c>
      <c r="G13" s="132">
        <v>135.76647967712</v>
      </c>
      <c r="H13" s="131">
        <v>3500</v>
      </c>
      <c r="I13" s="132">
        <v>156.38699852181</v>
      </c>
      <c r="J13" s="131">
        <v>6500</v>
      </c>
      <c r="K13" s="132">
        <v>157.84245626602001</v>
      </c>
      <c r="L13" s="131">
        <v>8096</v>
      </c>
      <c r="M13" s="132">
        <v>164.43719388586999</v>
      </c>
      <c r="N13" s="131">
        <v>28814</v>
      </c>
      <c r="O13" s="132">
        <v>150.06040048240001</v>
      </c>
      <c r="P13" s="131">
        <v>58540</v>
      </c>
      <c r="Q13" s="132">
        <v>135.43865431840999</v>
      </c>
      <c r="R13" s="131">
        <v>42554</v>
      </c>
      <c r="S13" s="132">
        <v>135.07962379079001</v>
      </c>
      <c r="T13" s="131">
        <v>138004</v>
      </c>
      <c r="U13" s="132">
        <v>140.08203411344999</v>
      </c>
    </row>
    <row r="14" spans="1:21" s="22" customFormat="1" x14ac:dyDescent="0.35">
      <c r="A14" s="77" t="s">
        <v>25</v>
      </c>
      <c r="B14" s="131">
        <v>445741</v>
      </c>
      <c r="C14" s="132">
        <v>188.81924499362</v>
      </c>
      <c r="D14" s="131">
        <v>43034</v>
      </c>
      <c r="E14" s="132">
        <v>165.89873974669001</v>
      </c>
      <c r="F14" s="131">
        <v>80969</v>
      </c>
      <c r="G14" s="132">
        <v>162.44441443053</v>
      </c>
      <c r="H14" s="131">
        <v>29500</v>
      </c>
      <c r="I14" s="132">
        <v>187.82983512180999</v>
      </c>
      <c r="J14" s="131">
        <v>168300</v>
      </c>
      <c r="K14" s="132">
        <v>159.32361360350001</v>
      </c>
      <c r="L14" s="131">
        <v>114452</v>
      </c>
      <c r="M14" s="132">
        <v>214.50177782738999</v>
      </c>
      <c r="N14" s="131">
        <v>169182</v>
      </c>
      <c r="O14" s="132">
        <v>189.68822224467999</v>
      </c>
      <c r="P14" s="131">
        <v>162107</v>
      </c>
      <c r="Q14" s="132">
        <v>169.77976762879001</v>
      </c>
      <c r="R14" s="131">
        <v>153503</v>
      </c>
      <c r="S14" s="132">
        <v>168.29135778700001</v>
      </c>
      <c r="T14" s="131">
        <v>599244</v>
      </c>
      <c r="U14" s="132">
        <v>183.56079890174999</v>
      </c>
    </row>
    <row r="15" spans="1:21" s="22" customFormat="1" x14ac:dyDescent="0.35">
      <c r="A15" s="77" t="s">
        <v>26</v>
      </c>
      <c r="B15" s="131">
        <v>281921</v>
      </c>
      <c r="C15" s="132">
        <v>126.52365519951</v>
      </c>
      <c r="D15" s="131">
        <v>0</v>
      </c>
      <c r="E15" s="132">
        <v>0</v>
      </c>
      <c r="F15" s="131">
        <v>54838</v>
      </c>
      <c r="G15" s="132">
        <v>152.63351803148001</v>
      </c>
      <c r="H15" s="131">
        <v>42500</v>
      </c>
      <c r="I15" s="132">
        <v>142.34431585121999</v>
      </c>
      <c r="J15" s="131">
        <v>52500</v>
      </c>
      <c r="K15" s="132">
        <v>144.33311505958</v>
      </c>
      <c r="L15" s="131">
        <v>158728</v>
      </c>
      <c r="M15" s="132">
        <v>159.25406422936999</v>
      </c>
      <c r="N15" s="131">
        <v>123193</v>
      </c>
      <c r="O15" s="132">
        <v>84.670275912592004</v>
      </c>
      <c r="P15" s="131">
        <v>0</v>
      </c>
      <c r="Q15" s="132">
        <v>0</v>
      </c>
      <c r="R15" s="131">
        <v>97338</v>
      </c>
      <c r="S15" s="132">
        <v>148.14101671995999</v>
      </c>
      <c r="T15" s="131">
        <v>379259</v>
      </c>
      <c r="U15" s="132">
        <v>132.07181815852999</v>
      </c>
    </row>
    <row r="16" spans="1:21" s="22" customFormat="1" x14ac:dyDescent="0.35">
      <c r="A16" s="77" t="s">
        <v>27</v>
      </c>
      <c r="B16" s="131">
        <v>12448</v>
      </c>
      <c r="C16" s="132">
        <v>225.9229403599</v>
      </c>
      <c r="D16" s="131">
        <v>4019</v>
      </c>
      <c r="E16" s="132">
        <v>182.01496637963999</v>
      </c>
      <c r="F16" s="131">
        <v>0</v>
      </c>
      <c r="G16" s="132">
        <v>0</v>
      </c>
      <c r="H16" s="131">
        <v>5000</v>
      </c>
      <c r="I16" s="132">
        <v>168.30346007914</v>
      </c>
      <c r="J16" s="131">
        <v>0</v>
      </c>
      <c r="K16" s="132">
        <v>0</v>
      </c>
      <c r="L16" s="131">
        <v>4969</v>
      </c>
      <c r="M16" s="132">
        <v>214.45991243711001</v>
      </c>
      <c r="N16" s="131">
        <v>7479</v>
      </c>
      <c r="O16" s="132">
        <v>233.53890315550001</v>
      </c>
      <c r="P16" s="131">
        <v>0</v>
      </c>
      <c r="Q16" s="132">
        <v>0</v>
      </c>
      <c r="R16" s="131">
        <v>9019</v>
      </c>
      <c r="S16" s="132">
        <v>174.41351039755</v>
      </c>
      <c r="T16" s="131">
        <v>21467</v>
      </c>
      <c r="U16" s="132">
        <v>204.28211729051</v>
      </c>
    </row>
    <row r="17" spans="1:21" s="22" customFormat="1" x14ac:dyDescent="0.35">
      <c r="A17" s="77" t="s">
        <v>28</v>
      </c>
      <c r="B17" s="131">
        <v>36987</v>
      </c>
      <c r="C17" s="132">
        <v>192.59702632816999</v>
      </c>
      <c r="D17" s="131">
        <v>0</v>
      </c>
      <c r="E17" s="132">
        <v>0</v>
      </c>
      <c r="F17" s="131">
        <v>0</v>
      </c>
      <c r="G17" s="132">
        <v>0</v>
      </c>
      <c r="H17" s="131">
        <v>0</v>
      </c>
      <c r="I17" s="132">
        <v>0</v>
      </c>
      <c r="J17" s="131">
        <v>6000</v>
      </c>
      <c r="K17" s="132">
        <v>188.25029985577001</v>
      </c>
      <c r="L17" s="131">
        <v>0</v>
      </c>
      <c r="M17" s="132">
        <v>0</v>
      </c>
      <c r="N17" s="131">
        <v>20582</v>
      </c>
      <c r="O17" s="132">
        <v>190.67580736566001</v>
      </c>
      <c r="P17" s="131">
        <v>16405</v>
      </c>
      <c r="Q17" s="132">
        <v>195.08156266992</v>
      </c>
      <c r="R17" s="131">
        <v>0</v>
      </c>
      <c r="S17" s="132">
        <v>0</v>
      </c>
      <c r="T17" s="131">
        <v>36987</v>
      </c>
      <c r="U17" s="132">
        <v>192.59702632816999</v>
      </c>
    </row>
    <row r="18" spans="1:21" s="22" customFormat="1" x14ac:dyDescent="0.35">
      <c r="A18" s="77" t="s">
        <v>29</v>
      </c>
      <c r="B18" s="131">
        <v>3609674</v>
      </c>
      <c r="C18" s="132">
        <v>153.32864197572999</v>
      </c>
      <c r="D18" s="131">
        <v>460757</v>
      </c>
      <c r="E18" s="132">
        <v>145.94633147107999</v>
      </c>
      <c r="F18" s="131">
        <v>349943</v>
      </c>
      <c r="G18" s="132">
        <v>155.35998562541999</v>
      </c>
      <c r="H18" s="131">
        <v>245852</v>
      </c>
      <c r="I18" s="132">
        <v>153.49823629074999</v>
      </c>
      <c r="J18" s="131">
        <v>174400</v>
      </c>
      <c r="K18" s="132">
        <v>160.27983575548001</v>
      </c>
      <c r="L18" s="131">
        <v>728419</v>
      </c>
      <c r="M18" s="132">
        <v>166.48491955687999</v>
      </c>
      <c r="N18" s="131">
        <v>1468914</v>
      </c>
      <c r="O18" s="132">
        <v>152.99028923123001</v>
      </c>
      <c r="P18" s="131">
        <v>1412341</v>
      </c>
      <c r="Q18" s="132">
        <v>146.89515921481001</v>
      </c>
      <c r="R18" s="131">
        <v>1056552</v>
      </c>
      <c r="S18" s="132">
        <v>150.82152292352001</v>
      </c>
      <c r="T18" s="131">
        <v>4666226</v>
      </c>
      <c r="U18" s="132">
        <v>152.76096658905999</v>
      </c>
    </row>
    <row r="19" spans="1:21" s="22" customFormat="1" x14ac:dyDescent="0.35">
      <c r="A19" s="77" t="s">
        <v>30</v>
      </c>
      <c r="B19" s="131">
        <v>19034</v>
      </c>
      <c r="C19" s="132">
        <v>259.37811443731999</v>
      </c>
      <c r="D19" s="131">
        <v>0</v>
      </c>
      <c r="E19" s="132">
        <v>0</v>
      </c>
      <c r="F19" s="131">
        <v>6500</v>
      </c>
      <c r="G19" s="132">
        <v>233.89762743995001</v>
      </c>
      <c r="H19" s="131">
        <v>0</v>
      </c>
      <c r="I19" s="132">
        <v>0</v>
      </c>
      <c r="J19" s="131">
        <v>0</v>
      </c>
      <c r="K19" s="132">
        <v>0</v>
      </c>
      <c r="L19" s="131">
        <v>6020</v>
      </c>
      <c r="M19" s="132">
        <v>261.93198119600999</v>
      </c>
      <c r="N19" s="131">
        <v>7009</v>
      </c>
      <c r="O19" s="132">
        <v>277.72852478241998</v>
      </c>
      <c r="P19" s="131">
        <v>6005</v>
      </c>
      <c r="Q19" s="132">
        <v>235.39937938385</v>
      </c>
      <c r="R19" s="131">
        <v>6500</v>
      </c>
      <c r="S19" s="132">
        <v>233.89762743995001</v>
      </c>
      <c r="T19" s="131">
        <v>25534</v>
      </c>
      <c r="U19" s="132">
        <v>252.89173684341</v>
      </c>
    </row>
    <row r="20" spans="1:21" s="22" customFormat="1" x14ac:dyDescent="0.35">
      <c r="A20" s="77" t="s">
        <v>31</v>
      </c>
      <c r="B20" s="131">
        <v>203554</v>
      </c>
      <c r="C20" s="132">
        <v>204.82144821276</v>
      </c>
      <c r="D20" s="131">
        <v>7406</v>
      </c>
      <c r="E20" s="132">
        <v>168.98500611761</v>
      </c>
      <c r="F20" s="131">
        <v>23029</v>
      </c>
      <c r="G20" s="132">
        <v>162.40910340420001</v>
      </c>
      <c r="H20" s="131">
        <v>16350</v>
      </c>
      <c r="I20" s="132">
        <v>178.83068882452</v>
      </c>
      <c r="J20" s="131">
        <v>15000</v>
      </c>
      <c r="K20" s="132">
        <v>142.67019570105001</v>
      </c>
      <c r="L20" s="131">
        <v>72803</v>
      </c>
      <c r="M20" s="132">
        <v>221.70936184498001</v>
      </c>
      <c r="N20" s="131">
        <v>64924</v>
      </c>
      <c r="O20" s="132">
        <v>208.40458861746001</v>
      </c>
      <c r="P20" s="131">
        <v>65827</v>
      </c>
      <c r="Q20" s="132">
        <v>182.60985443206999</v>
      </c>
      <c r="R20" s="131">
        <v>46785</v>
      </c>
      <c r="S20" s="132">
        <v>169.18892721776999</v>
      </c>
      <c r="T20" s="131">
        <v>250339</v>
      </c>
      <c r="U20" s="132">
        <v>198.16220816326</v>
      </c>
    </row>
    <row r="21" spans="1:21" s="22" customFormat="1" x14ac:dyDescent="0.35">
      <c r="A21" s="77" t="s">
        <v>32</v>
      </c>
      <c r="B21" s="131">
        <v>84165</v>
      </c>
      <c r="C21" s="132">
        <v>221.25419310996</v>
      </c>
      <c r="D21" s="131">
        <v>4979</v>
      </c>
      <c r="E21" s="132">
        <v>212.39042497983999</v>
      </c>
      <c r="F21" s="131">
        <v>8827</v>
      </c>
      <c r="G21" s="132">
        <v>205.59395924232001</v>
      </c>
      <c r="H21" s="131">
        <v>24400</v>
      </c>
      <c r="I21" s="132">
        <v>186.54005024013</v>
      </c>
      <c r="J21" s="131">
        <v>0</v>
      </c>
      <c r="K21" s="132">
        <v>0</v>
      </c>
      <c r="L21" s="131">
        <v>32079</v>
      </c>
      <c r="M21" s="132">
        <v>236.34791783098001</v>
      </c>
      <c r="N21" s="131">
        <v>23291</v>
      </c>
      <c r="O21" s="132">
        <v>230.94342527155999</v>
      </c>
      <c r="P21" s="131">
        <v>28795</v>
      </c>
      <c r="Q21" s="132">
        <v>196.60187494357001</v>
      </c>
      <c r="R21" s="131">
        <v>38206</v>
      </c>
      <c r="S21" s="132">
        <v>194.31102523336</v>
      </c>
      <c r="T21" s="131">
        <v>122371</v>
      </c>
      <c r="U21" s="132">
        <v>212.84214555054001</v>
      </c>
    </row>
    <row r="22" spans="1:21" s="22" customFormat="1" x14ac:dyDescent="0.35">
      <c r="A22" s="77" t="s">
        <v>33</v>
      </c>
      <c r="B22" s="131">
        <v>132588</v>
      </c>
      <c r="C22" s="132">
        <v>214.85699933026001</v>
      </c>
      <c r="D22" s="131">
        <v>12213</v>
      </c>
      <c r="E22" s="132">
        <v>230.72181568708999</v>
      </c>
      <c r="F22" s="131">
        <v>26483</v>
      </c>
      <c r="G22" s="132">
        <v>182.11139452657</v>
      </c>
      <c r="H22" s="131">
        <v>9650</v>
      </c>
      <c r="I22" s="132">
        <v>143.50368517064001</v>
      </c>
      <c r="J22" s="131">
        <v>10250</v>
      </c>
      <c r="K22" s="132">
        <v>201.47486991105001</v>
      </c>
      <c r="L22" s="131">
        <v>30839</v>
      </c>
      <c r="M22" s="132">
        <v>201.63328481792999</v>
      </c>
      <c r="N22" s="131">
        <v>60952</v>
      </c>
      <c r="O22" s="132">
        <v>228.65754748654999</v>
      </c>
      <c r="P22" s="131">
        <v>40797</v>
      </c>
      <c r="Q22" s="132">
        <v>204.23453004633001</v>
      </c>
      <c r="R22" s="131">
        <v>48346</v>
      </c>
      <c r="S22" s="132">
        <v>186.68498237973</v>
      </c>
      <c r="T22" s="131">
        <v>180934</v>
      </c>
      <c r="U22" s="132">
        <v>207.32936863901</v>
      </c>
    </row>
    <row r="23" spans="1:21" s="22" customFormat="1" x14ac:dyDescent="0.35">
      <c r="A23" s="77" t="s">
        <v>34</v>
      </c>
      <c r="B23" s="131">
        <v>306959.18</v>
      </c>
      <c r="C23" s="132">
        <v>202.75851607761001</v>
      </c>
      <c r="D23" s="131">
        <v>73291.197</v>
      </c>
      <c r="E23" s="132">
        <v>193.06227965150001</v>
      </c>
      <c r="F23" s="131">
        <v>18500</v>
      </c>
      <c r="G23" s="132">
        <v>212.30553738199001</v>
      </c>
      <c r="H23" s="131">
        <v>37000</v>
      </c>
      <c r="I23" s="132">
        <v>175.49770981404001</v>
      </c>
      <c r="J23" s="131">
        <v>25000</v>
      </c>
      <c r="K23" s="132">
        <v>180.50671462073001</v>
      </c>
      <c r="L23" s="131">
        <v>91492.61</v>
      </c>
      <c r="M23" s="132">
        <v>235.35724278934001</v>
      </c>
      <c r="N23" s="131">
        <v>94269.2</v>
      </c>
      <c r="O23" s="132">
        <v>186.19125372444</v>
      </c>
      <c r="P23" s="131">
        <v>121197.37</v>
      </c>
      <c r="Q23" s="132">
        <v>191.03581927892</v>
      </c>
      <c r="R23" s="131">
        <v>128791.197</v>
      </c>
      <c r="S23" s="132">
        <v>190.78037822642</v>
      </c>
      <c r="T23" s="131">
        <v>435750.37699999998</v>
      </c>
      <c r="U23" s="132">
        <v>199.21823523538001</v>
      </c>
    </row>
    <row r="24" spans="1:21" s="22" customFormat="1" x14ac:dyDescent="0.35">
      <c r="A24" s="77" t="s">
        <v>35</v>
      </c>
      <c r="B24" s="131">
        <v>108</v>
      </c>
      <c r="C24" s="132">
        <v>771.13332037037003</v>
      </c>
      <c r="D24" s="131">
        <v>0</v>
      </c>
      <c r="E24" s="132">
        <v>0</v>
      </c>
      <c r="F24" s="131">
        <v>36</v>
      </c>
      <c r="G24" s="132">
        <v>751.56427788224005</v>
      </c>
      <c r="H24" s="131">
        <v>0</v>
      </c>
      <c r="I24" s="132">
        <v>0</v>
      </c>
      <c r="J24" s="131">
        <v>36</v>
      </c>
      <c r="K24" s="132">
        <v>748.02570495884004</v>
      </c>
      <c r="L24" s="131">
        <v>36</v>
      </c>
      <c r="M24" s="132">
        <v>799.36935277778002</v>
      </c>
      <c r="N24" s="131">
        <v>36</v>
      </c>
      <c r="O24" s="132">
        <v>765.98893055556005</v>
      </c>
      <c r="P24" s="131">
        <v>36</v>
      </c>
      <c r="Q24" s="132">
        <v>748.04167777778002</v>
      </c>
      <c r="R24" s="131">
        <v>36</v>
      </c>
      <c r="S24" s="132">
        <v>751.56427788224005</v>
      </c>
      <c r="T24" s="131">
        <v>144</v>
      </c>
      <c r="U24" s="132">
        <v>766.24105974834004</v>
      </c>
    </row>
    <row r="25" spans="1:21" x14ac:dyDescent="0.35">
      <c r="B25" s="80"/>
      <c r="C25" s="81"/>
      <c r="D25" s="80"/>
      <c r="E25" s="81"/>
      <c r="F25" s="80"/>
      <c r="G25" s="81"/>
      <c r="H25" s="80"/>
      <c r="I25" s="81"/>
      <c r="J25" s="80"/>
      <c r="K25" s="81"/>
      <c r="L25" s="80"/>
      <c r="M25" s="81"/>
      <c r="N25" s="80"/>
      <c r="O25" s="81"/>
      <c r="P25" s="80"/>
      <c r="Q25" s="81"/>
      <c r="R25" s="80"/>
      <c r="S25" s="81"/>
      <c r="T25" s="80"/>
      <c r="U25" s="81"/>
    </row>
  </sheetData>
  <mergeCells count="11">
    <mergeCell ref="A1:U1"/>
    <mergeCell ref="B2:C2"/>
    <mergeCell ref="T2:U2"/>
    <mergeCell ref="D2:E2"/>
    <mergeCell ref="F2:G2"/>
    <mergeCell ref="H2:I2"/>
    <mergeCell ref="J2:K2"/>
    <mergeCell ref="L2:M2"/>
    <mergeCell ref="N2:O2"/>
    <mergeCell ref="P2:Q2"/>
    <mergeCell ref="R2:S2"/>
  </mergeCells>
  <pageMargins left="0.70866141732283472" right="0.70866141732283472" top="0.74803149606299213" bottom="0.74803149606299213" header="0.31496062992125984" footer="0.31496062992125984"/>
  <pageSetup scale="45" orientation="landscape" r:id="rId1"/>
  <customProperties>
    <customPr name="Ibp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5"/>
    <pageSetUpPr fitToPage="1"/>
  </sheetPr>
  <dimension ref="A1:AD74"/>
  <sheetViews>
    <sheetView showGridLines="0" topLeftCell="A39" zoomScale="80" zoomScaleNormal="80" workbookViewId="0">
      <selection activeCell="O19" sqref="O19"/>
    </sheetView>
  </sheetViews>
  <sheetFormatPr defaultColWidth="9.1796875" defaultRowHeight="14.5" outlineLevelCol="1" x14ac:dyDescent="0.35"/>
  <cols>
    <col min="1" max="1" width="14" style="90" customWidth="1"/>
    <col min="2" max="2" width="4.453125" style="90" hidden="1" customWidth="1" outlineLevel="1"/>
    <col min="3" max="3" width="8.453125" style="90" customWidth="1" collapsed="1"/>
    <col min="4" max="4" width="11.7265625" style="90" customWidth="1"/>
    <col min="5" max="5" width="14.7265625" style="90" customWidth="1"/>
    <col min="6" max="6" width="11.7265625" style="90" customWidth="1"/>
    <col min="7" max="7" width="14.7265625" style="90" customWidth="1"/>
    <col min="8" max="8" width="11.7265625" style="90" customWidth="1"/>
    <col min="9" max="9" width="14.7265625" style="90" customWidth="1"/>
    <col min="10" max="10" width="11.7265625" style="90" customWidth="1"/>
    <col min="11" max="11" width="14.7265625" style="90" customWidth="1"/>
    <col min="12" max="12" width="11.7265625" style="90" customWidth="1"/>
    <col min="13" max="13" width="14.7265625" style="90" customWidth="1"/>
    <col min="14" max="14" width="11.7265625" style="90" customWidth="1"/>
    <col min="15" max="15" width="14.7265625" style="90" customWidth="1"/>
    <col min="16" max="16" width="11.7265625" style="90" customWidth="1"/>
    <col min="17" max="17" width="14.7265625" style="90" customWidth="1"/>
    <col min="18" max="18" width="11.7265625" style="90" customWidth="1"/>
    <col min="19" max="19" width="14.7265625" style="90" customWidth="1"/>
    <col min="20" max="20" width="11.7265625" style="90" customWidth="1"/>
    <col min="21" max="21" width="14.7265625" style="90" customWidth="1"/>
    <col min="22" max="25" width="9.1796875" style="90"/>
    <col min="26" max="26" width="16" style="90" bestFit="1" customWidth="1"/>
    <col min="27" max="27" width="9.1796875" style="90"/>
    <col min="28" max="28" width="16" style="90" bestFit="1" customWidth="1"/>
    <col min="29" max="29" width="13.81640625" style="90" customWidth="1"/>
    <col min="30" max="30" width="16" style="90" bestFit="1" customWidth="1"/>
    <col min="31" max="16384" width="9.1796875" style="90"/>
  </cols>
  <sheetData>
    <row r="1" spans="1:30" ht="26.5" x14ac:dyDescent="0.85">
      <c r="A1" s="167" t="s">
        <v>60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</row>
    <row r="2" spans="1:30" s="8" customFormat="1" ht="37.5" customHeight="1" x14ac:dyDescent="0.5">
      <c r="A2" s="106"/>
      <c r="B2" s="106"/>
      <c r="C2" s="106"/>
      <c r="D2" s="171" t="str">
        <f ca="1">CONCATENATE(#REF!," YTD","
 Actual")</f>
        <v>Sep-20 YTD
 Actual</v>
      </c>
      <c r="E2" s="171"/>
      <c r="F2" s="171" t="str">
        <f ca="1">CONCATENATE(#REF!,"
 Forecast")</f>
        <v>Oct-20
 Forecast</v>
      </c>
      <c r="G2" s="171"/>
      <c r="H2" s="171" t="str">
        <f ca="1">CONCATENATE(#REF!,"
 Forecast")</f>
        <v>Nov-20
 Forecast</v>
      </c>
      <c r="I2" s="171"/>
      <c r="J2" s="171" t="str">
        <f ca="1">CONCATENATE(#REF!,"
 Forecast")</f>
        <v>Dec-20
 Forecast</v>
      </c>
      <c r="K2" s="171"/>
      <c r="L2" s="171" t="str">
        <f ca="1">CONCATENATE("Qtr 1 ",#REF!," 
Actual")</f>
        <v>Qtr 1 2020 
Actual</v>
      </c>
      <c r="M2" s="171"/>
      <c r="N2" s="171" t="str">
        <f ca="1">CONCATENATE("Qtr 2 ",#REF!," 
Actual")</f>
        <v>Qtr 2 2020 
Actual</v>
      </c>
      <c r="O2" s="171"/>
      <c r="P2" s="171" t="str">
        <f ca="1">CONCATENATE("Qtr 3 ",#REF!," 
Actual")</f>
        <v>Qtr 3 2020 
Actual</v>
      </c>
      <c r="Q2" s="171"/>
      <c r="R2" s="171" t="str">
        <f ca="1">CONCATENATE("Qtr 4 ",#REF!," 
Forecast")</f>
        <v>Qtr 4 2020 
Forecast</v>
      </c>
      <c r="S2" s="171"/>
      <c r="T2" s="171" t="str">
        <f ca="1">CONCATENATE(#REF!," 
Forecast")</f>
        <v>2020 
Forecast</v>
      </c>
      <c r="U2" s="171"/>
    </row>
    <row r="3" spans="1:30" ht="16" x14ac:dyDescent="0.5">
      <c r="A3" s="107"/>
      <c r="B3" s="107"/>
      <c r="C3" s="107"/>
      <c r="D3" s="109" t="s">
        <v>0</v>
      </c>
      <c r="E3" s="108" t="s">
        <v>61</v>
      </c>
      <c r="F3" s="109" t="s">
        <v>0</v>
      </c>
      <c r="G3" s="108" t="s">
        <v>61</v>
      </c>
      <c r="H3" s="109" t="s">
        <v>0</v>
      </c>
      <c r="I3" s="108" t="s">
        <v>61</v>
      </c>
      <c r="J3" s="109" t="s">
        <v>0</v>
      </c>
      <c r="K3" s="108" t="s">
        <v>61</v>
      </c>
      <c r="L3" s="109" t="s">
        <v>0</v>
      </c>
      <c r="M3" s="108" t="s">
        <v>61</v>
      </c>
      <c r="N3" s="109" t="s">
        <v>0</v>
      </c>
      <c r="O3" s="108" t="s">
        <v>61</v>
      </c>
      <c r="P3" s="109" t="s">
        <v>0</v>
      </c>
      <c r="Q3" s="108" t="s">
        <v>61</v>
      </c>
      <c r="R3" s="109" t="s">
        <v>0</v>
      </c>
      <c r="S3" s="108" t="s">
        <v>61</v>
      </c>
      <c r="T3" s="109" t="s">
        <v>0</v>
      </c>
      <c r="U3" s="108" t="s">
        <v>61</v>
      </c>
      <c r="Y3" s="172"/>
      <c r="Z3" s="172"/>
      <c r="AA3" s="172"/>
      <c r="AB3" s="172"/>
      <c r="AC3" s="172"/>
      <c r="AD3" s="172"/>
    </row>
    <row r="4" spans="1:30" x14ac:dyDescent="0.35">
      <c r="A4" s="9" t="s">
        <v>64</v>
      </c>
      <c r="B4" s="21" t="s">
        <v>65</v>
      </c>
      <c r="C4" s="2" t="s">
        <v>7</v>
      </c>
      <c r="D4" s="46">
        <f ca="1">_xll.DBGET(#REF!,#REF!,#REF!,#REF!,#REF!,#REF!,$C4,$B4,#REF!,#REF!,#REF!)</f>
        <v>9641373.2300000004</v>
      </c>
      <c r="E4" s="5">
        <f ca="1">_xll.DBGET(#REF!,#REF!,#REF!,#REF!,#REF!,#REF!,$C4,$B4,#REF!,#REF!,#REF!)</f>
        <v>160.02234809652001</v>
      </c>
      <c r="F4" s="46">
        <f ca="1">_xll.DBGET(#REF!,#REF!,#REF!,#REF!,#REF!,#REF!,$C4,$B4,#REF!,#REF!,#REF!)</f>
        <v>1170224.1969999999</v>
      </c>
      <c r="G4" s="5">
        <f ca="1">_xll.DBGET(#REF!,#REF!,#REF!,#REF!,#REF!,#REF!,$C4,$B4,#REF!,#REF!,#REF!)</f>
        <v>149.60894199558001</v>
      </c>
      <c r="H4" s="46">
        <f ca="1">_xll.DBGET(#REF!,#REF!,#REF!,#REF!,#REF!,#REF!,$C4,$B4,#REF!,#REF!,#REF!)</f>
        <v>1113477</v>
      </c>
      <c r="I4" s="5">
        <f ca="1">_xll.DBGET(#REF!,#REF!,#REF!,#REF!,#REF!,#REF!,$C4,$B4,#REF!,#REF!,#REF!)</f>
        <v>151.42157397304999</v>
      </c>
      <c r="J4" s="46">
        <f ca="1">_xll.DBGET(#REF!,#REF!,#REF!,#REF!,#REF!,#REF!,$C4,$B4,#REF!,#REF!,#REF!)</f>
        <v>736659</v>
      </c>
      <c r="K4" s="5">
        <f ca="1">_xll.DBGET(#REF!,#REF!,#REF!,#REF!,#REF!,#REF!,$C4,$B4,#REF!,#REF!,#REF!)</f>
        <v>150.26237542849</v>
      </c>
      <c r="L4" s="46">
        <f ca="1">_xll.DBGET(#REF!,#REF!,#REF!,#REF!,#REF!,#REF!,$C4,$B4,#REF!,#REF!,#REF!)</f>
        <v>0</v>
      </c>
      <c r="M4" s="5">
        <f ca="1">_xll.DBGET(#REF!,#REF!,#REF!,#REF!,#REF!,#REF!,$C4,$B4,#REF!,#REF!,#REF!)</f>
        <v>0</v>
      </c>
      <c r="N4" s="46">
        <f ca="1">_xll.DBGET(#REF!,#REF!,#REF!,#REF!,#REF!,#REF!,$C4,$B4,#REF!,#REF!,#REF!)</f>
        <v>0</v>
      </c>
      <c r="O4" s="5">
        <f ca="1">IFERROR((_xll.DBGET(#REF!,#REF!,#REF!,#REF!,#REF!,#REF!,$C4,$B4,#REF!,#REF!,#REF!))/N4,0)</f>
        <v>0</v>
      </c>
      <c r="P4" s="46">
        <f ca="1">_xll.DBGET(#REF!,#REF!,#REF!,#REF!,#REF!,#REF!,$C4,$B4,#REF!,#REF!,#REF!)</f>
        <v>0</v>
      </c>
      <c r="Q4" s="5">
        <f ca="1">IFERROR((_xll.DBGET(#REF!,#REF!,#REF!,#REF!,#REF!,#REF!,$C4,$B4,#REF!,#REF!,#REF!))/P4,0)</f>
        <v>0</v>
      </c>
      <c r="R4" s="46">
        <f ca="1">_xll.DBGET(#REF!,#REF!,#REF!,#REF!,#REF!,#REF!,$C4,$B4,#REF!,#REF!,#REF!)</f>
        <v>0</v>
      </c>
      <c r="S4" s="5">
        <f ca="1">IFERROR((_xll.DBGET(#REF!,#REF!,#REF!,#REF!,#REF!,#REF!,$C4,$B4,#REF!,#REF!,#REF!))/R4,0)</f>
        <v>0</v>
      </c>
      <c r="T4" s="46">
        <f ca="1">_xll.DBGET(#REF!,#REF!,#REF!,#REF!,#REF!,#REF!,$C4,$B4,#REF!,#REF!,#REF!)</f>
        <v>0</v>
      </c>
      <c r="U4" s="5">
        <f ca="1">_xll.DBGET(#REF!,#REF!,#REF!,#REF!,#REF!,#REF!,$C4,$B4,#REF!,#REF!,#REF!)</f>
        <v>0</v>
      </c>
    </row>
    <row r="5" spans="1:30" x14ac:dyDescent="0.35">
      <c r="A5" s="15" t="s">
        <v>1</v>
      </c>
      <c r="B5" s="16" t="s">
        <v>6</v>
      </c>
      <c r="C5" s="19" t="s">
        <v>7</v>
      </c>
      <c r="D5" s="47">
        <f ca="1">_xll.DBGET(#REF!,#REF!,#REF!,#REF!,#REF!,#REF!,$C5,$B5,#REF!,#REF!,#REF!)</f>
        <v>5802877</v>
      </c>
      <c r="E5" s="7">
        <f ca="1">_xll.DBGET(#REF!,#REF!,#REF!,#REF!,#REF!,#REF!,$C5,$B5,#REF!,#REF!,#REF!)</f>
        <v>160.71039273283</v>
      </c>
      <c r="F5" s="47">
        <f ca="1">_xll.DBGET(#REF!,#REF!,#REF!,#REF!,#REF!,#REF!,$C5,$B5,#REF!,#REF!,#REF!)</f>
        <v>755822</v>
      </c>
      <c r="G5" s="7">
        <f ca="1">_xll.DBGET(#REF!,#REF!,#REF!,#REF!,#REF!,#REF!,$C5,$B5,#REF!,#REF!,#REF!)</f>
        <v>149.18970198845</v>
      </c>
      <c r="H5" s="47">
        <f ca="1">_xll.DBGET(#REF!,#REF!,#REF!,#REF!,#REF!,#REF!,$C5,$B5,#REF!,#REF!,#REF!)</f>
        <v>660822</v>
      </c>
      <c r="I5" s="7">
        <f ca="1">_xll.DBGET(#REF!,#REF!,#REF!,#REF!,#REF!,#REF!,$C5,$B5,#REF!,#REF!,#REF!)</f>
        <v>148.21196489131</v>
      </c>
      <c r="J5" s="47">
        <f ca="1">_xll.DBGET(#REF!,#REF!,#REF!,#REF!,#REF!,#REF!,$C5,$B5,#REF!,#REF!,#REF!)</f>
        <v>434790</v>
      </c>
      <c r="K5" s="7">
        <f ca="1">_xll.DBGET(#REF!,#REF!,#REF!,#REF!,#REF!,#REF!,$C5,$B5,#REF!,#REF!,#REF!)</f>
        <v>142.55727124910001</v>
      </c>
      <c r="L5" s="47">
        <f ca="1">_xll.DBGET(#REF!,#REF!,#REF!,#REF!,#REF!,#REF!,$C5,$B5,#REF!,#REF!,#REF!)</f>
        <v>0</v>
      </c>
      <c r="M5" s="7">
        <f ca="1">_xll.DBGET(#REF!,#REF!,#REF!,#REF!,#REF!,#REF!,$C5,$B5,#REF!,#REF!,#REF!)</f>
        <v>0</v>
      </c>
      <c r="N5" s="47">
        <f ca="1">_xll.DBGET(#REF!,#REF!,#REF!,#REF!,#REF!,#REF!,$C5,$B5,#REF!,#REF!,#REF!)</f>
        <v>0</v>
      </c>
      <c r="O5" s="7">
        <f ca="1">IFERROR((_xll.DBGET(#REF!,#REF!,#REF!,#REF!,#REF!,#REF!,$C5,$B5,#REF!,#REF!,#REF!))/N5,0)</f>
        <v>0</v>
      </c>
      <c r="P5" s="47">
        <f ca="1">_xll.DBGET(#REF!,#REF!,#REF!,#REF!,#REF!,#REF!,$C5,$B5,#REF!,#REF!,#REF!)</f>
        <v>0</v>
      </c>
      <c r="Q5" s="7">
        <f ca="1">IFERROR((_xll.DBGET(#REF!,#REF!,#REF!,#REF!,#REF!,#REF!,$C5,$B5,#REF!,#REF!,#REF!))/P5,0)</f>
        <v>0</v>
      </c>
      <c r="R5" s="47">
        <f ca="1">_xll.DBGET(#REF!,#REF!,#REF!,#REF!,#REF!,#REF!,$C5,$B5,#REF!,#REF!,#REF!)</f>
        <v>0</v>
      </c>
      <c r="S5" s="7">
        <f ca="1">IFERROR((_xll.DBGET(#REF!,#REF!,#REF!,#REF!,#REF!,#REF!,$C5,$B5,#REF!,#REF!,#REF!))/R5,0)</f>
        <v>0</v>
      </c>
      <c r="T5" s="47">
        <f ca="1">_xll.DBGET(#REF!,#REF!,#REF!,#REF!,#REF!,#REF!,$C5,$B5,#REF!,#REF!,#REF!)</f>
        <v>0</v>
      </c>
      <c r="U5" s="7">
        <f ca="1">_xll.DBGET(#REF!,#REF!,#REF!,#REF!,#REF!,#REF!,$C5,$B5,#REF!,#REF!,#REF!)</f>
        <v>0</v>
      </c>
    </row>
    <row r="6" spans="1:30" x14ac:dyDescent="0.35">
      <c r="A6" s="56"/>
      <c r="B6" s="57" t="s">
        <v>6</v>
      </c>
      <c r="C6" s="61" t="s">
        <v>8</v>
      </c>
      <c r="D6" s="65">
        <f ca="1">_xll.DBGET(#REF!,#REF!,#REF!,#REF!,#REF!,#REF!,$C6,$B6,#REF!,#REF!,#REF!)</f>
        <v>4152369</v>
      </c>
      <c r="E6" s="63">
        <f ca="1">_xll.DBGET(#REF!,#REF!,#REF!,#REF!,#REF!,#REF!,$C6,$B6,#REF!,#REF!,#REF!)</f>
        <v>156.86649051871001</v>
      </c>
      <c r="F6" s="65">
        <f ca="1">_xll.DBGET(#REF!,#REF!,#REF!,#REF!,#REF!,#REF!,$C6,$B6,#REF!,#REF!,#REF!)</f>
        <v>539487</v>
      </c>
      <c r="G6" s="63">
        <f ca="1">_xll.DBGET(#REF!,#REF!,#REF!,#REF!,#REF!,#REF!,$C6,$B6,#REF!,#REF!,#REF!)</f>
        <v>143.23874259689001</v>
      </c>
      <c r="H6" s="65">
        <f ca="1">_xll.DBGET(#REF!,#REF!,#REF!,#REF!,#REF!,#REF!,$C6,$B6,#REF!,#REF!,#REF!)</f>
        <v>453735</v>
      </c>
      <c r="I6" s="63">
        <f ca="1">_xll.DBGET(#REF!,#REF!,#REF!,#REF!,#REF!,#REF!,$C6,$B6,#REF!,#REF!,#REF!)</f>
        <v>141.53192936204999</v>
      </c>
      <c r="J6" s="65">
        <f ca="1">_xll.DBGET(#REF!,#REF!,#REF!,#REF!,#REF!,#REF!,$C6,$B6,#REF!,#REF!,#REF!)</f>
        <v>290290</v>
      </c>
      <c r="K6" s="63">
        <f ca="1">_xll.DBGET(#REF!,#REF!,#REF!,#REF!,#REF!,#REF!,$C6,$B6,#REF!,#REF!,#REF!)</f>
        <v>137.01793663014999</v>
      </c>
      <c r="L6" s="65">
        <f ca="1">_xll.DBGET(#REF!,#REF!,#REF!,#REF!,#REF!,#REF!,$C6,$B6,#REF!,#REF!,#REF!)</f>
        <v>0</v>
      </c>
      <c r="M6" s="63">
        <f ca="1">_xll.DBGET(#REF!,#REF!,#REF!,#REF!,#REF!,#REF!,$C6,$B6,#REF!,#REF!,#REF!)</f>
        <v>0</v>
      </c>
      <c r="N6" s="65">
        <f ca="1">_xll.DBGET(#REF!,#REF!,#REF!,#REF!,#REF!,#REF!,$C6,$B6,#REF!,#REF!,#REF!)</f>
        <v>0</v>
      </c>
      <c r="O6" s="63">
        <f ca="1">IFERROR((_xll.DBGET(#REF!,#REF!,#REF!,#REF!,#REF!,#REF!,$C6,$B6,#REF!,#REF!,#REF!))/N6,0)</f>
        <v>0</v>
      </c>
      <c r="P6" s="65">
        <f ca="1">_xll.DBGET(#REF!,#REF!,#REF!,#REF!,#REF!,#REF!,$C6,$B6,#REF!,#REF!,#REF!)</f>
        <v>0</v>
      </c>
      <c r="Q6" s="63">
        <f ca="1">IFERROR((_xll.DBGET(#REF!,#REF!,#REF!,#REF!,#REF!,#REF!,$C6,$B6,#REF!,#REF!,#REF!))/P6,0)</f>
        <v>0</v>
      </c>
      <c r="R6" s="65">
        <f ca="1">_xll.DBGET(#REF!,#REF!,#REF!,#REF!,#REF!,#REF!,$C6,$B6,#REF!,#REF!,#REF!)</f>
        <v>0</v>
      </c>
      <c r="S6" s="63">
        <f ca="1">IFERROR((_xll.DBGET(#REF!,#REF!,#REF!,#REF!,#REF!,#REF!,$C6,$B6,#REF!,#REF!,#REF!))/R6,0)</f>
        <v>0</v>
      </c>
      <c r="T6" s="65">
        <f ca="1">_xll.DBGET(#REF!,#REF!,#REF!,#REF!,#REF!,#REF!,$C6,$B6,#REF!,#REF!,#REF!)</f>
        <v>0</v>
      </c>
      <c r="U6" s="63">
        <f ca="1">_xll.DBGET(#REF!,#REF!,#REF!,#REF!,#REF!,#REF!,$C6,$B6,#REF!,#REF!,#REF!)</f>
        <v>0</v>
      </c>
    </row>
    <row r="7" spans="1:30" x14ac:dyDescent="0.35">
      <c r="A7" s="58"/>
      <c r="B7" s="59" t="s">
        <v>6</v>
      </c>
      <c r="C7" s="62" t="s">
        <v>9</v>
      </c>
      <c r="D7" s="66">
        <f ca="1">_xll.DBGET(#REF!,#REF!,#REF!,#REF!,#REF!,#REF!,$C7,$B7,#REF!,#REF!,#REF!)</f>
        <v>1650508</v>
      </c>
      <c r="E7" s="64">
        <f ca="1">_xll.DBGET(#REF!,#REF!,#REF!,#REF!,#REF!,#REF!,$C7,$B7,#REF!,#REF!,#REF!)</f>
        <v>170.38093076895001</v>
      </c>
      <c r="F7" s="66">
        <f ca="1">_xll.DBGET(#REF!,#REF!,#REF!,#REF!,#REF!,#REF!,$C7,$B7,#REF!,#REF!,#REF!)</f>
        <v>216335</v>
      </c>
      <c r="G7" s="64">
        <f ca="1">_xll.DBGET(#REF!,#REF!,#REF!,#REF!,#REF!,#REF!,$C7,$B7,#REF!,#REF!,#REF!)</f>
        <v>164.02995081214999</v>
      </c>
      <c r="H7" s="66">
        <f ca="1">_xll.DBGET(#REF!,#REF!,#REF!,#REF!,#REF!,#REF!,$C7,$B7,#REF!,#REF!,#REF!)</f>
        <v>207087</v>
      </c>
      <c r="I7" s="64">
        <f ca="1">_xll.DBGET(#REF!,#REF!,#REF!,#REF!,#REF!,#REF!,$C7,$B7,#REF!,#REF!,#REF!)</f>
        <v>162.84816089044</v>
      </c>
      <c r="J7" s="66">
        <f ca="1">_xll.DBGET(#REF!,#REF!,#REF!,#REF!,#REF!,#REF!,$C7,$B7,#REF!,#REF!,#REF!)</f>
        <v>144500</v>
      </c>
      <c r="K7" s="64">
        <f ca="1">_xll.DBGET(#REF!,#REF!,#REF!,#REF!,#REF!,#REF!,$C7,$B7,#REF!,#REF!,#REF!)</f>
        <v>153.68539198636</v>
      </c>
      <c r="L7" s="66">
        <f ca="1">_xll.DBGET(#REF!,#REF!,#REF!,#REF!,#REF!,#REF!,$C7,$B7,#REF!,#REF!,#REF!)</f>
        <v>0</v>
      </c>
      <c r="M7" s="64">
        <f ca="1">_xll.DBGET(#REF!,#REF!,#REF!,#REF!,#REF!,#REF!,$C7,$B7,#REF!,#REF!,#REF!)</f>
        <v>0</v>
      </c>
      <c r="N7" s="66">
        <f ca="1">_xll.DBGET(#REF!,#REF!,#REF!,#REF!,#REF!,#REF!,$C7,$B7,#REF!,#REF!,#REF!)</f>
        <v>0</v>
      </c>
      <c r="O7" s="64">
        <f ca="1">IFERROR((_xll.DBGET(#REF!,#REF!,#REF!,#REF!,#REF!,#REF!,$C7,$B7,#REF!,#REF!,#REF!))/N7,0)</f>
        <v>0</v>
      </c>
      <c r="P7" s="66">
        <f ca="1">_xll.DBGET(#REF!,#REF!,#REF!,#REF!,#REF!,#REF!,$C7,$B7,#REF!,#REF!,#REF!)</f>
        <v>0</v>
      </c>
      <c r="Q7" s="64">
        <f ca="1">IFERROR((_xll.DBGET(#REF!,#REF!,#REF!,#REF!,#REF!,#REF!,$C7,$B7,#REF!,#REF!,#REF!))/P7,0)</f>
        <v>0</v>
      </c>
      <c r="R7" s="66">
        <f ca="1">_xll.DBGET(#REF!,#REF!,#REF!,#REF!,#REF!,#REF!,$C7,$B7,#REF!,#REF!,#REF!)</f>
        <v>0</v>
      </c>
      <c r="S7" s="64">
        <f ca="1">IFERROR((_xll.DBGET(#REF!,#REF!,#REF!,#REF!,#REF!,#REF!,$C7,$B7,#REF!,#REF!,#REF!))/R7,0)</f>
        <v>0</v>
      </c>
      <c r="T7" s="66">
        <f ca="1">_xll.DBGET(#REF!,#REF!,#REF!,#REF!,#REF!,#REF!,$C7,$B7,#REF!,#REF!,#REF!)</f>
        <v>0</v>
      </c>
      <c r="U7" s="64">
        <f ca="1">_xll.DBGET(#REF!,#REF!,#REF!,#REF!,#REF!,#REF!,$C7,$B7,#REF!,#REF!,#REF!)</f>
        <v>0</v>
      </c>
    </row>
    <row r="8" spans="1:30" x14ac:dyDescent="0.35">
      <c r="A8" s="15" t="s">
        <v>2</v>
      </c>
      <c r="B8" s="16" t="s">
        <v>10</v>
      </c>
      <c r="C8" s="19" t="s">
        <v>7</v>
      </c>
      <c r="D8" s="67">
        <f ca="1">_xll.DBGET(#REF!,#REF!,#REF!,#REF!,#REF!,#REF!,$C8,$B8,#REF!,#REF!,#REF!)</f>
        <v>3163722</v>
      </c>
      <c r="E8" s="7">
        <f ca="1">_xll.DBGET(#REF!,#REF!,#REF!,#REF!,#REF!,#REF!,$C8,$B8,#REF!,#REF!,#REF!)</f>
        <v>152.41123869945</v>
      </c>
      <c r="F8" s="67">
        <f ca="1">_xll.DBGET(#REF!,#REF!,#REF!,#REF!,#REF!,#REF!,$C8,$B8,#REF!,#REF!,#REF!)</f>
        <v>349719</v>
      </c>
      <c r="G8" s="7">
        <f ca="1">_xll.DBGET(#REF!,#REF!,#REF!,#REF!,#REF!,#REF!,$C8,$B8,#REF!,#REF!,#REF!)</f>
        <v>143.93003171914</v>
      </c>
      <c r="H8" s="67">
        <f ca="1">_xll.DBGET(#REF!,#REF!,#REF!,#REF!,#REF!,#REF!,$C8,$B8,#REF!,#REF!,#REF!)</f>
        <v>358280</v>
      </c>
      <c r="I8" s="7">
        <f ca="1">_xll.DBGET(#REF!,#REF!,#REF!,#REF!,#REF!,#REF!,$C8,$B8,#REF!,#REF!,#REF!)</f>
        <v>151.87654605425999</v>
      </c>
      <c r="J8" s="67">
        <f ca="1">_xll.DBGET(#REF!,#REF!,#REF!,#REF!,#REF!,#REF!,$C8,$B8,#REF!,#REF!,#REF!)</f>
        <v>235620</v>
      </c>
      <c r="K8" s="7">
        <f ca="1">_xll.DBGET(#REF!,#REF!,#REF!,#REF!,#REF!,#REF!,$C8,$B8,#REF!,#REF!,#REF!)</f>
        <v>157.40505527389999</v>
      </c>
      <c r="L8" s="67">
        <f ca="1">_xll.DBGET(#REF!,#REF!,#REF!,#REF!,#REF!,#REF!,$C8,$B8,#REF!,#REF!,#REF!)</f>
        <v>0</v>
      </c>
      <c r="M8" s="7">
        <f ca="1">_xll.DBGET(#REF!,#REF!,#REF!,#REF!,#REF!,#REF!,$C8,$B8,#REF!,#REF!,#REF!)</f>
        <v>0</v>
      </c>
      <c r="N8" s="67">
        <f ca="1">_xll.DBGET(#REF!,#REF!,#REF!,#REF!,#REF!,#REF!,$C8,$B8,#REF!,#REF!,#REF!)</f>
        <v>0</v>
      </c>
      <c r="O8" s="7">
        <f ca="1">IFERROR((_xll.DBGET(#REF!,#REF!,#REF!,#REF!,#REF!,#REF!,$C8,$B8,#REF!,#REF!,#REF!))/N8,0)</f>
        <v>0</v>
      </c>
      <c r="P8" s="67">
        <f ca="1">_xll.DBGET(#REF!,#REF!,#REF!,#REF!,#REF!,#REF!,$C8,$B8,#REF!,#REF!,#REF!)</f>
        <v>0</v>
      </c>
      <c r="Q8" s="7">
        <f ca="1">IFERROR((_xll.DBGET(#REF!,#REF!,#REF!,#REF!,#REF!,#REF!,$C8,$B8,#REF!,#REF!,#REF!))/P8,0)</f>
        <v>0</v>
      </c>
      <c r="R8" s="67">
        <f ca="1">_xll.DBGET(#REF!,#REF!,#REF!,#REF!,#REF!,#REF!,$C8,$B8,#REF!,#REF!,#REF!)</f>
        <v>0</v>
      </c>
      <c r="S8" s="7">
        <f ca="1">IFERROR((_xll.DBGET(#REF!,#REF!,#REF!,#REF!,#REF!,#REF!,$C8,$B8,#REF!,#REF!,#REF!))/R8,0)</f>
        <v>0</v>
      </c>
      <c r="T8" s="67">
        <f ca="1">_xll.DBGET(#REF!,#REF!,#REF!,#REF!,#REF!,#REF!,$C8,$B8,#REF!,#REF!,#REF!)</f>
        <v>0</v>
      </c>
      <c r="U8" s="7">
        <f ca="1">_xll.DBGET(#REF!,#REF!,#REF!,#REF!,#REF!,#REF!,$C8,$B8,#REF!,#REF!,#REF!)</f>
        <v>0</v>
      </c>
    </row>
    <row r="9" spans="1:30" x14ac:dyDescent="0.35">
      <c r="A9" s="56"/>
      <c r="B9" s="57" t="s">
        <v>10</v>
      </c>
      <c r="C9" s="61" t="s">
        <v>8</v>
      </c>
      <c r="D9" s="65">
        <f ca="1">_xll.DBGET(#REF!,#REF!,#REF!,#REF!,#REF!,#REF!,$C9,$B9,#REF!,#REF!,#REF!)</f>
        <v>179583</v>
      </c>
      <c r="E9" s="63">
        <f ca="1">_xll.DBGET(#REF!,#REF!,#REF!,#REF!,#REF!,#REF!,$C9,$B9,#REF!,#REF!,#REF!)</f>
        <v>143.72214953363999</v>
      </c>
      <c r="F9" s="65">
        <f ca="1">_xll.DBGET(#REF!,#REF!,#REF!,#REF!,#REF!,#REF!,$C9,$B9,#REF!,#REF!,#REF!)</f>
        <v>10129</v>
      </c>
      <c r="G9" s="63">
        <f ca="1">_xll.DBGET(#REF!,#REF!,#REF!,#REF!,#REF!,#REF!,$C9,$B9,#REF!,#REF!,#REF!)</f>
        <v>146.57497936874</v>
      </c>
      <c r="H9" s="65">
        <f ca="1">_xll.DBGET(#REF!,#REF!,#REF!,#REF!,#REF!,#REF!,$C9,$B9,#REF!,#REF!,#REF!)</f>
        <v>29564</v>
      </c>
      <c r="I9" s="63">
        <f ca="1">_xll.DBGET(#REF!,#REF!,#REF!,#REF!,#REF!,#REF!,$C9,$B9,#REF!,#REF!,#REF!)</f>
        <v>132.94053707026001</v>
      </c>
      <c r="J9" s="65">
        <f ca="1">_xll.DBGET(#REF!,#REF!,#REF!,#REF!,#REF!,#REF!,$C9,$B9,#REF!,#REF!,#REF!)</f>
        <v>11868</v>
      </c>
      <c r="K9" s="63">
        <f ca="1">_xll.DBGET(#REF!,#REF!,#REF!,#REF!,#REF!,#REF!,$C9,$B9,#REF!,#REF!,#REF!)</f>
        <v>143.94959748625999</v>
      </c>
      <c r="L9" s="65">
        <f ca="1">_xll.DBGET(#REF!,#REF!,#REF!,#REF!,#REF!,#REF!,$C9,$B9,#REF!,#REF!,#REF!)</f>
        <v>0</v>
      </c>
      <c r="M9" s="63">
        <f ca="1">_xll.DBGET(#REF!,#REF!,#REF!,#REF!,#REF!,#REF!,$C9,$B9,#REF!,#REF!,#REF!)</f>
        <v>0</v>
      </c>
      <c r="N9" s="65">
        <f ca="1">_xll.DBGET(#REF!,#REF!,#REF!,#REF!,#REF!,#REF!,$C9,$B9,#REF!,#REF!,#REF!)</f>
        <v>0</v>
      </c>
      <c r="O9" s="63">
        <f ca="1">IFERROR((_xll.DBGET(#REF!,#REF!,#REF!,#REF!,#REF!,#REF!,$C9,$B9,#REF!,#REF!,#REF!))/N9,0)</f>
        <v>0</v>
      </c>
      <c r="P9" s="65">
        <f ca="1">_xll.DBGET(#REF!,#REF!,#REF!,#REF!,#REF!,#REF!,$C9,$B9,#REF!,#REF!,#REF!)</f>
        <v>0</v>
      </c>
      <c r="Q9" s="63">
        <f ca="1">IFERROR((_xll.DBGET(#REF!,#REF!,#REF!,#REF!,#REF!,#REF!,$C9,$B9,#REF!,#REF!,#REF!))/P9,0)</f>
        <v>0</v>
      </c>
      <c r="R9" s="65">
        <f ca="1">_xll.DBGET(#REF!,#REF!,#REF!,#REF!,#REF!,#REF!,$C9,$B9,#REF!,#REF!,#REF!)</f>
        <v>0</v>
      </c>
      <c r="S9" s="63">
        <f ca="1">IFERROR((_xll.DBGET(#REF!,#REF!,#REF!,#REF!,#REF!,#REF!,$C9,$B9,#REF!,#REF!,#REF!))/R9,0)</f>
        <v>0</v>
      </c>
      <c r="T9" s="65">
        <f ca="1">_xll.DBGET(#REF!,#REF!,#REF!,#REF!,#REF!,#REF!,$C9,$B9,#REF!,#REF!,#REF!)</f>
        <v>0</v>
      </c>
      <c r="U9" s="63">
        <f ca="1">_xll.DBGET(#REF!,#REF!,#REF!,#REF!,#REF!,#REF!,$C9,$B9,#REF!,#REF!,#REF!)</f>
        <v>0</v>
      </c>
    </row>
    <row r="10" spans="1:30" x14ac:dyDescent="0.35">
      <c r="A10" s="58"/>
      <c r="B10" s="59" t="s">
        <v>10</v>
      </c>
      <c r="C10" s="62" t="s">
        <v>9</v>
      </c>
      <c r="D10" s="66">
        <f ca="1">_xll.DBGET(#REF!,#REF!,#REF!,#REF!,#REF!,#REF!,$C10,$B10,#REF!,#REF!,#REF!)</f>
        <v>2984139</v>
      </c>
      <c r="E10" s="64">
        <f ca="1">_xll.DBGET(#REF!,#REF!,#REF!,#REF!,#REF!,#REF!,$C10,$B10,#REF!,#REF!,#REF!)</f>
        <v>152.93414084967</v>
      </c>
      <c r="F10" s="66">
        <f ca="1">_xll.DBGET(#REF!,#REF!,#REF!,#REF!,#REF!,#REF!,$C10,$B10,#REF!,#REF!,#REF!)</f>
        <v>339590</v>
      </c>
      <c r="G10" s="64">
        <f ca="1">_xll.DBGET(#REF!,#REF!,#REF!,#REF!,#REF!,#REF!,$C10,$B10,#REF!,#REF!,#REF!)</f>
        <v>143.85114048341001</v>
      </c>
      <c r="H10" s="66">
        <f ca="1">_xll.DBGET(#REF!,#REF!,#REF!,#REF!,#REF!,#REF!,$C10,$B10,#REF!,#REF!,#REF!)</f>
        <v>328716</v>
      </c>
      <c r="I10" s="64">
        <f ca="1">_xll.DBGET(#REF!,#REF!,#REF!,#REF!,#REF!,#REF!,$C10,$B10,#REF!,#REF!,#REF!)</f>
        <v>153.57960939649001</v>
      </c>
      <c r="J10" s="66">
        <f ca="1">_xll.DBGET(#REF!,#REF!,#REF!,#REF!,#REF!,#REF!,$C10,$B10,#REF!,#REF!,#REF!)</f>
        <v>223752</v>
      </c>
      <c r="K10" s="64">
        <f ca="1">_xll.DBGET(#REF!,#REF!,#REF!,#REF!,#REF!,#REF!,$C10,$B10,#REF!,#REF!,#REF!)</f>
        <v>158.11874441645</v>
      </c>
      <c r="L10" s="66">
        <f ca="1">_xll.DBGET(#REF!,#REF!,#REF!,#REF!,#REF!,#REF!,$C10,$B10,#REF!,#REF!,#REF!)</f>
        <v>0</v>
      </c>
      <c r="M10" s="64">
        <f ca="1">_xll.DBGET(#REF!,#REF!,#REF!,#REF!,#REF!,#REF!,$C10,$B10,#REF!,#REF!,#REF!)</f>
        <v>0</v>
      </c>
      <c r="N10" s="66">
        <f ca="1">_xll.DBGET(#REF!,#REF!,#REF!,#REF!,#REF!,#REF!,$C10,$B10,#REF!,#REF!,#REF!)</f>
        <v>0</v>
      </c>
      <c r="O10" s="64">
        <f ca="1">IFERROR((_xll.DBGET(#REF!,#REF!,#REF!,#REF!,#REF!,#REF!,$C10,$B10,#REF!,#REF!,#REF!))/N10,0)</f>
        <v>0</v>
      </c>
      <c r="P10" s="66">
        <f ca="1">_xll.DBGET(#REF!,#REF!,#REF!,#REF!,#REF!,#REF!,$C10,$B10,#REF!,#REF!,#REF!)</f>
        <v>0</v>
      </c>
      <c r="Q10" s="64">
        <f ca="1">IFERROR((_xll.DBGET(#REF!,#REF!,#REF!,#REF!,#REF!,#REF!,$C10,$B10,#REF!,#REF!,#REF!))/P10,0)</f>
        <v>0</v>
      </c>
      <c r="R10" s="66">
        <f ca="1">_xll.DBGET(#REF!,#REF!,#REF!,#REF!,#REF!,#REF!,$C10,$B10,#REF!,#REF!,#REF!)</f>
        <v>0</v>
      </c>
      <c r="S10" s="64">
        <f ca="1">IFERROR((_xll.DBGET(#REF!,#REF!,#REF!,#REF!,#REF!,#REF!,$C10,$B10,#REF!,#REF!,#REF!))/R10,0)</f>
        <v>0</v>
      </c>
      <c r="T10" s="66">
        <f ca="1">_xll.DBGET(#REF!,#REF!,#REF!,#REF!,#REF!,#REF!,$C10,$B10,#REF!,#REF!,#REF!)</f>
        <v>0</v>
      </c>
      <c r="U10" s="64">
        <f ca="1">_xll.DBGET(#REF!,#REF!,#REF!,#REF!,#REF!,#REF!,$C10,$B10,#REF!,#REF!,#REF!)</f>
        <v>0</v>
      </c>
    </row>
    <row r="11" spans="1:30" x14ac:dyDescent="0.35">
      <c r="A11" s="17" t="s">
        <v>3</v>
      </c>
      <c r="B11" s="18" t="s">
        <v>11</v>
      </c>
      <c r="C11" s="20" t="s">
        <v>7</v>
      </c>
      <c r="D11" s="67">
        <f ca="1">_xll.DBGET(#REF!,#REF!,#REF!,#REF!,#REF!,#REF!,$C11,$B11,#REF!,#REF!,#REF!)</f>
        <v>346877</v>
      </c>
      <c r="E11" s="7">
        <f ca="1">_xll.DBGET(#REF!,#REF!,#REF!,#REF!,#REF!,#REF!,$C11,$B11,#REF!,#REF!,#REF!)</f>
        <v>198.83046645843001</v>
      </c>
      <c r="F11" s="67">
        <f ca="1">_xll.DBGET(#REF!,#REF!,#REF!,#REF!,#REF!,#REF!,$C11,$B11,#REF!,#REF!,#REF!)</f>
        <v>31319</v>
      </c>
      <c r="G11" s="7">
        <f ca="1">_xll.DBGET(#REF!,#REF!,#REF!,#REF!,#REF!,#REF!,$C11,$B11,#REF!,#REF!,#REF!)</f>
        <v>162.49096290841999</v>
      </c>
      <c r="H11" s="67">
        <f ca="1">_xll.DBGET(#REF!,#REF!,#REF!,#REF!,#REF!,#REF!,$C11,$B11,#REF!,#REF!,#REF!)</f>
        <v>38967</v>
      </c>
      <c r="I11" s="7">
        <f ca="1">_xll.DBGET(#REF!,#REF!,#REF!,#REF!,#REF!,#REF!,$C11,$B11,#REF!,#REF!,#REF!)</f>
        <v>176.70418181546</v>
      </c>
      <c r="J11" s="67">
        <f ca="1">_xll.DBGET(#REF!,#REF!,#REF!,#REF!,#REF!,#REF!,$C11,$B11,#REF!,#REF!,#REF!)</f>
        <v>29500</v>
      </c>
      <c r="K11" s="7">
        <f ca="1">_xll.DBGET(#REF!,#REF!,#REF!,#REF!,#REF!,#REF!,$C11,$B11,#REF!,#REF!,#REF!)</f>
        <v>187.82983512180999</v>
      </c>
      <c r="L11" s="67">
        <f ca="1">_xll.DBGET(#REF!,#REF!,#REF!,#REF!,#REF!,#REF!,$C11,$B11,#REF!,#REF!,#REF!)</f>
        <v>0</v>
      </c>
      <c r="M11" s="7">
        <f ca="1">_xll.DBGET(#REF!,#REF!,#REF!,#REF!,#REF!,#REF!,$C11,$B11,#REF!,#REF!,#REF!)</f>
        <v>0</v>
      </c>
      <c r="N11" s="67">
        <f ca="1">_xll.DBGET(#REF!,#REF!,#REF!,#REF!,#REF!,#REF!,$C11,$B11,#REF!,#REF!,#REF!)</f>
        <v>0</v>
      </c>
      <c r="O11" s="7">
        <f ca="1">IFERROR((_xll.DBGET(#REF!,#REF!,#REF!,#REF!,#REF!,#REF!,$C11,$B11,#REF!,#REF!,#REF!))/N11,0)</f>
        <v>0</v>
      </c>
      <c r="P11" s="67">
        <f ca="1">_xll.DBGET(#REF!,#REF!,#REF!,#REF!,#REF!,#REF!,$C11,$B11,#REF!,#REF!,#REF!)</f>
        <v>0</v>
      </c>
      <c r="Q11" s="7">
        <f ca="1">IFERROR((_xll.DBGET(#REF!,#REF!,#REF!,#REF!,#REF!,#REF!,$C11,$B11,#REF!,#REF!,#REF!))/P11,0)</f>
        <v>0</v>
      </c>
      <c r="R11" s="67">
        <f ca="1">_xll.DBGET(#REF!,#REF!,#REF!,#REF!,#REF!,#REF!,$C11,$B11,#REF!,#REF!,#REF!)</f>
        <v>0</v>
      </c>
      <c r="S11" s="7">
        <f ca="1">IFERROR((_xll.DBGET(#REF!,#REF!,#REF!,#REF!,#REF!,#REF!,$C11,$B11,#REF!,#REF!,#REF!))/R11,0)</f>
        <v>0</v>
      </c>
      <c r="T11" s="67">
        <f ca="1">_xll.DBGET(#REF!,#REF!,#REF!,#REF!,#REF!,#REF!,$C11,$B11,#REF!,#REF!,#REF!)</f>
        <v>0</v>
      </c>
      <c r="U11" s="7">
        <f ca="1">_xll.DBGET(#REF!,#REF!,#REF!,#REF!,#REF!,#REF!,$C11,$B11,#REF!,#REF!,#REF!)</f>
        <v>0</v>
      </c>
    </row>
    <row r="12" spans="1:30" x14ac:dyDescent="0.35">
      <c r="A12" s="56"/>
      <c r="B12" s="57" t="s">
        <v>11</v>
      </c>
      <c r="C12" s="61" t="s">
        <v>8</v>
      </c>
      <c r="D12" s="127">
        <f ca="1">_xll.DBGET(#REF!,#REF!,#REF!,#REF!,#REF!,#REF!,$C12,$B12,#REF!,#REF!,#REF!)</f>
        <v>15918</v>
      </c>
      <c r="E12" s="123">
        <f ca="1">_xll.DBGET(#REF!,#REF!,#REF!,#REF!,#REF!,#REF!,$C12,$B12,#REF!,#REF!,#REF!)</f>
        <v>190.65320709260001</v>
      </c>
      <c r="F12" s="127">
        <f ca="1">_xll.DBGET(#REF!,#REF!,#REF!,#REF!,#REF!,#REF!,$C12,$B12,#REF!,#REF!,#REF!)</f>
        <v>0</v>
      </c>
      <c r="G12" s="123">
        <f ca="1">_xll.DBGET(#REF!,#REF!,#REF!,#REF!,#REF!,#REF!,$C12,$B12,#REF!,#REF!,#REF!)</f>
        <v>0</v>
      </c>
      <c r="H12" s="127">
        <f ca="1">_xll.DBGET(#REF!,#REF!,#REF!,#REF!,#REF!,#REF!,$C12,$B12,#REF!,#REF!,#REF!)</f>
        <v>0</v>
      </c>
      <c r="I12" s="123">
        <f ca="1">_xll.DBGET(#REF!,#REF!,#REF!,#REF!,#REF!,#REF!,$C12,$B12,#REF!,#REF!,#REF!)</f>
        <v>0</v>
      </c>
      <c r="J12" s="127">
        <f ca="1">_xll.DBGET(#REF!,#REF!,#REF!,#REF!,#REF!,#REF!,$C12,$B12,#REF!,#REF!,#REF!)</f>
        <v>0</v>
      </c>
      <c r="K12" s="123">
        <f ca="1">_xll.DBGET(#REF!,#REF!,#REF!,#REF!,#REF!,#REF!,$C12,$B12,#REF!,#REF!,#REF!)</f>
        <v>0</v>
      </c>
      <c r="L12" s="127">
        <f ca="1">_xll.DBGET(#REF!,#REF!,#REF!,#REF!,#REF!,#REF!,$C12,$B12,#REF!,#REF!,#REF!)</f>
        <v>0</v>
      </c>
      <c r="M12" s="123">
        <f ca="1">_xll.DBGET(#REF!,#REF!,#REF!,#REF!,#REF!,#REF!,$C12,$B12,#REF!,#REF!,#REF!)</f>
        <v>0</v>
      </c>
      <c r="N12" s="127">
        <f ca="1">_xll.DBGET(#REF!,#REF!,#REF!,#REF!,#REF!,#REF!,$C12,$B12,#REF!,#REF!,#REF!)</f>
        <v>0</v>
      </c>
      <c r="O12" s="123">
        <f ca="1">IFERROR((_xll.DBGET(#REF!,#REF!,#REF!,#REF!,#REF!,#REF!,$C12,$B12,#REF!,#REF!,#REF!))/N12,0)</f>
        <v>0</v>
      </c>
      <c r="P12" s="127">
        <f ca="1">_xll.DBGET(#REF!,#REF!,#REF!,#REF!,#REF!,#REF!,$C12,$B12,#REF!,#REF!,#REF!)</f>
        <v>0</v>
      </c>
      <c r="Q12" s="123">
        <f ca="1">IFERROR((_xll.DBGET(#REF!,#REF!,#REF!,#REF!,#REF!,#REF!,$C12,$B12,#REF!,#REF!,#REF!))/P12,0)</f>
        <v>0</v>
      </c>
      <c r="R12" s="127">
        <f ca="1">_xll.DBGET(#REF!,#REF!,#REF!,#REF!,#REF!,#REF!,$C12,$B12,#REF!,#REF!,#REF!)</f>
        <v>0</v>
      </c>
      <c r="S12" s="123">
        <f ca="1">IFERROR((_xll.DBGET(#REF!,#REF!,#REF!,#REF!,#REF!,#REF!,$C12,$B12,#REF!,#REF!,#REF!))/R12,0)</f>
        <v>0</v>
      </c>
      <c r="T12" s="127">
        <f ca="1">_xll.DBGET(#REF!,#REF!,#REF!,#REF!,#REF!,#REF!,$C12,$B12,#REF!,#REF!,#REF!)</f>
        <v>0</v>
      </c>
      <c r="U12" s="123">
        <f ca="1">_xll.DBGET(#REF!,#REF!,#REF!,#REF!,#REF!,#REF!,$C12,$B12,#REF!,#REF!,#REF!)</f>
        <v>0</v>
      </c>
    </row>
    <row r="13" spans="1:30" x14ac:dyDescent="0.35">
      <c r="A13" s="56"/>
      <c r="B13" s="57" t="s">
        <v>11</v>
      </c>
      <c r="C13" s="61" t="s">
        <v>9</v>
      </c>
      <c r="D13" s="127">
        <f ca="1">_xll.DBGET(#REF!,#REF!,#REF!,#REF!,#REF!,#REF!,$C13,$B13,#REF!,#REF!,#REF!)</f>
        <v>330959</v>
      </c>
      <c r="E13" s="123">
        <f ca="1">_xll.DBGET(#REF!,#REF!,#REF!,#REF!,#REF!,#REF!,$C13,$B13,#REF!,#REF!,#REF!)</f>
        <v>199.22376476603</v>
      </c>
      <c r="F13" s="127">
        <f ca="1">_xll.DBGET(#REF!,#REF!,#REF!,#REF!,#REF!,#REF!,$C13,$B13,#REF!,#REF!,#REF!)</f>
        <v>31319</v>
      </c>
      <c r="G13" s="123">
        <f ca="1">_xll.DBGET(#REF!,#REF!,#REF!,#REF!,#REF!,#REF!,$C13,$B13,#REF!,#REF!,#REF!)</f>
        <v>162.49096290841999</v>
      </c>
      <c r="H13" s="127">
        <f ca="1">_xll.DBGET(#REF!,#REF!,#REF!,#REF!,#REF!,#REF!,$C13,$B13,#REF!,#REF!,#REF!)</f>
        <v>38967</v>
      </c>
      <c r="I13" s="123">
        <f ca="1">_xll.DBGET(#REF!,#REF!,#REF!,#REF!,#REF!,#REF!,$C13,$B13,#REF!,#REF!,#REF!)</f>
        <v>176.70418181546</v>
      </c>
      <c r="J13" s="127">
        <f ca="1">_xll.DBGET(#REF!,#REF!,#REF!,#REF!,#REF!,#REF!,$C13,$B13,#REF!,#REF!,#REF!)</f>
        <v>29500</v>
      </c>
      <c r="K13" s="123">
        <f ca="1">_xll.DBGET(#REF!,#REF!,#REF!,#REF!,#REF!,#REF!,$C13,$B13,#REF!,#REF!,#REF!)</f>
        <v>187.82983512180999</v>
      </c>
      <c r="L13" s="127">
        <f ca="1">_xll.DBGET(#REF!,#REF!,#REF!,#REF!,#REF!,#REF!,$C13,$B13,#REF!,#REF!,#REF!)</f>
        <v>0</v>
      </c>
      <c r="M13" s="123">
        <f ca="1">_xll.DBGET(#REF!,#REF!,#REF!,#REF!,#REF!,#REF!,$C13,$B13,#REF!,#REF!,#REF!)</f>
        <v>0</v>
      </c>
      <c r="N13" s="127">
        <f ca="1">_xll.DBGET(#REF!,#REF!,#REF!,#REF!,#REF!,#REF!,$C13,$B13,#REF!,#REF!,#REF!)</f>
        <v>0</v>
      </c>
      <c r="O13" s="123">
        <f ca="1">IFERROR((_xll.DBGET(#REF!,#REF!,#REF!,#REF!,#REF!,#REF!,$C13,$B13,#REF!,#REF!,#REF!))/N13,0)</f>
        <v>0</v>
      </c>
      <c r="P13" s="127">
        <f ca="1">_xll.DBGET(#REF!,#REF!,#REF!,#REF!,#REF!,#REF!,$C13,$B13,#REF!,#REF!,#REF!)</f>
        <v>0</v>
      </c>
      <c r="Q13" s="123">
        <f ca="1">IFERROR((_xll.DBGET(#REF!,#REF!,#REF!,#REF!,#REF!,#REF!,$C13,$B13,#REF!,#REF!,#REF!))/P13,0)</f>
        <v>0</v>
      </c>
      <c r="R13" s="127">
        <f ca="1">_xll.DBGET(#REF!,#REF!,#REF!,#REF!,#REF!,#REF!,$C13,$B13,#REF!,#REF!,#REF!)</f>
        <v>0</v>
      </c>
      <c r="S13" s="123">
        <f ca="1">IFERROR((_xll.DBGET(#REF!,#REF!,#REF!,#REF!,#REF!,#REF!,$C13,$B13,#REF!,#REF!,#REF!))/R13,0)</f>
        <v>0</v>
      </c>
      <c r="T13" s="127">
        <f ca="1">_xll.DBGET(#REF!,#REF!,#REF!,#REF!,#REF!,#REF!,$C13,$B13,#REF!,#REF!,#REF!)</f>
        <v>0</v>
      </c>
      <c r="U13" s="123">
        <f ca="1">_xll.DBGET(#REF!,#REF!,#REF!,#REF!,#REF!,#REF!,$C13,$B13,#REF!,#REF!,#REF!)</f>
        <v>0</v>
      </c>
    </row>
    <row r="14" spans="1:30" x14ac:dyDescent="0.35">
      <c r="A14" s="15" t="s">
        <v>4</v>
      </c>
      <c r="B14" s="16" t="s">
        <v>12</v>
      </c>
      <c r="C14" s="19" t="s">
        <v>7</v>
      </c>
      <c r="D14" s="126">
        <f ca="1">_xll.DBGET(#REF!,#REF!,#REF!,#REF!,#REF!,#REF!,$C14,$B14,#REF!,#REF!,#REF!)</f>
        <v>313847.18</v>
      </c>
      <c r="E14" s="125">
        <f ca="1">_xll.DBGET(#REF!,#REF!,#REF!,#REF!,#REF!,#REF!,$C14,$B14,#REF!,#REF!,#REF!)</f>
        <v>182.26931168378999</v>
      </c>
      <c r="F14" s="126">
        <f ca="1">_xll.DBGET(#REF!,#REF!,#REF!,#REF!,#REF!,#REF!,$C14,$B14,#REF!,#REF!,#REF!)</f>
        <v>33364.197</v>
      </c>
      <c r="G14" s="125">
        <f ca="1">_xll.DBGET(#REF!,#REF!,#REF!,#REF!,#REF!,#REF!,$C14,$B14,#REF!,#REF!,#REF!)</f>
        <v>206.53947836245001</v>
      </c>
      <c r="H14" s="126">
        <f ca="1">_xll.DBGET(#REF!,#REF!,#REF!,#REF!,#REF!,#REF!,$C14,$B14,#REF!,#REF!,#REF!)</f>
        <v>55408</v>
      </c>
      <c r="I14" s="125">
        <f ca="1">_xll.DBGET(#REF!,#REF!,#REF!,#REF!,#REF!,#REF!,$C14,$B14,#REF!,#REF!,#REF!)</f>
        <v>168.97834403447999</v>
      </c>
      <c r="J14" s="126">
        <f ca="1">_xll.DBGET(#REF!,#REF!,#REF!,#REF!,#REF!,#REF!,$C14,$B14,#REF!,#REF!,#REF!)</f>
        <v>36749</v>
      </c>
      <c r="K14" s="125">
        <f ca="1">_xll.DBGET(#REF!,#REF!,#REF!,#REF!,#REF!,#REF!,$C14,$B14,#REF!,#REF!,#REF!)</f>
        <v>165.47106029152999</v>
      </c>
      <c r="L14" s="126">
        <f ca="1">_xll.DBGET(#REF!,#REF!,#REF!,#REF!,#REF!,#REF!,$C14,$B14,#REF!,#REF!,#REF!)</f>
        <v>0</v>
      </c>
      <c r="M14" s="125">
        <f ca="1">_xll.DBGET(#REF!,#REF!,#REF!,#REF!,#REF!,#REF!,$C14,$B14,#REF!,#REF!,#REF!)</f>
        <v>0</v>
      </c>
      <c r="N14" s="126">
        <f ca="1">_xll.DBGET(#REF!,#REF!,#REF!,#REF!,#REF!,#REF!,$C14,$B14,#REF!,#REF!,#REF!)</f>
        <v>0</v>
      </c>
      <c r="O14" s="125">
        <f ca="1">IFERROR((_xll.DBGET(#REF!,#REF!,#REF!,#REF!,#REF!,#REF!,$C14,$B14,#REF!,#REF!,#REF!))/N14,0)</f>
        <v>0</v>
      </c>
      <c r="P14" s="126">
        <f ca="1">_xll.DBGET(#REF!,#REF!,#REF!,#REF!,#REF!,#REF!,$C14,$B14,#REF!,#REF!,#REF!)</f>
        <v>0</v>
      </c>
      <c r="Q14" s="125">
        <f ca="1">IFERROR((_xll.DBGET(#REF!,#REF!,#REF!,#REF!,#REF!,#REF!,$C14,$B14,#REF!,#REF!,#REF!))/P14,0)</f>
        <v>0</v>
      </c>
      <c r="R14" s="126">
        <f ca="1">_xll.DBGET(#REF!,#REF!,#REF!,#REF!,#REF!,#REF!,$C14,$B14,#REF!,#REF!,#REF!)</f>
        <v>0</v>
      </c>
      <c r="S14" s="125">
        <f ca="1">IFERROR((_xll.DBGET(#REF!,#REF!,#REF!,#REF!,#REF!,#REF!,$C14,$B14,#REF!,#REF!,#REF!))/R14,0)</f>
        <v>0</v>
      </c>
      <c r="T14" s="126">
        <f ca="1">_xll.DBGET(#REF!,#REF!,#REF!,#REF!,#REF!,#REF!,$C14,$B14,#REF!,#REF!,#REF!)</f>
        <v>0</v>
      </c>
      <c r="U14" s="125">
        <f ca="1">_xll.DBGET(#REF!,#REF!,#REF!,#REF!,#REF!,#REF!,$C14,$B14,#REF!,#REF!,#REF!)</f>
        <v>0</v>
      </c>
    </row>
    <row r="15" spans="1:30" x14ac:dyDescent="0.35">
      <c r="A15" s="56"/>
      <c r="B15" s="57" t="s">
        <v>12</v>
      </c>
      <c r="C15" s="61" t="s">
        <v>8</v>
      </c>
      <c r="D15" s="127">
        <f ca="1">_xll.DBGET(#REF!,#REF!,#REF!,#REF!,#REF!,#REF!,$C15,$B15,#REF!,#REF!,#REF!)</f>
        <v>64874</v>
      </c>
      <c r="E15" s="123">
        <f ca="1">_xll.DBGET(#REF!,#REF!,#REF!,#REF!,#REF!,#REF!,$C15,$B15,#REF!,#REF!,#REF!)</f>
        <v>149.07456829392001</v>
      </c>
      <c r="F15" s="127">
        <f ca="1">_xll.DBGET(#REF!,#REF!,#REF!,#REF!,#REF!,#REF!,$C15,$B15,#REF!,#REF!,#REF!)</f>
        <v>0</v>
      </c>
      <c r="G15" s="123">
        <f ca="1">_xll.DBGET(#REF!,#REF!,#REF!,#REF!,#REF!,#REF!,$C15,$B15,#REF!,#REF!,#REF!)</f>
        <v>0</v>
      </c>
      <c r="H15" s="127">
        <f ca="1">_xll.DBGET(#REF!,#REF!,#REF!,#REF!,#REF!,#REF!,$C15,$B15,#REF!,#REF!,#REF!)</f>
        <v>36908</v>
      </c>
      <c r="I15" s="123">
        <f ca="1">_xll.DBGET(#REF!,#REF!,#REF!,#REF!,#REF!,#REF!,$C15,$B15,#REF!,#REF!,#REF!)</f>
        <v>147.26074684880001</v>
      </c>
      <c r="J15" s="127">
        <f ca="1">_xll.DBGET(#REF!,#REF!,#REF!,#REF!,#REF!,#REF!,$C15,$B15,#REF!,#REF!,#REF!)</f>
        <v>20749</v>
      </c>
      <c r="K15" s="123">
        <f ca="1">_xll.DBGET(#REF!,#REF!,#REF!,#REF!,#REF!,#REF!,$C15,$B15,#REF!,#REF!,#REF!)</f>
        <v>151.22569843088999</v>
      </c>
      <c r="L15" s="127">
        <f ca="1">_xll.DBGET(#REF!,#REF!,#REF!,#REF!,#REF!,#REF!,$C15,$B15,#REF!,#REF!,#REF!)</f>
        <v>0</v>
      </c>
      <c r="M15" s="123">
        <f ca="1">_xll.DBGET(#REF!,#REF!,#REF!,#REF!,#REF!,#REF!,$C15,$B15,#REF!,#REF!,#REF!)</f>
        <v>0</v>
      </c>
      <c r="N15" s="127">
        <f ca="1">_xll.DBGET(#REF!,#REF!,#REF!,#REF!,#REF!,#REF!,$C15,$B15,#REF!,#REF!,#REF!)</f>
        <v>0</v>
      </c>
      <c r="O15" s="123">
        <f ca="1">IFERROR((_xll.DBGET(#REF!,#REF!,#REF!,#REF!,#REF!,#REF!,$C15,$B15,#REF!,#REF!,#REF!))/N15,0)</f>
        <v>0</v>
      </c>
      <c r="P15" s="127">
        <f ca="1">_xll.DBGET(#REF!,#REF!,#REF!,#REF!,#REF!,#REF!,$C15,$B15,#REF!,#REF!,#REF!)</f>
        <v>0</v>
      </c>
      <c r="Q15" s="123">
        <f ca="1">IFERROR((_xll.DBGET(#REF!,#REF!,#REF!,#REF!,#REF!,#REF!,$C15,$B15,#REF!,#REF!,#REF!))/P15,0)</f>
        <v>0</v>
      </c>
      <c r="R15" s="127">
        <f ca="1">_xll.DBGET(#REF!,#REF!,#REF!,#REF!,#REF!,#REF!,$C15,$B15,#REF!,#REF!,#REF!)</f>
        <v>0</v>
      </c>
      <c r="S15" s="123">
        <f ca="1">IFERROR((_xll.DBGET(#REF!,#REF!,#REF!,#REF!,#REF!,#REF!,$C15,$B15,#REF!,#REF!,#REF!))/R15,0)</f>
        <v>0</v>
      </c>
      <c r="T15" s="127">
        <f ca="1">_xll.DBGET(#REF!,#REF!,#REF!,#REF!,#REF!,#REF!,$C15,$B15,#REF!,#REF!,#REF!)</f>
        <v>0</v>
      </c>
      <c r="U15" s="123">
        <f ca="1">_xll.DBGET(#REF!,#REF!,#REF!,#REF!,#REF!,#REF!,$C15,$B15,#REF!,#REF!,#REF!)</f>
        <v>0</v>
      </c>
    </row>
    <row r="16" spans="1:30" x14ac:dyDescent="0.35">
      <c r="A16" s="56"/>
      <c r="B16" s="57" t="s">
        <v>12</v>
      </c>
      <c r="C16" s="61" t="s">
        <v>9</v>
      </c>
      <c r="D16" s="127">
        <f ca="1">_xll.DBGET(#REF!,#REF!,#REF!,#REF!,#REF!,#REF!,$C16,$B16,#REF!,#REF!,#REF!)</f>
        <v>248973.18</v>
      </c>
      <c r="E16" s="123">
        <f ca="1">_xll.DBGET(#REF!,#REF!,#REF!,#REF!,#REF!,#REF!,$C16,$B16,#REF!,#REF!,#REF!)</f>
        <v>190.91874044023999</v>
      </c>
      <c r="F16" s="127">
        <f ca="1">_xll.DBGET(#REF!,#REF!,#REF!,#REF!,#REF!,#REF!,$C16,$B16,#REF!,#REF!,#REF!)</f>
        <v>33364.197</v>
      </c>
      <c r="G16" s="123">
        <f ca="1">_xll.DBGET(#REF!,#REF!,#REF!,#REF!,#REF!,#REF!,$C16,$B16,#REF!,#REF!,#REF!)</f>
        <v>206.53947836245001</v>
      </c>
      <c r="H16" s="127">
        <f ca="1">_xll.DBGET(#REF!,#REF!,#REF!,#REF!,#REF!,#REF!,$C16,$B16,#REF!,#REF!,#REF!)</f>
        <v>18500</v>
      </c>
      <c r="I16" s="123">
        <f ca="1">_xll.DBGET(#REF!,#REF!,#REF!,#REF!,#REF!,#REF!,$C16,$B16,#REF!,#REF!,#REF!)</f>
        <v>212.30553738199001</v>
      </c>
      <c r="J16" s="127">
        <f ca="1">_xll.DBGET(#REF!,#REF!,#REF!,#REF!,#REF!,#REF!,$C16,$B16,#REF!,#REF!,#REF!)</f>
        <v>16000</v>
      </c>
      <c r="K16" s="123">
        <f ca="1">_xll.DBGET(#REF!,#REF!,#REF!,#REF!,#REF!,#REF!,$C16,$B16,#REF!,#REF!,#REF!)</f>
        <v>183.94462361942999</v>
      </c>
      <c r="L16" s="127">
        <f ca="1">_xll.DBGET(#REF!,#REF!,#REF!,#REF!,#REF!,#REF!,$C16,$B16,#REF!,#REF!,#REF!)</f>
        <v>0</v>
      </c>
      <c r="M16" s="123">
        <f ca="1">_xll.DBGET(#REF!,#REF!,#REF!,#REF!,#REF!,#REF!,$C16,$B16,#REF!,#REF!,#REF!)</f>
        <v>0</v>
      </c>
      <c r="N16" s="127">
        <f ca="1">_xll.DBGET(#REF!,#REF!,#REF!,#REF!,#REF!,#REF!,$C16,$B16,#REF!,#REF!,#REF!)</f>
        <v>0</v>
      </c>
      <c r="O16" s="123">
        <f ca="1">IFERROR((_xll.DBGET(#REF!,#REF!,#REF!,#REF!,#REF!,#REF!,$C16,$B16,#REF!,#REF!,#REF!))/N16,0)</f>
        <v>0</v>
      </c>
      <c r="P16" s="127">
        <f ca="1">_xll.DBGET(#REF!,#REF!,#REF!,#REF!,#REF!,#REF!,$C16,$B16,#REF!,#REF!,#REF!)</f>
        <v>0</v>
      </c>
      <c r="Q16" s="123">
        <f ca="1">IFERROR((_xll.DBGET(#REF!,#REF!,#REF!,#REF!,#REF!,#REF!,$C16,$B16,#REF!,#REF!,#REF!))/P16,0)</f>
        <v>0</v>
      </c>
      <c r="R16" s="127">
        <f ca="1">_xll.DBGET(#REF!,#REF!,#REF!,#REF!,#REF!,#REF!,$C16,$B16,#REF!,#REF!,#REF!)</f>
        <v>0</v>
      </c>
      <c r="S16" s="123">
        <f ca="1">IFERROR((_xll.DBGET(#REF!,#REF!,#REF!,#REF!,#REF!,#REF!,$C16,$B16,#REF!,#REF!,#REF!))/R16,0)</f>
        <v>0</v>
      </c>
      <c r="T16" s="127">
        <f ca="1">_xll.DBGET(#REF!,#REF!,#REF!,#REF!,#REF!,#REF!,$C16,$B16,#REF!,#REF!,#REF!)</f>
        <v>0</v>
      </c>
      <c r="U16" s="123">
        <f ca="1">_xll.DBGET(#REF!,#REF!,#REF!,#REF!,#REF!,#REF!,$C16,$B16,#REF!,#REF!,#REF!)</f>
        <v>0</v>
      </c>
    </row>
    <row r="17" spans="1:21" x14ac:dyDescent="0.35">
      <c r="A17" s="15" t="s">
        <v>5</v>
      </c>
      <c r="B17" s="16" t="s">
        <v>13</v>
      </c>
      <c r="C17" s="19" t="s">
        <v>7</v>
      </c>
      <c r="D17" s="126">
        <f ca="1">_xll.DBGET(#REF!,#REF!,#REF!,#REF!,#REF!,#REF!,$C17,$B17,#REF!,#REF!,#REF!)</f>
        <v>14050</v>
      </c>
      <c r="E17" s="125">
        <f ca="1">_xll.DBGET(#REF!,#REF!,#REF!,#REF!,#REF!,#REF!,$C17,$B17,#REF!,#REF!,#REF!)</f>
        <v>129.54589691814999</v>
      </c>
      <c r="F17" s="126">
        <f ca="1">_xll.DBGET(#REF!,#REF!,#REF!,#REF!,#REF!,#REF!,$C17,$B17,#REF!,#REF!,#REF!)</f>
        <v>0</v>
      </c>
      <c r="G17" s="125">
        <f ca="1">_xll.DBGET(#REF!,#REF!,#REF!,#REF!,#REF!,#REF!,$C17,$B17,#REF!,#REF!,#REF!)</f>
        <v>0</v>
      </c>
      <c r="H17" s="126">
        <f ca="1">_xll.DBGET(#REF!,#REF!,#REF!,#REF!,#REF!,#REF!,$C17,$B17,#REF!,#REF!,#REF!)</f>
        <v>0</v>
      </c>
      <c r="I17" s="125">
        <f ca="1">_xll.DBGET(#REF!,#REF!,#REF!,#REF!,#REF!,#REF!,$C17,$B17,#REF!,#REF!,#REF!)</f>
        <v>0</v>
      </c>
      <c r="J17" s="126">
        <f ca="1">_xll.DBGET(#REF!,#REF!,#REF!,#REF!,#REF!,#REF!,$C17,$B17,#REF!,#REF!,#REF!)</f>
        <v>0</v>
      </c>
      <c r="K17" s="125">
        <f ca="1">_xll.DBGET(#REF!,#REF!,#REF!,#REF!,#REF!,#REF!,$C17,$B17,#REF!,#REF!,#REF!)</f>
        <v>0</v>
      </c>
      <c r="L17" s="126">
        <f ca="1">_xll.DBGET(#REF!,#REF!,#REF!,#REF!,#REF!,#REF!,$C17,$B17,#REF!,#REF!,#REF!)</f>
        <v>0</v>
      </c>
      <c r="M17" s="125">
        <f ca="1">_xll.DBGET(#REF!,#REF!,#REF!,#REF!,#REF!,#REF!,$C17,$B17,#REF!,#REF!,#REF!)</f>
        <v>0</v>
      </c>
      <c r="N17" s="126">
        <f ca="1">_xll.DBGET(#REF!,#REF!,#REF!,#REF!,#REF!,#REF!,$C17,$B17,#REF!,#REF!,#REF!)</f>
        <v>0</v>
      </c>
      <c r="O17" s="125">
        <f ca="1">IFERROR((_xll.DBGET(#REF!,#REF!,#REF!,#REF!,#REF!,#REF!,$C17,$B17,#REF!,#REF!,#REF!))/N17,0)</f>
        <v>0</v>
      </c>
      <c r="P17" s="126">
        <f ca="1">_xll.DBGET(#REF!,#REF!,#REF!,#REF!,#REF!,#REF!,$C17,$B17,#REF!,#REF!,#REF!)</f>
        <v>0</v>
      </c>
      <c r="Q17" s="125">
        <f ca="1">IFERROR((_xll.DBGET(#REF!,#REF!,#REF!,#REF!,#REF!,#REF!,$C17,$B17,#REF!,#REF!,#REF!))/P17,0)</f>
        <v>0</v>
      </c>
      <c r="R17" s="126">
        <f ca="1">_xll.DBGET(#REF!,#REF!,#REF!,#REF!,#REF!,#REF!,$C17,$B17,#REF!,#REF!,#REF!)</f>
        <v>0</v>
      </c>
      <c r="S17" s="125">
        <f ca="1">IFERROR((_xll.DBGET(#REF!,#REF!,#REF!,#REF!,#REF!,#REF!,$C17,$B17,#REF!,#REF!,#REF!))/R17,0)</f>
        <v>0</v>
      </c>
      <c r="T17" s="126">
        <f ca="1">_xll.DBGET(#REF!,#REF!,#REF!,#REF!,#REF!,#REF!,$C17,$B17,#REF!,#REF!,#REF!)</f>
        <v>0</v>
      </c>
      <c r="U17" s="125">
        <f ca="1">_xll.DBGET(#REF!,#REF!,#REF!,#REF!,#REF!,#REF!,$C17,$B17,#REF!,#REF!,#REF!)</f>
        <v>0</v>
      </c>
    </row>
    <row r="18" spans="1:21" x14ac:dyDescent="0.35">
      <c r="A18" s="56"/>
      <c r="B18" s="57" t="s">
        <v>13</v>
      </c>
      <c r="C18" s="61" t="s">
        <v>8</v>
      </c>
      <c r="D18" s="127">
        <f ca="1">_xll.DBGET(#REF!,#REF!,#REF!,#REF!,#REF!,#REF!,$C18,$B18,#REF!,#REF!,#REF!)</f>
        <v>0</v>
      </c>
      <c r="E18" s="123">
        <f ca="1">_xll.DBGET(#REF!,#REF!,#REF!,#REF!,#REF!,#REF!,$C18,$B18,#REF!,#REF!,#REF!)</f>
        <v>0</v>
      </c>
      <c r="F18" s="127">
        <f ca="1">_xll.DBGET(#REF!,#REF!,#REF!,#REF!,#REF!,#REF!,$C18,$B18,#REF!,#REF!,#REF!)</f>
        <v>0</v>
      </c>
      <c r="G18" s="123">
        <f ca="1">_xll.DBGET(#REF!,#REF!,#REF!,#REF!,#REF!,#REF!,$C18,$B18,#REF!,#REF!,#REF!)</f>
        <v>0</v>
      </c>
      <c r="H18" s="127">
        <f ca="1">_xll.DBGET(#REF!,#REF!,#REF!,#REF!,#REF!,#REF!,$C18,$B18,#REF!,#REF!,#REF!)</f>
        <v>0</v>
      </c>
      <c r="I18" s="123">
        <f ca="1">_xll.DBGET(#REF!,#REF!,#REF!,#REF!,#REF!,#REF!,$C18,$B18,#REF!,#REF!,#REF!)</f>
        <v>0</v>
      </c>
      <c r="J18" s="127">
        <f ca="1">_xll.DBGET(#REF!,#REF!,#REF!,#REF!,#REF!,#REF!,$C18,$B18,#REF!,#REF!,#REF!)</f>
        <v>0</v>
      </c>
      <c r="K18" s="123">
        <f ca="1">_xll.DBGET(#REF!,#REF!,#REF!,#REF!,#REF!,#REF!,$C18,$B18,#REF!,#REF!,#REF!)</f>
        <v>0</v>
      </c>
      <c r="L18" s="127">
        <f ca="1">_xll.DBGET(#REF!,#REF!,#REF!,#REF!,#REF!,#REF!,$C18,$B18,#REF!,#REF!,#REF!)</f>
        <v>0</v>
      </c>
      <c r="M18" s="123">
        <f ca="1">_xll.DBGET(#REF!,#REF!,#REF!,#REF!,#REF!,#REF!,$C18,$B18,#REF!,#REF!,#REF!)</f>
        <v>0</v>
      </c>
      <c r="N18" s="127">
        <f ca="1">_xll.DBGET(#REF!,#REF!,#REF!,#REF!,#REF!,#REF!,$C18,$B18,#REF!,#REF!,#REF!)</f>
        <v>0</v>
      </c>
      <c r="O18" s="123">
        <f ca="1">IFERROR((_xll.DBGET(#REF!,#REF!,#REF!,#REF!,#REF!,#REF!,$C18,$B18,#REF!,#REF!,#REF!))/N18,0)</f>
        <v>0</v>
      </c>
      <c r="P18" s="127">
        <f ca="1">_xll.DBGET(#REF!,#REF!,#REF!,#REF!,#REF!,#REF!,$C18,$B18,#REF!,#REF!,#REF!)</f>
        <v>0</v>
      </c>
      <c r="Q18" s="123">
        <f ca="1">IFERROR((_xll.DBGET(#REF!,#REF!,#REF!,#REF!,#REF!,#REF!,$C18,$B18,#REF!,#REF!,#REF!))/P18,0)</f>
        <v>0</v>
      </c>
      <c r="R18" s="127">
        <f ca="1">_xll.DBGET(#REF!,#REF!,#REF!,#REF!,#REF!,#REF!,$C18,$B18,#REF!,#REF!,#REF!)</f>
        <v>0</v>
      </c>
      <c r="S18" s="123">
        <f ca="1">IFERROR((_xll.DBGET(#REF!,#REF!,#REF!,#REF!,#REF!,#REF!,$C18,$B18,#REF!,#REF!,#REF!))/R18,0)</f>
        <v>0</v>
      </c>
      <c r="T18" s="127">
        <f ca="1">_xll.DBGET(#REF!,#REF!,#REF!,#REF!,#REF!,#REF!,$C18,$B18,#REF!,#REF!,#REF!)</f>
        <v>0</v>
      </c>
      <c r="U18" s="123">
        <f ca="1">_xll.DBGET(#REF!,#REF!,#REF!,#REF!,#REF!,#REF!,$C18,$B18,#REF!,#REF!,#REF!)</f>
        <v>0</v>
      </c>
    </row>
    <row r="19" spans="1:21" x14ac:dyDescent="0.35">
      <c r="A19" s="56"/>
      <c r="B19" s="57" t="s">
        <v>13</v>
      </c>
      <c r="C19" s="61" t="s">
        <v>9</v>
      </c>
      <c r="D19" s="127">
        <f ca="1">_xll.DBGET(#REF!,#REF!,#REF!,#REF!,#REF!,#REF!,$C19,$B19,#REF!,#REF!,#REF!)</f>
        <v>14050</v>
      </c>
      <c r="E19" s="123">
        <f ca="1">_xll.DBGET(#REF!,#REF!,#REF!,#REF!,#REF!,#REF!,$C19,$B19,#REF!,#REF!,#REF!)</f>
        <v>129.55121577936001</v>
      </c>
      <c r="F19" s="127">
        <f ca="1">_xll.DBGET(#REF!,#REF!,#REF!,#REF!,#REF!,#REF!,$C19,$B19,#REF!,#REF!,#REF!)</f>
        <v>0</v>
      </c>
      <c r="G19" s="123">
        <f ca="1">_xll.DBGET(#REF!,#REF!,#REF!,#REF!,#REF!,#REF!,$C19,$B19,#REF!,#REF!,#REF!)</f>
        <v>0</v>
      </c>
      <c r="H19" s="127">
        <f ca="1">_xll.DBGET(#REF!,#REF!,#REF!,#REF!,#REF!,#REF!,$C19,$B19,#REF!,#REF!,#REF!)</f>
        <v>0</v>
      </c>
      <c r="I19" s="123">
        <f ca="1">_xll.DBGET(#REF!,#REF!,#REF!,#REF!,#REF!,#REF!,$C19,$B19,#REF!,#REF!,#REF!)</f>
        <v>0</v>
      </c>
      <c r="J19" s="127">
        <f ca="1">_xll.DBGET(#REF!,#REF!,#REF!,#REF!,#REF!,#REF!,$C19,$B19,#REF!,#REF!,#REF!)</f>
        <v>0</v>
      </c>
      <c r="K19" s="123">
        <f ca="1">_xll.DBGET(#REF!,#REF!,#REF!,#REF!,#REF!,#REF!,$C19,$B19,#REF!,#REF!,#REF!)</f>
        <v>0</v>
      </c>
      <c r="L19" s="127">
        <f ca="1">_xll.DBGET(#REF!,#REF!,#REF!,#REF!,#REF!,#REF!,$C19,$B19,#REF!,#REF!,#REF!)</f>
        <v>0</v>
      </c>
      <c r="M19" s="123">
        <f ca="1">_xll.DBGET(#REF!,#REF!,#REF!,#REF!,#REF!,#REF!,$C19,$B19,#REF!,#REF!,#REF!)</f>
        <v>0</v>
      </c>
      <c r="N19" s="127">
        <f ca="1">_xll.DBGET(#REF!,#REF!,#REF!,#REF!,#REF!,#REF!,$C19,$B19,#REF!,#REF!,#REF!)</f>
        <v>0</v>
      </c>
      <c r="O19" s="123">
        <f ca="1">IFERROR((_xll.DBGET(#REF!,#REF!,#REF!,#REF!,#REF!,#REF!,$C19,$B19,#REF!,#REF!,#REF!))/N19,0)</f>
        <v>0</v>
      </c>
      <c r="P19" s="127">
        <f ca="1">_xll.DBGET(#REF!,#REF!,#REF!,#REF!,#REF!,#REF!,$C19,$B19,#REF!,#REF!,#REF!)</f>
        <v>0</v>
      </c>
      <c r="Q19" s="123">
        <f ca="1">IFERROR((_xll.DBGET(#REF!,#REF!,#REF!,#REF!,#REF!,#REF!,$C19,$B19,#REF!,#REF!,#REF!))/P19,0)</f>
        <v>0</v>
      </c>
      <c r="R19" s="127">
        <f ca="1">_xll.DBGET(#REF!,#REF!,#REF!,#REF!,#REF!,#REF!,$C19,$B19,#REF!,#REF!,#REF!)</f>
        <v>0</v>
      </c>
      <c r="S19" s="123">
        <f ca="1">IFERROR((_xll.DBGET(#REF!,#REF!,#REF!,#REF!,#REF!,#REF!,$C19,$B19,#REF!,#REF!,#REF!))/R19,0)</f>
        <v>0</v>
      </c>
      <c r="T19" s="127">
        <f ca="1">_xll.DBGET(#REF!,#REF!,#REF!,#REF!,#REF!,#REF!,$C19,$B19,#REF!,#REF!,#REF!)</f>
        <v>0</v>
      </c>
      <c r="U19" s="123">
        <f ca="1">_xll.DBGET(#REF!,#REF!,#REF!,#REF!,#REF!,#REF!,$C19,$B19,#REF!,#REF!,#REF!)</f>
        <v>0</v>
      </c>
    </row>
    <row r="20" spans="1:21" ht="7.5" customHeight="1" x14ac:dyDescent="0.35"/>
    <row r="21" spans="1:21" ht="18.5" x14ac:dyDescent="0.65">
      <c r="A21" s="173" t="s">
        <v>66</v>
      </c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</row>
    <row r="22" spans="1:21" x14ac:dyDescent="0.35">
      <c r="A22" s="9" t="s">
        <v>64</v>
      </c>
      <c r="B22" s="21" t="s">
        <v>65</v>
      </c>
      <c r="C22" s="2" t="s">
        <v>7</v>
      </c>
      <c r="D22" s="68">
        <f t="shared" ref="D22:U22" ca="1" si="0">SUM(D23,D26,D29,D32,D35)</f>
        <v>0.99999999481401669</v>
      </c>
      <c r="E22" s="23">
        <f t="shared" ca="1" si="0"/>
        <v>0.99995384631398054</v>
      </c>
      <c r="F22" s="68">
        <f t="shared" ca="1" si="0"/>
        <v>1</v>
      </c>
      <c r="G22" s="23">
        <f t="shared" ca="1" si="0"/>
        <v>0.99999999999996481</v>
      </c>
      <c r="H22" s="68">
        <f t="shared" ca="1" si="0"/>
        <v>1</v>
      </c>
      <c r="I22" s="23">
        <f t="shared" ca="1" si="0"/>
        <v>1.0000000000000075</v>
      </c>
      <c r="J22" s="68">
        <f t="shared" ca="1" si="0"/>
        <v>0.99999999999999989</v>
      </c>
      <c r="K22" s="23">
        <f t="shared" ca="1" si="0"/>
        <v>1.00000000000003</v>
      </c>
      <c r="L22" s="68" t="e">
        <f t="shared" ca="1" si="0"/>
        <v>#DIV/0!</v>
      </c>
      <c r="M22" s="23" t="e">
        <f t="shared" ca="1" si="0"/>
        <v>#DIV/0!</v>
      </c>
      <c r="N22" s="68" t="e">
        <f t="shared" ca="1" si="0"/>
        <v>#DIV/0!</v>
      </c>
      <c r="O22" s="23" t="e">
        <f t="shared" ca="1" si="0"/>
        <v>#DIV/0!</v>
      </c>
      <c r="P22" s="68" t="e">
        <f t="shared" ca="1" si="0"/>
        <v>#DIV/0!</v>
      </c>
      <c r="Q22" s="23" t="e">
        <f t="shared" ca="1" si="0"/>
        <v>#DIV/0!</v>
      </c>
      <c r="R22" s="68" t="e">
        <f t="shared" ca="1" si="0"/>
        <v>#DIV/0!</v>
      </c>
      <c r="S22" s="23" t="e">
        <f t="shared" ca="1" si="0"/>
        <v>#DIV/0!</v>
      </c>
      <c r="T22" s="68" t="e">
        <f t="shared" ca="1" si="0"/>
        <v>#DIV/0!</v>
      </c>
      <c r="U22" s="23" t="e">
        <f t="shared" ca="1" si="0"/>
        <v>#DIV/0!</v>
      </c>
    </row>
    <row r="23" spans="1:21" x14ac:dyDescent="0.35">
      <c r="A23" s="15" t="s">
        <v>1</v>
      </c>
      <c r="B23" s="16" t="s">
        <v>6</v>
      </c>
      <c r="C23" s="19" t="s">
        <v>7</v>
      </c>
      <c r="D23" s="69">
        <f t="shared" ref="D23:T37" ca="1" si="1">D5/D$4</f>
        <v>0.60187245753995144</v>
      </c>
      <c r="E23" s="24">
        <f ca="1">(D5*E5)/(D$4*E$4)</f>
        <v>0.60446031555527879</v>
      </c>
      <c r="F23" s="69">
        <f t="shared" ca="1" si="1"/>
        <v>0.64587794538656262</v>
      </c>
      <c r="G23" s="24">
        <f ca="1">(F5*G5)/(F$4*G$4)</f>
        <v>0.64406804103982263</v>
      </c>
      <c r="H23" s="69">
        <f t="shared" ca="1" si="1"/>
        <v>0.5934761113161745</v>
      </c>
      <c r="I23" s="24">
        <f ca="1">(H5*I5)/(H$4*I$4)</f>
        <v>0.58089648830277785</v>
      </c>
      <c r="J23" s="69">
        <f t="shared" ca="1" si="1"/>
        <v>0.59021881223198247</v>
      </c>
      <c r="K23" s="24">
        <f ca="1">(J5*K5)/(J$4*K$4)</f>
        <v>0.55995376801239671</v>
      </c>
      <c r="L23" s="69" t="e">
        <f t="shared" ca="1" si="1"/>
        <v>#DIV/0!</v>
      </c>
      <c r="M23" s="24" t="e">
        <f ca="1">(L5*M5)/(L$4*M$4)</f>
        <v>#DIV/0!</v>
      </c>
      <c r="N23" s="69" t="e">
        <f t="shared" ca="1" si="1"/>
        <v>#DIV/0!</v>
      </c>
      <c r="O23" s="24" t="e">
        <f ca="1">(N5*O5)/(N$4*O$4)</f>
        <v>#DIV/0!</v>
      </c>
      <c r="P23" s="69" t="e">
        <f t="shared" ca="1" si="1"/>
        <v>#DIV/0!</v>
      </c>
      <c r="Q23" s="24" t="e">
        <f ca="1">(P5*Q5)/(P$4*Q$4)</f>
        <v>#DIV/0!</v>
      </c>
      <c r="R23" s="69" t="e">
        <f t="shared" ca="1" si="1"/>
        <v>#DIV/0!</v>
      </c>
      <c r="S23" s="24" t="e">
        <f ca="1">(R5*S5)/(R$4*S$4)</f>
        <v>#DIV/0!</v>
      </c>
      <c r="T23" s="69" t="e">
        <f t="shared" ca="1" si="1"/>
        <v>#DIV/0!</v>
      </c>
      <c r="U23" s="24" t="e">
        <f ca="1">(T5*U5)/(T$4*U$4)</f>
        <v>#DIV/0!</v>
      </c>
    </row>
    <row r="24" spans="1:21" x14ac:dyDescent="0.35">
      <c r="A24" s="56"/>
      <c r="B24" s="57" t="s">
        <v>6</v>
      </c>
      <c r="C24" s="61" t="s">
        <v>8</v>
      </c>
      <c r="D24" s="70">
        <f t="shared" ca="1" si="1"/>
        <v>0.43068232096642939</v>
      </c>
      <c r="E24" s="60">
        <f t="shared" ref="E24:E37" ca="1" si="2">(D6*E6)/(D$4*E$4)</f>
        <v>0.42218868190652198</v>
      </c>
      <c r="F24" s="70">
        <f t="shared" ca="1" si="1"/>
        <v>0.46101166031520713</v>
      </c>
      <c r="G24" s="60">
        <f t="shared" ref="G24:G37" ca="1" si="3">(F6*G6)/(F$4*G$4)</f>
        <v>0.44138224403729659</v>
      </c>
      <c r="H24" s="70">
        <f t="shared" ca="1" si="1"/>
        <v>0.40749382340183049</v>
      </c>
      <c r="I24" s="60">
        <f t="shared" ref="I24:I37" ca="1" si="4">(H6*I6)/(H$4*I$4)</f>
        <v>0.38087959011338934</v>
      </c>
      <c r="J24" s="70">
        <f t="shared" ca="1" si="1"/>
        <v>0.39406292463677223</v>
      </c>
      <c r="K24" s="60">
        <f t="shared" ref="K24:K37" ca="1" si="5">(J6*K6)/(J$4*K$4)</f>
        <v>0.35932939754348869</v>
      </c>
      <c r="L24" s="70" t="e">
        <f t="shared" ca="1" si="1"/>
        <v>#DIV/0!</v>
      </c>
      <c r="M24" s="60" t="e">
        <f t="shared" ref="M24:M37" ca="1" si="6">(L6*M6)/(L$4*M$4)</f>
        <v>#DIV/0!</v>
      </c>
      <c r="N24" s="70" t="e">
        <f t="shared" ca="1" si="1"/>
        <v>#DIV/0!</v>
      </c>
      <c r="O24" s="60" t="e">
        <f t="shared" ref="O24:O37" ca="1" si="7">(N6*O6)/(N$4*O$4)</f>
        <v>#DIV/0!</v>
      </c>
      <c r="P24" s="70" t="e">
        <f t="shared" ca="1" si="1"/>
        <v>#DIV/0!</v>
      </c>
      <c r="Q24" s="60" t="e">
        <f t="shared" ref="Q24:Q37" ca="1" si="8">(P6*Q6)/(P$4*Q$4)</f>
        <v>#DIV/0!</v>
      </c>
      <c r="R24" s="70" t="e">
        <f t="shared" ca="1" si="1"/>
        <v>#DIV/0!</v>
      </c>
      <c r="S24" s="60" t="e">
        <f t="shared" ref="S24:S37" ca="1" si="9">(R6*S6)/(R$4*S$4)</f>
        <v>#DIV/0!</v>
      </c>
      <c r="T24" s="70" t="e">
        <f t="shared" ca="1" si="1"/>
        <v>#DIV/0!</v>
      </c>
      <c r="U24" s="60" t="e">
        <f t="shared" ref="U24:U37" ca="1" si="10">(T6*U6)/(T$4*U$4)</f>
        <v>#DIV/0!</v>
      </c>
    </row>
    <row r="25" spans="1:21" x14ac:dyDescent="0.35">
      <c r="A25" s="56"/>
      <c r="B25" s="57" t="s">
        <v>6</v>
      </c>
      <c r="C25" s="61" t="s">
        <v>9</v>
      </c>
      <c r="D25" s="70">
        <f t="shared" ca="1" si="1"/>
        <v>0.17119013657352211</v>
      </c>
      <c r="E25" s="60">
        <f t="shared" ca="1" si="2"/>
        <v>0.18227163364874205</v>
      </c>
      <c r="F25" s="70">
        <f t="shared" ca="1" si="1"/>
        <v>0.18486628507135544</v>
      </c>
      <c r="G25" s="60">
        <f t="shared" ca="1" si="3"/>
        <v>0.20268579700252945</v>
      </c>
      <c r="H25" s="70">
        <f t="shared" ca="1" si="1"/>
        <v>0.18598228791434399</v>
      </c>
      <c r="I25" s="60">
        <f t="shared" ca="1" si="4"/>
        <v>0.20001689818940649</v>
      </c>
      <c r="J25" s="70">
        <f t="shared" ca="1" si="1"/>
        <v>0.19615588759521027</v>
      </c>
      <c r="K25" s="60">
        <f t="shared" ca="1" si="5"/>
        <v>0.20062437046889964</v>
      </c>
      <c r="L25" s="70" t="e">
        <f t="shared" ca="1" si="1"/>
        <v>#DIV/0!</v>
      </c>
      <c r="M25" s="60" t="e">
        <f t="shared" ca="1" si="6"/>
        <v>#DIV/0!</v>
      </c>
      <c r="N25" s="70" t="e">
        <f t="shared" ca="1" si="1"/>
        <v>#DIV/0!</v>
      </c>
      <c r="O25" s="60" t="e">
        <f t="shared" ca="1" si="7"/>
        <v>#DIV/0!</v>
      </c>
      <c r="P25" s="70" t="e">
        <f t="shared" ca="1" si="1"/>
        <v>#DIV/0!</v>
      </c>
      <c r="Q25" s="60" t="e">
        <f t="shared" ca="1" si="8"/>
        <v>#DIV/0!</v>
      </c>
      <c r="R25" s="70" t="e">
        <f t="shared" ca="1" si="1"/>
        <v>#DIV/0!</v>
      </c>
      <c r="S25" s="60" t="e">
        <f t="shared" ca="1" si="9"/>
        <v>#DIV/0!</v>
      </c>
      <c r="T25" s="70" t="e">
        <f t="shared" ca="1" si="1"/>
        <v>#DIV/0!</v>
      </c>
      <c r="U25" s="60" t="e">
        <f t="shared" ca="1" si="10"/>
        <v>#DIV/0!</v>
      </c>
    </row>
    <row r="26" spans="1:21" x14ac:dyDescent="0.35">
      <c r="A26" s="15" t="s">
        <v>2</v>
      </c>
      <c r="B26" s="16" t="s">
        <v>10</v>
      </c>
      <c r="C26" s="19" t="s">
        <v>7</v>
      </c>
      <c r="D26" s="69">
        <f t="shared" ca="1" si="1"/>
        <v>0.32814018548268564</v>
      </c>
      <c r="E26" s="24">
        <f t="shared" ca="1" si="2"/>
        <v>0.31253292262851756</v>
      </c>
      <c r="F26" s="69">
        <f t="shared" ca="1" si="1"/>
        <v>0.2988478625690219</v>
      </c>
      <c r="G26" s="24">
        <f t="shared" ca="1" si="3"/>
        <v>0.28750408742297828</v>
      </c>
      <c r="H26" s="69">
        <f t="shared" ca="1" si="1"/>
        <v>0.32176686182112429</v>
      </c>
      <c r="I26" s="24">
        <f t="shared" ca="1" si="4"/>
        <v>0.32273366552647492</v>
      </c>
      <c r="J26" s="69">
        <f t="shared" ca="1" si="1"/>
        <v>0.31984948259642521</v>
      </c>
      <c r="K26" s="24">
        <f t="shared" ca="1" si="5"/>
        <v>0.33505343798706477</v>
      </c>
      <c r="L26" s="69" t="e">
        <f t="shared" ca="1" si="1"/>
        <v>#DIV/0!</v>
      </c>
      <c r="M26" s="24" t="e">
        <f t="shared" ca="1" si="6"/>
        <v>#DIV/0!</v>
      </c>
      <c r="N26" s="69" t="e">
        <f t="shared" ca="1" si="1"/>
        <v>#DIV/0!</v>
      </c>
      <c r="O26" s="24" t="e">
        <f t="shared" ca="1" si="7"/>
        <v>#DIV/0!</v>
      </c>
      <c r="P26" s="69" t="e">
        <f t="shared" ca="1" si="1"/>
        <v>#DIV/0!</v>
      </c>
      <c r="Q26" s="24" t="e">
        <f t="shared" ca="1" si="8"/>
        <v>#DIV/0!</v>
      </c>
      <c r="R26" s="69" t="e">
        <f t="shared" ca="1" si="1"/>
        <v>#DIV/0!</v>
      </c>
      <c r="S26" s="24" t="e">
        <f t="shared" ca="1" si="9"/>
        <v>#DIV/0!</v>
      </c>
      <c r="T26" s="69" t="e">
        <f t="shared" ca="1" si="1"/>
        <v>#DIV/0!</v>
      </c>
      <c r="U26" s="24" t="e">
        <f t="shared" ca="1" si="10"/>
        <v>#DIV/0!</v>
      </c>
    </row>
    <row r="27" spans="1:21" x14ac:dyDescent="0.35">
      <c r="A27" s="56"/>
      <c r="B27" s="57" t="s">
        <v>10</v>
      </c>
      <c r="C27" s="61" t="s">
        <v>8</v>
      </c>
      <c r="D27" s="70">
        <f t="shared" ca="1" si="1"/>
        <v>1.8626288570720542E-2</v>
      </c>
      <c r="E27" s="60">
        <f t="shared" ca="1" si="2"/>
        <v>1.6728977315113178E-2</v>
      </c>
      <c r="F27" s="70">
        <f t="shared" ca="1" si="1"/>
        <v>8.6556063581378854E-3</v>
      </c>
      <c r="G27" s="60">
        <f t="shared" ca="1" si="3"/>
        <v>8.4800768352835294E-3</v>
      </c>
      <c r="H27" s="70">
        <f t="shared" ca="1" si="1"/>
        <v>2.6551064817683705E-2</v>
      </c>
      <c r="I27" s="60">
        <f t="shared" ca="1" si="4"/>
        <v>2.3310501430122334E-2</v>
      </c>
      <c r="J27" s="70">
        <f t="shared" ca="1" si="1"/>
        <v>1.6110574906435679E-2</v>
      </c>
      <c r="K27" s="60">
        <f t="shared" ca="1" si="5"/>
        <v>1.5433742255441205E-2</v>
      </c>
      <c r="L27" s="70" t="e">
        <f t="shared" ca="1" si="1"/>
        <v>#DIV/0!</v>
      </c>
      <c r="M27" s="60" t="e">
        <f t="shared" ca="1" si="6"/>
        <v>#DIV/0!</v>
      </c>
      <c r="N27" s="70" t="e">
        <f t="shared" ca="1" si="1"/>
        <v>#DIV/0!</v>
      </c>
      <c r="O27" s="60" t="e">
        <f t="shared" ca="1" si="7"/>
        <v>#DIV/0!</v>
      </c>
      <c r="P27" s="70" t="e">
        <f t="shared" ca="1" si="1"/>
        <v>#DIV/0!</v>
      </c>
      <c r="Q27" s="60" t="e">
        <f t="shared" ca="1" si="8"/>
        <v>#DIV/0!</v>
      </c>
      <c r="R27" s="70" t="e">
        <f t="shared" ca="1" si="1"/>
        <v>#DIV/0!</v>
      </c>
      <c r="S27" s="60" t="e">
        <f t="shared" ca="1" si="9"/>
        <v>#DIV/0!</v>
      </c>
      <c r="T27" s="70" t="e">
        <f t="shared" ca="1" si="1"/>
        <v>#DIV/0!</v>
      </c>
      <c r="U27" s="60" t="e">
        <f t="shared" ca="1" si="10"/>
        <v>#DIV/0!</v>
      </c>
    </row>
    <row r="28" spans="1:21" x14ac:dyDescent="0.35">
      <c r="A28" s="56"/>
      <c r="B28" s="57" t="s">
        <v>10</v>
      </c>
      <c r="C28" s="61" t="s">
        <v>9</v>
      </c>
      <c r="D28" s="70">
        <f t="shared" ca="1" si="1"/>
        <v>0.30951389691196507</v>
      </c>
      <c r="E28" s="60">
        <f t="shared" ca="1" si="2"/>
        <v>0.2958039453133991</v>
      </c>
      <c r="F28" s="70">
        <f t="shared" ca="1" si="1"/>
        <v>0.29019225621088401</v>
      </c>
      <c r="G28" s="60">
        <f t="shared" ca="1" si="3"/>
        <v>0.27902401058770188</v>
      </c>
      <c r="H28" s="70">
        <f t="shared" ca="1" si="1"/>
        <v>0.29521579700344058</v>
      </c>
      <c r="I28" s="60">
        <f t="shared" ca="1" si="4"/>
        <v>0.29942316409636149</v>
      </c>
      <c r="J28" s="70">
        <f t="shared" ca="1" si="1"/>
        <v>0.30373890768998951</v>
      </c>
      <c r="K28" s="60">
        <f t="shared" ca="1" si="5"/>
        <v>0.31961969573162485</v>
      </c>
      <c r="L28" s="70" t="e">
        <f t="shared" ca="1" si="1"/>
        <v>#DIV/0!</v>
      </c>
      <c r="M28" s="60" t="e">
        <f t="shared" ca="1" si="6"/>
        <v>#DIV/0!</v>
      </c>
      <c r="N28" s="70" t="e">
        <f t="shared" ca="1" si="1"/>
        <v>#DIV/0!</v>
      </c>
      <c r="O28" s="60" t="e">
        <f t="shared" ca="1" si="7"/>
        <v>#DIV/0!</v>
      </c>
      <c r="P28" s="70" t="e">
        <f t="shared" ca="1" si="1"/>
        <v>#DIV/0!</v>
      </c>
      <c r="Q28" s="60" t="e">
        <f t="shared" ca="1" si="8"/>
        <v>#DIV/0!</v>
      </c>
      <c r="R28" s="70" t="e">
        <f t="shared" ca="1" si="1"/>
        <v>#DIV/0!</v>
      </c>
      <c r="S28" s="60" t="e">
        <f t="shared" ca="1" si="9"/>
        <v>#DIV/0!</v>
      </c>
      <c r="T28" s="70" t="e">
        <f t="shared" ca="1" si="1"/>
        <v>#DIV/0!</v>
      </c>
      <c r="U28" s="60" t="e">
        <f t="shared" ca="1" si="10"/>
        <v>#DIV/0!</v>
      </c>
    </row>
    <row r="29" spans="1:21" x14ac:dyDescent="0.35">
      <c r="A29" s="17" t="s">
        <v>3</v>
      </c>
      <c r="B29" s="18" t="s">
        <v>11</v>
      </c>
      <c r="C29" s="20" t="s">
        <v>7</v>
      </c>
      <c r="D29" s="69">
        <f t="shared" ca="1" si="1"/>
        <v>3.5977966180238824E-2</v>
      </c>
      <c r="E29" s="24">
        <f t="shared" ca="1" si="2"/>
        <v>4.4703229785928091E-2</v>
      </c>
      <c r="F29" s="69">
        <f t="shared" ca="1" si="1"/>
        <v>2.6763247658260481E-2</v>
      </c>
      <c r="G29" s="24">
        <f t="shared" ca="1" si="3"/>
        <v>2.9067686894515575E-2</v>
      </c>
      <c r="H29" s="69">
        <f t="shared" ca="1" si="1"/>
        <v>3.4995783478239784E-2</v>
      </c>
      <c r="I29" s="24">
        <f t="shared" ca="1" si="4"/>
        <v>4.0838971120548281E-2</v>
      </c>
      <c r="J29" s="69">
        <f t="shared" ca="1" si="1"/>
        <v>4.0045665633624244E-2</v>
      </c>
      <c r="K29" s="24">
        <f t="shared" ca="1" si="5"/>
        <v>5.005757929659771E-2</v>
      </c>
      <c r="L29" s="69" t="e">
        <f t="shared" ca="1" si="1"/>
        <v>#DIV/0!</v>
      </c>
      <c r="M29" s="24" t="e">
        <f t="shared" ca="1" si="6"/>
        <v>#DIV/0!</v>
      </c>
      <c r="N29" s="69" t="e">
        <f t="shared" ca="1" si="1"/>
        <v>#DIV/0!</v>
      </c>
      <c r="O29" s="24" t="e">
        <f t="shared" ca="1" si="7"/>
        <v>#DIV/0!</v>
      </c>
      <c r="P29" s="69" t="e">
        <f t="shared" ca="1" si="1"/>
        <v>#DIV/0!</v>
      </c>
      <c r="Q29" s="24" t="e">
        <f t="shared" ca="1" si="8"/>
        <v>#DIV/0!</v>
      </c>
      <c r="R29" s="69" t="e">
        <f t="shared" ca="1" si="1"/>
        <v>#DIV/0!</v>
      </c>
      <c r="S29" s="24" t="e">
        <f t="shared" ca="1" si="9"/>
        <v>#DIV/0!</v>
      </c>
      <c r="T29" s="69" t="e">
        <f t="shared" ca="1" si="1"/>
        <v>#DIV/0!</v>
      </c>
      <c r="U29" s="24" t="e">
        <f t="shared" ca="1" si="10"/>
        <v>#DIV/0!</v>
      </c>
    </row>
    <row r="30" spans="1:21" x14ac:dyDescent="0.35">
      <c r="A30" s="56"/>
      <c r="B30" s="57" t="s">
        <v>11</v>
      </c>
      <c r="C30" s="61" t="s">
        <v>8</v>
      </c>
      <c r="D30" s="70">
        <f t="shared" ca="1" si="1"/>
        <v>1.6510096249017423E-3</v>
      </c>
      <c r="E30" s="60">
        <f t="shared" ca="1" si="2"/>
        <v>1.9670395021225977E-3</v>
      </c>
      <c r="F30" s="70">
        <f t="shared" ca="1" si="1"/>
        <v>0</v>
      </c>
      <c r="G30" s="60">
        <f t="shared" ca="1" si="3"/>
        <v>0</v>
      </c>
      <c r="H30" s="70">
        <f t="shared" ca="1" si="1"/>
        <v>0</v>
      </c>
      <c r="I30" s="60">
        <f t="shared" ca="1" si="4"/>
        <v>0</v>
      </c>
      <c r="J30" s="70">
        <f t="shared" ca="1" si="1"/>
        <v>0</v>
      </c>
      <c r="K30" s="60">
        <f t="shared" ca="1" si="5"/>
        <v>0</v>
      </c>
      <c r="L30" s="70" t="e">
        <f t="shared" ca="1" si="1"/>
        <v>#DIV/0!</v>
      </c>
      <c r="M30" s="60" t="e">
        <f t="shared" ca="1" si="6"/>
        <v>#DIV/0!</v>
      </c>
      <c r="N30" s="70" t="e">
        <f t="shared" ca="1" si="1"/>
        <v>#DIV/0!</v>
      </c>
      <c r="O30" s="60" t="e">
        <f t="shared" ca="1" si="7"/>
        <v>#DIV/0!</v>
      </c>
      <c r="P30" s="70" t="e">
        <f t="shared" ca="1" si="1"/>
        <v>#DIV/0!</v>
      </c>
      <c r="Q30" s="60" t="e">
        <f t="shared" ca="1" si="8"/>
        <v>#DIV/0!</v>
      </c>
      <c r="R30" s="70" t="e">
        <f t="shared" ca="1" si="1"/>
        <v>#DIV/0!</v>
      </c>
      <c r="S30" s="60" t="e">
        <f t="shared" ca="1" si="9"/>
        <v>#DIV/0!</v>
      </c>
      <c r="T30" s="70" t="e">
        <f t="shared" ca="1" si="1"/>
        <v>#DIV/0!</v>
      </c>
      <c r="U30" s="60" t="e">
        <f t="shared" ca="1" si="10"/>
        <v>#DIV/0!</v>
      </c>
    </row>
    <row r="31" spans="1:21" x14ac:dyDescent="0.35">
      <c r="A31" s="56"/>
      <c r="B31" s="57" t="s">
        <v>11</v>
      </c>
      <c r="C31" s="61" t="s">
        <v>9</v>
      </c>
      <c r="D31" s="70">
        <f t="shared" ca="1" si="1"/>
        <v>3.4326956555337088E-2</v>
      </c>
      <c r="E31" s="60">
        <f t="shared" ca="1" si="2"/>
        <v>4.2736190283805299E-2</v>
      </c>
      <c r="F31" s="70">
        <f t="shared" ca="1" si="1"/>
        <v>2.6763247658260481E-2</v>
      </c>
      <c r="G31" s="60">
        <f t="shared" ca="1" si="3"/>
        <v>2.9067686894515575E-2</v>
      </c>
      <c r="H31" s="70">
        <f t="shared" ca="1" si="1"/>
        <v>3.4995783478239784E-2</v>
      </c>
      <c r="I31" s="60">
        <f t="shared" ca="1" si="4"/>
        <v>4.0838971120548281E-2</v>
      </c>
      <c r="J31" s="70">
        <f t="shared" ca="1" si="1"/>
        <v>4.0045665633624244E-2</v>
      </c>
      <c r="K31" s="60">
        <f t="shared" ca="1" si="5"/>
        <v>5.005757929659771E-2</v>
      </c>
      <c r="L31" s="70" t="e">
        <f t="shared" ca="1" si="1"/>
        <v>#DIV/0!</v>
      </c>
      <c r="M31" s="60" t="e">
        <f t="shared" ca="1" si="6"/>
        <v>#DIV/0!</v>
      </c>
      <c r="N31" s="70" t="e">
        <f t="shared" ca="1" si="1"/>
        <v>#DIV/0!</v>
      </c>
      <c r="O31" s="60" t="e">
        <f t="shared" ca="1" si="7"/>
        <v>#DIV/0!</v>
      </c>
      <c r="P31" s="70" t="e">
        <f t="shared" ca="1" si="1"/>
        <v>#DIV/0!</v>
      </c>
      <c r="Q31" s="60" t="e">
        <f t="shared" ca="1" si="8"/>
        <v>#DIV/0!</v>
      </c>
      <c r="R31" s="70" t="e">
        <f t="shared" ca="1" si="1"/>
        <v>#DIV/0!</v>
      </c>
      <c r="S31" s="60" t="e">
        <f t="shared" ca="1" si="9"/>
        <v>#DIV/0!</v>
      </c>
      <c r="T31" s="70" t="e">
        <f t="shared" ca="1" si="1"/>
        <v>#DIV/0!</v>
      </c>
      <c r="U31" s="60" t="e">
        <f t="shared" ca="1" si="10"/>
        <v>#DIV/0!</v>
      </c>
    </row>
    <row r="32" spans="1:21" x14ac:dyDescent="0.35">
      <c r="A32" s="15" t="s">
        <v>4</v>
      </c>
      <c r="B32" s="16" t="s">
        <v>12</v>
      </c>
      <c r="C32" s="19" t="s">
        <v>7</v>
      </c>
      <c r="D32" s="69">
        <f t="shared" ca="1" si="1"/>
        <v>3.2552124320157659E-2</v>
      </c>
      <c r="E32" s="24">
        <f t="shared" ca="1" si="2"/>
        <v>3.7077654241778536E-2</v>
      </c>
      <c r="F32" s="69">
        <f t="shared" ca="1" si="1"/>
        <v>2.8510944386155094E-2</v>
      </c>
      <c r="G32" s="24">
        <f t="shared" ca="1" si="3"/>
        <v>3.9360184642648351E-2</v>
      </c>
      <c r="H32" s="69">
        <f t="shared" ca="1" si="1"/>
        <v>4.9761243384461466E-2</v>
      </c>
      <c r="I32" s="24">
        <f t="shared" ca="1" si="4"/>
        <v>5.5530875050206374E-2</v>
      </c>
      <c r="J32" s="69">
        <f t="shared" ca="1" si="1"/>
        <v>4.9886039537968045E-2</v>
      </c>
      <c r="K32" s="24">
        <f t="shared" ca="1" si="5"/>
        <v>5.493521470397076E-2</v>
      </c>
      <c r="L32" s="69" t="e">
        <f t="shared" ca="1" si="1"/>
        <v>#DIV/0!</v>
      </c>
      <c r="M32" s="24" t="e">
        <f t="shared" ca="1" si="6"/>
        <v>#DIV/0!</v>
      </c>
      <c r="N32" s="69" t="e">
        <f t="shared" ca="1" si="1"/>
        <v>#DIV/0!</v>
      </c>
      <c r="O32" s="24" t="e">
        <f t="shared" ca="1" si="7"/>
        <v>#DIV/0!</v>
      </c>
      <c r="P32" s="69" t="e">
        <f t="shared" ca="1" si="1"/>
        <v>#DIV/0!</v>
      </c>
      <c r="Q32" s="24" t="e">
        <f t="shared" ca="1" si="8"/>
        <v>#DIV/0!</v>
      </c>
      <c r="R32" s="69" t="e">
        <f t="shared" ca="1" si="1"/>
        <v>#DIV/0!</v>
      </c>
      <c r="S32" s="24" t="e">
        <f t="shared" ca="1" si="9"/>
        <v>#DIV/0!</v>
      </c>
      <c r="T32" s="69" t="e">
        <f t="shared" ca="1" si="1"/>
        <v>#DIV/0!</v>
      </c>
      <c r="U32" s="24" t="e">
        <f t="shared" ca="1" si="10"/>
        <v>#DIV/0!</v>
      </c>
    </row>
    <row r="33" spans="1:21" x14ac:dyDescent="0.35">
      <c r="A33" s="56"/>
      <c r="B33" s="57" t="s">
        <v>12</v>
      </c>
      <c r="C33" s="61" t="s">
        <v>8</v>
      </c>
      <c r="D33" s="70">
        <f t="shared" ca="1" si="1"/>
        <v>6.7287095367430348E-3</v>
      </c>
      <c r="E33" s="60">
        <f t="shared" ca="1" si="2"/>
        <v>6.2683711450111151E-3</v>
      </c>
      <c r="F33" s="70">
        <f t="shared" ca="1" si="1"/>
        <v>0</v>
      </c>
      <c r="G33" s="60">
        <f t="shared" ca="1" si="3"/>
        <v>0</v>
      </c>
      <c r="H33" s="70">
        <f t="shared" ca="1" si="1"/>
        <v>3.3146620900117378E-2</v>
      </c>
      <c r="I33" s="60">
        <f t="shared" ca="1" si="4"/>
        <v>3.2235803797245464E-2</v>
      </c>
      <c r="J33" s="70">
        <f t="shared" ca="1" si="1"/>
        <v>2.816635648244303E-2</v>
      </c>
      <c r="K33" s="60">
        <f t="shared" ca="1" si="5"/>
        <v>2.8346929290612482E-2</v>
      </c>
      <c r="L33" s="70" t="e">
        <f t="shared" ca="1" si="1"/>
        <v>#DIV/0!</v>
      </c>
      <c r="M33" s="60" t="e">
        <f t="shared" ca="1" si="6"/>
        <v>#DIV/0!</v>
      </c>
      <c r="N33" s="70" t="e">
        <f t="shared" ca="1" si="1"/>
        <v>#DIV/0!</v>
      </c>
      <c r="O33" s="60" t="e">
        <f t="shared" ca="1" si="7"/>
        <v>#DIV/0!</v>
      </c>
      <c r="P33" s="70" t="e">
        <f t="shared" ca="1" si="1"/>
        <v>#DIV/0!</v>
      </c>
      <c r="Q33" s="60" t="e">
        <f t="shared" ca="1" si="8"/>
        <v>#DIV/0!</v>
      </c>
      <c r="R33" s="70" t="e">
        <f t="shared" ca="1" si="1"/>
        <v>#DIV/0!</v>
      </c>
      <c r="S33" s="60" t="e">
        <f t="shared" ca="1" si="9"/>
        <v>#DIV/0!</v>
      </c>
      <c r="T33" s="70" t="e">
        <f t="shared" ca="1" si="1"/>
        <v>#DIV/0!</v>
      </c>
      <c r="U33" s="60" t="e">
        <f t="shared" ca="1" si="10"/>
        <v>#DIV/0!</v>
      </c>
    </row>
    <row r="34" spans="1:21" x14ac:dyDescent="0.35">
      <c r="A34" s="56"/>
      <c r="B34" s="57" t="s">
        <v>12</v>
      </c>
      <c r="C34" s="61" t="s">
        <v>9</v>
      </c>
      <c r="D34" s="70">
        <f t="shared" ca="1" si="1"/>
        <v>2.5823414783414621E-2</v>
      </c>
      <c r="E34" s="60">
        <f t="shared" ca="1" si="2"/>
        <v>3.0809283096768957E-2</v>
      </c>
      <c r="F34" s="70">
        <f t="shared" ca="1" si="1"/>
        <v>2.8510944386155094E-2</v>
      </c>
      <c r="G34" s="60">
        <f t="shared" ca="1" si="3"/>
        <v>3.9360184642648351E-2</v>
      </c>
      <c r="H34" s="70">
        <f t="shared" ca="1" si="1"/>
        <v>1.6614622484344085E-2</v>
      </c>
      <c r="I34" s="60">
        <f t="shared" ca="1" si="4"/>
        <v>2.329507125296008E-2</v>
      </c>
      <c r="J34" s="70">
        <f t="shared" ca="1" si="1"/>
        <v>2.1719683055525012E-2</v>
      </c>
      <c r="K34" s="60">
        <f t="shared" ca="1" si="5"/>
        <v>2.6588285413358101E-2</v>
      </c>
      <c r="L34" s="70" t="e">
        <f t="shared" ca="1" si="1"/>
        <v>#DIV/0!</v>
      </c>
      <c r="M34" s="60" t="e">
        <f t="shared" ca="1" si="6"/>
        <v>#DIV/0!</v>
      </c>
      <c r="N34" s="70" t="e">
        <f t="shared" ca="1" si="1"/>
        <v>#DIV/0!</v>
      </c>
      <c r="O34" s="60" t="e">
        <f t="shared" ca="1" si="7"/>
        <v>#DIV/0!</v>
      </c>
      <c r="P34" s="70" t="e">
        <f t="shared" ca="1" si="1"/>
        <v>#DIV/0!</v>
      </c>
      <c r="Q34" s="60" t="e">
        <f t="shared" ca="1" si="8"/>
        <v>#DIV/0!</v>
      </c>
      <c r="R34" s="70" t="e">
        <f t="shared" ca="1" si="1"/>
        <v>#DIV/0!</v>
      </c>
      <c r="S34" s="60" t="e">
        <f t="shared" ca="1" si="9"/>
        <v>#DIV/0!</v>
      </c>
      <c r="T34" s="70" t="e">
        <f t="shared" ca="1" si="1"/>
        <v>#DIV/0!</v>
      </c>
      <c r="U34" s="60" t="e">
        <f t="shared" ca="1" si="10"/>
        <v>#DIV/0!</v>
      </c>
    </row>
    <row r="35" spans="1:21" x14ac:dyDescent="0.35">
      <c r="A35" s="15" t="s">
        <v>5</v>
      </c>
      <c r="B35" s="16" t="s">
        <v>13</v>
      </c>
      <c r="C35" s="19" t="s">
        <v>7</v>
      </c>
      <c r="D35" s="69">
        <f t="shared" ca="1" si="1"/>
        <v>1.4572612909831309E-3</v>
      </c>
      <c r="E35" s="24">
        <f t="shared" ca="1" si="2"/>
        <v>1.1797241024775109E-3</v>
      </c>
      <c r="F35" s="69">
        <f t="shared" ca="1" si="1"/>
        <v>0</v>
      </c>
      <c r="G35" s="24">
        <f t="shared" ca="1" si="3"/>
        <v>0</v>
      </c>
      <c r="H35" s="69">
        <f t="shared" ca="1" si="1"/>
        <v>0</v>
      </c>
      <c r="I35" s="24">
        <f t="shared" ca="1" si="4"/>
        <v>0</v>
      </c>
      <c r="J35" s="69">
        <f t="shared" ca="1" si="1"/>
        <v>0</v>
      </c>
      <c r="K35" s="24">
        <f t="shared" ca="1" si="5"/>
        <v>0</v>
      </c>
      <c r="L35" s="69" t="e">
        <f t="shared" ca="1" si="1"/>
        <v>#DIV/0!</v>
      </c>
      <c r="M35" s="24" t="e">
        <f t="shared" ca="1" si="6"/>
        <v>#DIV/0!</v>
      </c>
      <c r="N35" s="69" t="e">
        <f t="shared" ca="1" si="1"/>
        <v>#DIV/0!</v>
      </c>
      <c r="O35" s="24" t="e">
        <f t="shared" ca="1" si="7"/>
        <v>#DIV/0!</v>
      </c>
      <c r="P35" s="69" t="e">
        <f t="shared" ca="1" si="1"/>
        <v>#DIV/0!</v>
      </c>
      <c r="Q35" s="24" t="e">
        <f t="shared" ca="1" si="8"/>
        <v>#DIV/0!</v>
      </c>
      <c r="R35" s="69" t="e">
        <f t="shared" ca="1" si="1"/>
        <v>#DIV/0!</v>
      </c>
      <c r="S35" s="24" t="e">
        <f t="shared" ca="1" si="9"/>
        <v>#DIV/0!</v>
      </c>
      <c r="T35" s="69" t="e">
        <f t="shared" ca="1" si="1"/>
        <v>#DIV/0!</v>
      </c>
      <c r="U35" s="24" t="e">
        <f t="shared" ca="1" si="10"/>
        <v>#DIV/0!</v>
      </c>
    </row>
    <row r="36" spans="1:21" x14ac:dyDescent="0.35">
      <c r="A36" s="56"/>
      <c r="B36" s="57" t="s">
        <v>13</v>
      </c>
      <c r="C36" s="61" t="s">
        <v>8</v>
      </c>
      <c r="D36" s="70">
        <f t="shared" ca="1" si="1"/>
        <v>0</v>
      </c>
      <c r="E36" s="60">
        <f t="shared" ca="1" si="2"/>
        <v>0</v>
      </c>
      <c r="F36" s="70">
        <f t="shared" ca="1" si="1"/>
        <v>0</v>
      </c>
      <c r="G36" s="60">
        <f t="shared" ca="1" si="3"/>
        <v>0</v>
      </c>
      <c r="H36" s="70">
        <f t="shared" ca="1" si="1"/>
        <v>0</v>
      </c>
      <c r="I36" s="60">
        <f t="shared" ca="1" si="4"/>
        <v>0</v>
      </c>
      <c r="J36" s="70">
        <f t="shared" ca="1" si="1"/>
        <v>0</v>
      </c>
      <c r="K36" s="60">
        <f t="shared" ca="1" si="5"/>
        <v>0</v>
      </c>
      <c r="L36" s="70" t="e">
        <f t="shared" ca="1" si="1"/>
        <v>#DIV/0!</v>
      </c>
      <c r="M36" s="60" t="e">
        <f t="shared" ca="1" si="6"/>
        <v>#DIV/0!</v>
      </c>
      <c r="N36" s="70" t="e">
        <f t="shared" ca="1" si="1"/>
        <v>#DIV/0!</v>
      </c>
      <c r="O36" s="60" t="e">
        <f t="shared" ca="1" si="7"/>
        <v>#DIV/0!</v>
      </c>
      <c r="P36" s="70" t="e">
        <f t="shared" ca="1" si="1"/>
        <v>#DIV/0!</v>
      </c>
      <c r="Q36" s="60" t="e">
        <f t="shared" ca="1" si="8"/>
        <v>#DIV/0!</v>
      </c>
      <c r="R36" s="70" t="e">
        <f t="shared" ca="1" si="1"/>
        <v>#DIV/0!</v>
      </c>
      <c r="S36" s="60" t="e">
        <f t="shared" ca="1" si="9"/>
        <v>#DIV/0!</v>
      </c>
      <c r="T36" s="70" t="e">
        <f t="shared" ca="1" si="1"/>
        <v>#DIV/0!</v>
      </c>
      <c r="U36" s="60" t="e">
        <f t="shared" ca="1" si="10"/>
        <v>#DIV/0!</v>
      </c>
    </row>
    <row r="37" spans="1:21" x14ac:dyDescent="0.35">
      <c r="A37" s="56"/>
      <c r="B37" s="57" t="s">
        <v>13</v>
      </c>
      <c r="C37" s="61" t="s">
        <v>9</v>
      </c>
      <c r="D37" s="70">
        <f t="shared" ca="1" si="1"/>
        <v>1.4572612909831309E-3</v>
      </c>
      <c r="E37" s="60">
        <f t="shared" ca="1" si="2"/>
        <v>1.1797725392780306E-3</v>
      </c>
      <c r="F37" s="70">
        <f t="shared" ca="1" si="1"/>
        <v>0</v>
      </c>
      <c r="G37" s="60">
        <f t="shared" ca="1" si="3"/>
        <v>0</v>
      </c>
      <c r="H37" s="70">
        <f t="shared" ca="1" si="1"/>
        <v>0</v>
      </c>
      <c r="I37" s="60">
        <f t="shared" ca="1" si="4"/>
        <v>0</v>
      </c>
      <c r="J37" s="70">
        <f t="shared" ca="1" si="1"/>
        <v>0</v>
      </c>
      <c r="K37" s="60">
        <f t="shared" ca="1" si="5"/>
        <v>0</v>
      </c>
      <c r="L37" s="70" t="e">
        <f t="shared" ca="1" si="1"/>
        <v>#DIV/0!</v>
      </c>
      <c r="M37" s="60" t="e">
        <f t="shared" ca="1" si="6"/>
        <v>#DIV/0!</v>
      </c>
      <c r="N37" s="70" t="e">
        <f t="shared" ca="1" si="1"/>
        <v>#DIV/0!</v>
      </c>
      <c r="O37" s="60" t="e">
        <f t="shared" ca="1" si="7"/>
        <v>#DIV/0!</v>
      </c>
      <c r="P37" s="70" t="e">
        <f t="shared" ca="1" si="1"/>
        <v>#DIV/0!</v>
      </c>
      <c r="Q37" s="60" t="e">
        <f t="shared" ca="1" si="8"/>
        <v>#DIV/0!</v>
      </c>
      <c r="R37" s="70" t="e">
        <f t="shared" ca="1" si="1"/>
        <v>#DIV/0!</v>
      </c>
      <c r="S37" s="60" t="e">
        <f t="shared" ca="1" si="9"/>
        <v>#DIV/0!</v>
      </c>
      <c r="T37" s="70" t="e">
        <f t="shared" ca="1" si="1"/>
        <v>#DIV/0!</v>
      </c>
      <c r="U37" s="60" t="e">
        <f t="shared" ca="1" si="10"/>
        <v>#DIV/0!</v>
      </c>
    </row>
    <row r="39" spans="1:21" ht="37.5" customHeight="1" x14ac:dyDescent="0.5">
      <c r="A39" s="106"/>
      <c r="B39" s="106"/>
      <c r="C39" s="106"/>
      <c r="D39" s="171" t="str">
        <f ca="1">CONCATENATE(#REF!,"
 Forecast")</f>
        <v>Jan-21
 Forecast</v>
      </c>
      <c r="E39" s="171"/>
    </row>
    <row r="40" spans="1:21" ht="16" x14ac:dyDescent="0.5">
      <c r="A40" s="107"/>
      <c r="B40" s="107"/>
      <c r="C40" s="107"/>
      <c r="D40" s="109" t="s">
        <v>0</v>
      </c>
      <c r="E40" s="108" t="s">
        <v>61</v>
      </c>
    </row>
    <row r="41" spans="1:21" x14ac:dyDescent="0.35">
      <c r="A41" s="9" t="s">
        <v>64</v>
      </c>
      <c r="B41" s="21" t="s">
        <v>65</v>
      </c>
      <c r="C41" s="2" t="s">
        <v>7</v>
      </c>
      <c r="D41" s="46">
        <f ca="1">_xll.DBGET(#REF!,#REF!,#REF!,#REF!,#REF!,#REF!,$C41,$B41,#REF!,#REF!,#REF!)</f>
        <v>775636</v>
      </c>
      <c r="E41" s="5">
        <f ca="1">_xll.DBGET(#REF!,#REF!,#REF!,#REF!,#REF!,#REF!,$C41,$B41,#REF!,#REF!,#REF!)</f>
        <v>148.15077426902999</v>
      </c>
    </row>
    <row r="42" spans="1:21" x14ac:dyDescent="0.35">
      <c r="A42" s="15" t="s">
        <v>1</v>
      </c>
      <c r="B42" s="16" t="s">
        <v>6</v>
      </c>
      <c r="C42" s="19" t="s">
        <v>7</v>
      </c>
      <c r="D42" s="47">
        <f ca="1">_xll.DBGET(#REF!,#REF!,#REF!,#REF!,#REF!,#REF!,$C42,$B42,#REF!,#REF!,#REF!)</f>
        <v>412736</v>
      </c>
      <c r="E42" s="7">
        <f ca="1">_xll.DBGET(#REF!,#REF!,#REF!,#REF!,#REF!,#REF!,$C42,$B42,#REF!,#REF!,#REF!)</f>
        <v>140.84244559525001</v>
      </c>
    </row>
    <row r="43" spans="1:21" x14ac:dyDescent="0.35">
      <c r="A43" s="56"/>
      <c r="B43" s="57" t="s">
        <v>6</v>
      </c>
      <c r="C43" s="61" t="s">
        <v>8</v>
      </c>
      <c r="D43" s="65">
        <f ca="1">_xll.DBGET(#REF!,#REF!,#REF!,#REF!,#REF!,#REF!,$C43,$B43,#REF!,#REF!,#REF!)</f>
        <v>296650</v>
      </c>
      <c r="E43" s="63">
        <f ca="1">_xll.DBGET(#REF!,#REF!,#REF!,#REF!,#REF!,#REF!,$C43,$B43,#REF!,#REF!,#REF!)</f>
        <v>132.44883733244001</v>
      </c>
    </row>
    <row r="44" spans="1:21" x14ac:dyDescent="0.35">
      <c r="A44" s="58"/>
      <c r="B44" s="59" t="s">
        <v>6</v>
      </c>
      <c r="C44" s="62" t="s">
        <v>9</v>
      </c>
      <c r="D44" s="66">
        <f ca="1">_xll.DBGET(#REF!,#REF!,#REF!,#REF!,#REF!,#REF!,$C44,$B44,#REF!,#REF!,#REF!)</f>
        <v>116086</v>
      </c>
      <c r="E44" s="64">
        <f ca="1">_xll.DBGET(#REF!,#REF!,#REF!,#REF!,#REF!,#REF!,$C44,$B44,#REF!,#REF!,#REF!)</f>
        <v>162.29174948342001</v>
      </c>
    </row>
    <row r="45" spans="1:21" x14ac:dyDescent="0.35">
      <c r="A45" s="15" t="s">
        <v>2</v>
      </c>
      <c r="B45" s="16" t="s">
        <v>10</v>
      </c>
      <c r="C45" s="19" t="s">
        <v>7</v>
      </c>
      <c r="D45" s="67">
        <f ca="1">_xll.DBGET(#REF!,#REF!,#REF!,#REF!,#REF!,#REF!,$C45,$B45,#REF!,#REF!,#REF!)</f>
        <v>295900</v>
      </c>
      <c r="E45" s="7">
        <f ca="1">_xll.DBGET(#REF!,#REF!,#REF!,#REF!,#REF!,#REF!,$C45,$B45,#REF!,#REF!,#REF!)</f>
        <v>155.89280904933</v>
      </c>
    </row>
    <row r="46" spans="1:21" x14ac:dyDescent="0.35">
      <c r="A46" s="56"/>
      <c r="B46" s="57" t="s">
        <v>10</v>
      </c>
      <c r="C46" s="61" t="s">
        <v>8</v>
      </c>
      <c r="D46" s="65">
        <f ca="1">_xll.DBGET(#REF!,#REF!,#REF!,#REF!,#REF!,#REF!,$C46,$B46,#REF!,#REF!,#REF!)</f>
        <v>10000</v>
      </c>
      <c r="E46" s="63">
        <f ca="1">_xll.DBGET(#REF!,#REF!,#REF!,#REF!,#REF!,#REF!,$C46,$B46,#REF!,#REF!,#REF!)</f>
        <v>95.348323345571004</v>
      </c>
    </row>
    <row r="47" spans="1:21" x14ac:dyDescent="0.35">
      <c r="A47" s="58"/>
      <c r="B47" s="59" t="s">
        <v>10</v>
      </c>
      <c r="C47" s="62" t="s">
        <v>9</v>
      </c>
      <c r="D47" s="66">
        <f ca="1">_xll.DBGET(#REF!,#REF!,#REF!,#REF!,#REF!,#REF!,$C47,$B47,#REF!,#REF!,#REF!)</f>
        <v>285900</v>
      </c>
      <c r="E47" s="64">
        <f ca="1">_xll.DBGET(#REF!,#REF!,#REF!,#REF!,#REF!,#REF!,$C47,$B47,#REF!,#REF!,#REF!)</f>
        <v>158.01048955663001</v>
      </c>
    </row>
    <row r="48" spans="1:21" x14ac:dyDescent="0.35">
      <c r="A48" s="17" t="s">
        <v>3</v>
      </c>
      <c r="B48" s="18" t="s">
        <v>11</v>
      </c>
      <c r="C48" s="20" t="s">
        <v>7</v>
      </c>
      <c r="D48" s="67">
        <f ca="1">_xll.DBGET(#REF!,#REF!,#REF!,#REF!,#REF!,#REF!,$C48,$B48,#REF!,#REF!,#REF!)</f>
        <v>47000</v>
      </c>
      <c r="E48" s="7">
        <f ca="1">_xll.DBGET(#REF!,#REF!,#REF!,#REF!,#REF!,#REF!,$C48,$B48,#REF!,#REF!,#REF!)</f>
        <v>151.92097828345001</v>
      </c>
    </row>
    <row r="49" spans="1:21" x14ac:dyDescent="0.35">
      <c r="A49" s="56"/>
      <c r="B49" s="57" t="s">
        <v>11</v>
      </c>
      <c r="C49" s="61" t="s">
        <v>8</v>
      </c>
      <c r="D49" s="127">
        <f ca="1">_xll.DBGET(#REF!,#REF!,#REF!,#REF!,#REF!,#REF!,$C49,$B49,#REF!,#REF!,#REF!)</f>
        <v>11000</v>
      </c>
      <c r="E49" s="123">
        <f ca="1">_xll.DBGET(#REF!,#REF!,#REF!,#REF!,#REF!,#REF!,$C49,$B49,#REF!,#REF!,#REF!)</f>
        <v>129.26746809923</v>
      </c>
    </row>
    <row r="50" spans="1:21" x14ac:dyDescent="0.35">
      <c r="A50" s="56"/>
      <c r="B50" s="57" t="s">
        <v>11</v>
      </c>
      <c r="C50" s="61" t="s">
        <v>9</v>
      </c>
      <c r="D50" s="127">
        <f ca="1">_xll.DBGET(#REF!,#REF!,#REF!,#REF!,#REF!,#REF!,$C50,$B50,#REF!,#REF!,#REF!)</f>
        <v>36000</v>
      </c>
      <c r="E50" s="123">
        <f ca="1">_xll.DBGET(#REF!,#REF!,#REF!,#REF!,#REF!,#REF!,$C50,$B50,#REF!,#REF!,#REF!)</f>
        <v>158.84288417306999</v>
      </c>
    </row>
    <row r="51" spans="1:21" x14ac:dyDescent="0.35">
      <c r="A51" s="15" t="s">
        <v>4</v>
      </c>
      <c r="B51" s="16" t="s">
        <v>12</v>
      </c>
      <c r="C51" s="19" t="s">
        <v>7</v>
      </c>
      <c r="D51" s="126">
        <f ca="1">_xll.DBGET(#REF!,#REF!,#REF!,#REF!,#REF!,#REF!,$C51,$B51,#REF!,#REF!,#REF!)</f>
        <v>20000</v>
      </c>
      <c r="E51" s="125">
        <f ca="1">_xll.DBGET(#REF!,#REF!,#REF!,#REF!,#REF!,#REF!,$C51,$B51,#REF!,#REF!,#REF!)</f>
        <v>175.56790743565</v>
      </c>
    </row>
    <row r="52" spans="1:21" x14ac:dyDescent="0.35">
      <c r="A52" s="56"/>
      <c r="B52" s="57" t="s">
        <v>12</v>
      </c>
      <c r="C52" s="61" t="s">
        <v>8</v>
      </c>
      <c r="D52" s="127">
        <f ca="1">_xll.DBGET(#REF!,#REF!,#REF!,#REF!,#REF!,#REF!,$C52,$B52,#REF!,#REF!,#REF!)</f>
        <v>0</v>
      </c>
      <c r="E52" s="123">
        <f ca="1">_xll.DBGET(#REF!,#REF!,#REF!,#REF!,#REF!,#REF!,$C52,$B52,#REF!,#REF!,#REF!)</f>
        <v>0</v>
      </c>
    </row>
    <row r="53" spans="1:21" x14ac:dyDescent="0.35">
      <c r="A53" s="56"/>
      <c r="B53" s="57" t="s">
        <v>12</v>
      </c>
      <c r="C53" s="61" t="s">
        <v>9</v>
      </c>
      <c r="D53" s="127">
        <f ca="1">_xll.DBGET(#REF!,#REF!,#REF!,#REF!,#REF!,#REF!,$C53,$B53,#REF!,#REF!,#REF!)</f>
        <v>20000</v>
      </c>
      <c r="E53" s="123">
        <f ca="1">_xll.DBGET(#REF!,#REF!,#REF!,#REF!,#REF!,#REF!,$C53,$B53,#REF!,#REF!,#REF!)</f>
        <v>175.56790743565</v>
      </c>
    </row>
    <row r="54" spans="1:21" x14ac:dyDescent="0.35">
      <c r="A54" s="15" t="s">
        <v>5</v>
      </c>
      <c r="B54" s="16" t="s">
        <v>13</v>
      </c>
      <c r="C54" s="19" t="s">
        <v>7</v>
      </c>
      <c r="D54" s="126">
        <f ca="1">_xll.DBGET(#REF!,#REF!,#REF!,#REF!,#REF!,#REF!,$C54,$B54,#REF!,#REF!,#REF!)</f>
        <v>0</v>
      </c>
      <c r="E54" s="125">
        <f ca="1">_xll.DBGET(#REF!,#REF!,#REF!,#REF!,#REF!,#REF!,$C54,$B54,#REF!,#REF!,#REF!)</f>
        <v>0</v>
      </c>
    </row>
    <row r="55" spans="1:21" x14ac:dyDescent="0.35">
      <c r="A55" s="56"/>
      <c r="B55" s="57" t="s">
        <v>13</v>
      </c>
      <c r="C55" s="61" t="s">
        <v>8</v>
      </c>
      <c r="D55" s="127">
        <f ca="1">_xll.DBGET(#REF!,#REF!,#REF!,#REF!,#REF!,#REF!,$C55,$B55,#REF!,#REF!,#REF!)</f>
        <v>0</v>
      </c>
      <c r="E55" s="123">
        <f ca="1">_xll.DBGET(#REF!,#REF!,#REF!,#REF!,#REF!,#REF!,$C55,$B55,#REF!,#REF!,#REF!)</f>
        <v>0</v>
      </c>
    </row>
    <row r="56" spans="1:21" x14ac:dyDescent="0.35">
      <c r="A56" s="56"/>
      <c r="B56" s="57" t="s">
        <v>13</v>
      </c>
      <c r="C56" s="61" t="s">
        <v>9</v>
      </c>
      <c r="D56" s="127">
        <f ca="1">_xll.DBGET(#REF!,#REF!,#REF!,#REF!,#REF!,#REF!,$C56,$B56,#REF!,#REF!,#REF!)</f>
        <v>0</v>
      </c>
      <c r="E56" s="123">
        <f ca="1">_xll.DBGET(#REF!,#REF!,#REF!,#REF!,#REF!,#REF!,$C56,$B56,#REF!,#REF!,#REF!)</f>
        <v>0</v>
      </c>
    </row>
    <row r="58" spans="1:21" ht="18.5" x14ac:dyDescent="0.65">
      <c r="A58" s="173" t="s">
        <v>66</v>
      </c>
      <c r="B58" s="173"/>
      <c r="C58" s="173"/>
      <c r="D58" s="173"/>
      <c r="E58" s="173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</row>
    <row r="59" spans="1:21" x14ac:dyDescent="0.35">
      <c r="A59" s="9" t="s">
        <v>64</v>
      </c>
      <c r="B59" s="21" t="s">
        <v>65</v>
      </c>
      <c r="C59" s="2" t="s">
        <v>7</v>
      </c>
      <c r="D59" s="68">
        <f ca="1">SUM(D60,D63,D66,D69,D72)</f>
        <v>1</v>
      </c>
      <c r="E59" s="23">
        <f ca="1">SUM(E60,E63,E66,E69,E72)</f>
        <v>0.999999999999997</v>
      </c>
    </row>
    <row r="60" spans="1:21" x14ac:dyDescent="0.35">
      <c r="A60" s="15" t="s">
        <v>1</v>
      </c>
      <c r="B60" s="16" t="s">
        <v>6</v>
      </c>
      <c r="C60" s="19" t="s">
        <v>7</v>
      </c>
      <c r="D60" s="69">
        <f t="shared" ref="D60:D74" ca="1" si="11">D42/D$41</f>
        <v>0.5321258941049668</v>
      </c>
      <c r="E60" s="24">
        <f t="shared" ref="E60:E74" ca="1" si="12">(D42*E42)/(D$41*E$41)</f>
        <v>0.50587594064278563</v>
      </c>
    </row>
    <row r="61" spans="1:21" x14ac:dyDescent="0.35">
      <c r="A61" s="56"/>
      <c r="B61" s="57" t="s">
        <v>6</v>
      </c>
      <c r="C61" s="61" t="s">
        <v>8</v>
      </c>
      <c r="D61" s="70">
        <f t="shared" ca="1" si="11"/>
        <v>0.38246032932973717</v>
      </c>
      <c r="E61" s="60">
        <f t="shared" ca="1" si="12"/>
        <v>0.34192481406487796</v>
      </c>
    </row>
    <row r="62" spans="1:21" x14ac:dyDescent="0.35">
      <c r="A62" s="56"/>
      <c r="B62" s="57" t="s">
        <v>6</v>
      </c>
      <c r="C62" s="61" t="s">
        <v>9</v>
      </c>
      <c r="D62" s="70">
        <f t="shared" ca="1" si="11"/>
        <v>0.14966556477522963</v>
      </c>
      <c r="E62" s="60">
        <f t="shared" ca="1" si="12"/>
        <v>0.16395112657790339</v>
      </c>
    </row>
    <row r="63" spans="1:21" x14ac:dyDescent="0.35">
      <c r="A63" s="15" t="s">
        <v>2</v>
      </c>
      <c r="B63" s="16" t="s">
        <v>10</v>
      </c>
      <c r="C63" s="19" t="s">
        <v>7</v>
      </c>
      <c r="D63" s="69">
        <f t="shared" ca="1" si="11"/>
        <v>0.38149338091579038</v>
      </c>
      <c r="E63" s="24">
        <f t="shared" ca="1" si="12"/>
        <v>0.40142938893246738</v>
      </c>
    </row>
    <row r="64" spans="1:21" x14ac:dyDescent="0.35">
      <c r="A64" s="56"/>
      <c r="B64" s="57" t="s">
        <v>10</v>
      </c>
      <c r="C64" s="61" t="s">
        <v>8</v>
      </c>
      <c r="D64" s="70">
        <f t="shared" ca="1" si="11"/>
        <v>1.2892645519289977E-2</v>
      </c>
      <c r="E64" s="60">
        <f t="shared" ca="1" si="12"/>
        <v>8.2975748174004896E-3</v>
      </c>
    </row>
    <row r="65" spans="1:5" x14ac:dyDescent="0.35">
      <c r="A65" s="56"/>
      <c r="B65" s="57" t="s">
        <v>10</v>
      </c>
      <c r="C65" s="61" t="s">
        <v>9</v>
      </c>
      <c r="D65" s="70">
        <f t="shared" ca="1" si="11"/>
        <v>0.3686007353965004</v>
      </c>
      <c r="E65" s="60">
        <f t="shared" ca="1" si="12"/>
        <v>0.39313181411506243</v>
      </c>
    </row>
    <row r="66" spans="1:5" x14ac:dyDescent="0.35">
      <c r="A66" s="17" t="s">
        <v>3</v>
      </c>
      <c r="B66" s="18" t="s">
        <v>11</v>
      </c>
      <c r="C66" s="20" t="s">
        <v>7</v>
      </c>
      <c r="D66" s="69">
        <f t="shared" ca="1" si="11"/>
        <v>6.0595433940662885E-2</v>
      </c>
      <c r="E66" s="24">
        <f t="shared" ca="1" si="12"/>
        <v>6.2137492356663805E-2</v>
      </c>
    </row>
    <row r="67" spans="1:5" x14ac:dyDescent="0.35">
      <c r="A67" s="56"/>
      <c r="B67" s="57" t="s">
        <v>11</v>
      </c>
      <c r="C67" s="61" t="s">
        <v>8</v>
      </c>
      <c r="D67" s="70">
        <f t="shared" ca="1" si="11"/>
        <v>1.4181910071218974E-2</v>
      </c>
      <c r="E67" s="60">
        <f t="shared" ca="1" si="12"/>
        <v>1.2374283001642597E-2</v>
      </c>
    </row>
    <row r="68" spans="1:5" x14ac:dyDescent="0.35">
      <c r="A68" s="56"/>
      <c r="B68" s="57" t="s">
        <v>11</v>
      </c>
      <c r="C68" s="61" t="s">
        <v>9</v>
      </c>
      <c r="D68" s="70">
        <f t="shared" ca="1" si="11"/>
        <v>4.6413523869443918E-2</v>
      </c>
      <c r="E68" s="60">
        <f t="shared" ca="1" si="12"/>
        <v>4.9763209355020335E-2</v>
      </c>
    </row>
    <row r="69" spans="1:5" x14ac:dyDescent="0.35">
      <c r="A69" s="15" t="s">
        <v>4</v>
      </c>
      <c r="B69" s="16" t="s">
        <v>12</v>
      </c>
      <c r="C69" s="19" t="s">
        <v>7</v>
      </c>
      <c r="D69" s="69">
        <f t="shared" ca="1" si="11"/>
        <v>2.5785291038579954E-2</v>
      </c>
      <c r="E69" s="24">
        <f t="shared" ca="1" si="12"/>
        <v>3.0557178068080178E-2</v>
      </c>
    </row>
    <row r="70" spans="1:5" x14ac:dyDescent="0.35">
      <c r="A70" s="56"/>
      <c r="B70" s="57" t="s">
        <v>12</v>
      </c>
      <c r="C70" s="61" t="s">
        <v>8</v>
      </c>
      <c r="D70" s="70">
        <f t="shared" ca="1" si="11"/>
        <v>0</v>
      </c>
      <c r="E70" s="60">
        <f t="shared" ca="1" si="12"/>
        <v>0</v>
      </c>
    </row>
    <row r="71" spans="1:5" x14ac:dyDescent="0.35">
      <c r="A71" s="56"/>
      <c r="B71" s="57" t="s">
        <v>12</v>
      </c>
      <c r="C71" s="61" t="s">
        <v>9</v>
      </c>
      <c r="D71" s="70">
        <f t="shared" ca="1" si="11"/>
        <v>2.5785291038579954E-2</v>
      </c>
      <c r="E71" s="60">
        <f t="shared" ca="1" si="12"/>
        <v>3.0557178068080178E-2</v>
      </c>
    </row>
    <row r="72" spans="1:5" x14ac:dyDescent="0.35">
      <c r="A72" s="15" t="s">
        <v>5</v>
      </c>
      <c r="B72" s="16" t="s">
        <v>13</v>
      </c>
      <c r="C72" s="19" t="s">
        <v>7</v>
      </c>
      <c r="D72" s="69">
        <f t="shared" ca="1" si="11"/>
        <v>0</v>
      </c>
      <c r="E72" s="24">
        <f t="shared" ca="1" si="12"/>
        <v>0</v>
      </c>
    </row>
    <row r="73" spans="1:5" x14ac:dyDescent="0.35">
      <c r="A73" s="56"/>
      <c r="B73" s="57" t="s">
        <v>13</v>
      </c>
      <c r="C73" s="61" t="s">
        <v>8</v>
      </c>
      <c r="D73" s="70">
        <f t="shared" ca="1" si="11"/>
        <v>0</v>
      </c>
      <c r="E73" s="60">
        <f t="shared" ca="1" si="12"/>
        <v>0</v>
      </c>
    </row>
    <row r="74" spans="1:5" x14ac:dyDescent="0.35">
      <c r="A74" s="56"/>
      <c r="B74" s="57" t="s">
        <v>13</v>
      </c>
      <c r="C74" s="61" t="s">
        <v>9</v>
      </c>
      <c r="D74" s="70">
        <f t="shared" ca="1" si="11"/>
        <v>0</v>
      </c>
      <c r="E74" s="60">
        <f t="shared" ca="1" si="12"/>
        <v>0</v>
      </c>
    </row>
  </sheetData>
  <mergeCells count="16">
    <mergeCell ref="A58:E58"/>
    <mergeCell ref="T2:U2"/>
    <mergeCell ref="Y3:Z3"/>
    <mergeCell ref="AA3:AB3"/>
    <mergeCell ref="AC3:AD3"/>
    <mergeCell ref="A21:U21"/>
    <mergeCell ref="D39:E39"/>
    <mergeCell ref="A1:U1"/>
    <mergeCell ref="D2:E2"/>
    <mergeCell ref="F2:G2"/>
    <mergeCell ref="H2:I2"/>
    <mergeCell ref="J2:K2"/>
    <mergeCell ref="L2:M2"/>
    <mergeCell ref="N2:O2"/>
    <mergeCell ref="P2:Q2"/>
    <mergeCell ref="R2:S2"/>
  </mergeCells>
  <pageMargins left="0.70866141732283472" right="0.70866141732283472" top="0.74803149606299213" bottom="0.74803149606299213" header="0.31496062992125984" footer="0.31496062992125984"/>
  <pageSetup scale="44" orientation="landscape" r:id="rId1"/>
  <customProperties>
    <customPr name="Ibp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5"/>
    <pageSetUpPr fitToPage="1"/>
  </sheetPr>
  <dimension ref="A1:AD25"/>
  <sheetViews>
    <sheetView showGridLines="0" zoomScaleNormal="100" workbookViewId="0">
      <selection activeCell="O19" sqref="O19"/>
    </sheetView>
  </sheetViews>
  <sheetFormatPr defaultColWidth="9.1796875" defaultRowHeight="14.5" outlineLevelCol="1" x14ac:dyDescent="0.35"/>
  <cols>
    <col min="1" max="1" width="12.26953125" style="90" customWidth="1"/>
    <col min="2" max="2" width="4.54296875" style="1" hidden="1" customWidth="1" outlineLevel="1"/>
    <col min="3" max="3" width="9.1796875" style="90" customWidth="1" collapsed="1"/>
    <col min="4" max="21" width="13.1796875" style="90" customWidth="1"/>
    <col min="22" max="25" width="9.1796875" style="90"/>
    <col min="26" max="26" width="16" style="90" bestFit="1" customWidth="1"/>
    <col min="27" max="27" width="9.1796875" style="90"/>
    <col min="28" max="28" width="16" style="90" bestFit="1" customWidth="1"/>
    <col min="29" max="29" width="13.81640625" style="90" customWidth="1"/>
    <col min="30" max="30" width="16" style="90" bestFit="1" customWidth="1"/>
    <col min="31" max="16384" width="9.1796875" style="90"/>
  </cols>
  <sheetData>
    <row r="1" spans="1:30" ht="26.5" x14ac:dyDescent="0.85">
      <c r="A1" s="167" t="s">
        <v>62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</row>
    <row r="2" spans="1:30" s="8" customFormat="1" ht="37.5" customHeight="1" x14ac:dyDescent="0.5">
      <c r="A2" s="106"/>
      <c r="B2" s="117"/>
      <c r="C2" s="106"/>
      <c r="D2" s="171" t="str">
        <f ca="1">CONCATENATE(#REF!," YTD","
 Actual")</f>
        <v>Sep-20 YTD
 Actual</v>
      </c>
      <c r="E2" s="171"/>
      <c r="F2" s="171" t="str">
        <f ca="1">CONCATENATE(#REF!,"
 Forecast")</f>
        <v>Oct-20
 Forecast</v>
      </c>
      <c r="G2" s="171"/>
      <c r="H2" s="171" t="str">
        <f ca="1">CONCATENATE(#REF!,"
 Forecast")</f>
        <v>Nov-20
 Forecast</v>
      </c>
      <c r="I2" s="171"/>
      <c r="J2" s="171" t="str">
        <f ca="1">CONCATENATE(#REF!,"
 Forecast")</f>
        <v>Dec-20
 Forecast</v>
      </c>
      <c r="K2" s="171"/>
      <c r="L2" s="171" t="str">
        <f ca="1">CONCATENATE("Qtr 1 ",#REF!," 
Actual")</f>
        <v>Qtr 1 2020 
Actual</v>
      </c>
      <c r="M2" s="171"/>
      <c r="N2" s="171" t="str">
        <f ca="1">CONCATENATE("Qtr 2 ",#REF!," 
Actual")</f>
        <v>Qtr 2 2020 
Actual</v>
      </c>
      <c r="O2" s="171"/>
      <c r="P2" s="171" t="str">
        <f ca="1">CONCATENATE("Qtr 3 ",#REF!," 
Actual")</f>
        <v>Qtr 3 2020 
Actual</v>
      </c>
      <c r="Q2" s="171"/>
      <c r="R2" s="171" t="str">
        <f ca="1">CONCATENATE("Qtr 4 ",#REF!," 
Forecast")</f>
        <v>Qtr 4 2020 
Forecast</v>
      </c>
      <c r="S2" s="171"/>
      <c r="T2" s="171" t="str">
        <f ca="1">CONCATENATE(#REF!," 
Forecast")</f>
        <v>2020 
Forecast</v>
      </c>
      <c r="U2" s="171"/>
    </row>
    <row r="3" spans="1:30" ht="16" x14ac:dyDescent="0.5">
      <c r="A3" s="107"/>
      <c r="B3" s="118"/>
      <c r="C3" s="107"/>
      <c r="D3" s="109" t="s">
        <v>0</v>
      </c>
      <c r="E3" s="108" t="s">
        <v>61</v>
      </c>
      <c r="F3" s="109" t="s">
        <v>0</v>
      </c>
      <c r="G3" s="108" t="s">
        <v>61</v>
      </c>
      <c r="H3" s="109" t="s">
        <v>0</v>
      </c>
      <c r="I3" s="108" t="s">
        <v>61</v>
      </c>
      <c r="J3" s="109" t="s">
        <v>0</v>
      </c>
      <c r="K3" s="108" t="s">
        <v>61</v>
      </c>
      <c r="L3" s="109" t="s">
        <v>0</v>
      </c>
      <c r="M3" s="108" t="s">
        <v>61</v>
      </c>
      <c r="N3" s="109" t="s">
        <v>0</v>
      </c>
      <c r="O3" s="108" t="s">
        <v>61</v>
      </c>
      <c r="P3" s="109" t="s">
        <v>0</v>
      </c>
      <c r="Q3" s="108" t="s">
        <v>61</v>
      </c>
      <c r="R3" s="109" t="s">
        <v>0</v>
      </c>
      <c r="S3" s="108" t="s">
        <v>61</v>
      </c>
      <c r="T3" s="109" t="s">
        <v>0</v>
      </c>
      <c r="U3" s="108" t="s">
        <v>61</v>
      </c>
      <c r="Y3" s="172"/>
      <c r="Z3" s="172"/>
      <c r="AA3" s="172"/>
      <c r="AB3" s="172"/>
      <c r="AC3" s="172"/>
      <c r="AD3" s="172"/>
    </row>
    <row r="4" spans="1:30" x14ac:dyDescent="0.35">
      <c r="A4" s="9" t="s">
        <v>17</v>
      </c>
      <c r="B4" s="3" t="s">
        <v>14</v>
      </c>
      <c r="C4" s="2" t="s">
        <v>7</v>
      </c>
      <c r="D4" s="46">
        <f ca="1">_xll.DBGET(#REF!,#REF!,#REF!,#REF!,#REF!,#REF!,$C4,$B4,#REF!,#REF!,#REF!)</f>
        <v>2457852</v>
      </c>
      <c r="E4" s="5">
        <f ca="1">_xll.DBGET(#REF!,#REF!,#REF!,#REF!,#REF!,#REF!,$C4,$B4,#REF!,#REF!,#REF!)</f>
        <v>150.79223883456001</v>
      </c>
      <c r="F4" s="46">
        <f ca="1">_xll.DBGET(#REF!,#REF!,#REF!,#REF!,#REF!,#REF!,$C4,$B4,#REF!,#REF!,#REF!)</f>
        <v>279900</v>
      </c>
      <c r="G4" s="5">
        <f ca="1">_xll.DBGET(#REF!,#REF!,#REF!,#REF!,#REF!,#REF!,$C4,$B4,#REF!,#REF!,#REF!)</f>
        <v>143.15932838725001</v>
      </c>
      <c r="H4" s="46">
        <f ca="1">_xll.DBGET(#REF!,#REF!,#REF!,#REF!,#REF!,#REF!,$C4,$B4,#REF!,#REF!,#REF!)</f>
        <v>288820</v>
      </c>
      <c r="I4" s="5">
        <f ca="1">_xll.DBGET(#REF!,#REF!,#REF!,#REF!,#REF!,#REF!,$C4,$B4,#REF!,#REF!,#REF!)</f>
        <v>151.89977486145</v>
      </c>
      <c r="J4" s="46">
        <f ca="1">_xll.DBGET(#REF!,#REF!,#REF!,#REF!,#REF!,#REF!,$C4,$B4,#REF!,#REF!,#REF!)</f>
        <v>167951</v>
      </c>
      <c r="K4" s="5">
        <f ca="1">_xll.DBGET(#REF!,#REF!,#REF!,#REF!,#REF!,#REF!,$C4,$B4,#REF!,#REF!,#REF!)</f>
        <v>158.22334284346999</v>
      </c>
      <c r="L4" s="46">
        <f ca="1">_xll.DBGET(#REF!,#REF!,#REF!,#REF!,#REF!,#REF!,$C4,$B4,#REF!,#REF!,#REF!)</f>
        <v>0</v>
      </c>
      <c r="M4" s="5">
        <f ca="1">_xll.DBGET(#REF!,#REF!,#REF!,#REF!,#REF!,#REF!,$C4,$B4,#REF!,#REF!,#REF!)</f>
        <v>0</v>
      </c>
      <c r="N4" s="46">
        <f ca="1">_xll.DBGET(#REF!,#REF!,#REF!,#REF!,#REF!,#REF!,$C4,$B4,#REF!,#REF!,#REF!)</f>
        <v>0</v>
      </c>
      <c r="O4" s="5">
        <f ca="1">IFERROR((_xll.DBGET(#REF!,#REF!,#REF!,#REF!,#REF!,#REF!,$C4,$B4,#REF!,#REF!,#REF!))/N4,0)</f>
        <v>0</v>
      </c>
      <c r="P4" s="46">
        <f ca="1">_xll.DBGET(#REF!,#REF!,#REF!,#REF!,#REF!,#REF!,$C4,$B4,#REF!,#REF!,#REF!)</f>
        <v>0</v>
      </c>
      <c r="Q4" s="5">
        <f ca="1">IFERROR((_xll.DBGET(#REF!,#REF!,#REF!,#REF!,#REF!,#REF!,$C4,$B4,#REF!,#REF!,#REF!))/P4,0)</f>
        <v>0</v>
      </c>
      <c r="R4" s="46">
        <f ca="1">_xll.DBGET(#REF!,#REF!,#REF!,#REF!,#REF!,#REF!,$C4,$B4,#REF!,#REF!,#REF!)</f>
        <v>0</v>
      </c>
      <c r="S4" s="5">
        <f ca="1">IFERROR((_xll.DBGET(#REF!,#REF!,#REF!,#REF!,#REF!,#REF!,$C4,$B4,#REF!,#REF!,#REF!))/R4,0)</f>
        <v>0</v>
      </c>
      <c r="T4" s="46">
        <f ca="1">_xll.DBGET(#REF!,#REF!,#REF!,#REF!,#REF!,#REF!,$C4,$B4,#REF!,#REF!,#REF!)</f>
        <v>0</v>
      </c>
      <c r="U4" s="5">
        <f ca="1">_xll.DBGET(#REF!,#REF!,#REF!,#REF!,#REF!,#REF!,$C4,$B4,#REF!,#REF!,#REF!)</f>
        <v>0</v>
      </c>
    </row>
    <row r="5" spans="1:30" x14ac:dyDescent="0.35">
      <c r="A5" s="71"/>
      <c r="B5" s="72" t="s">
        <v>14</v>
      </c>
      <c r="C5" s="73" t="s">
        <v>8</v>
      </c>
      <c r="D5" s="122">
        <f ca="1">_xll.DBGET(#REF!,#REF!,#REF!,#REF!,#REF!,#REF!,$C5,$B5,#REF!,#REF!,#REF!)</f>
        <v>65644</v>
      </c>
      <c r="E5" s="128">
        <f ca="1">_xll.DBGET(#REF!,#REF!,#REF!,#REF!,#REF!,#REF!,$C5,$B5,#REF!,#REF!,#REF!)</f>
        <v>147.37454525622999</v>
      </c>
      <c r="F5" s="122">
        <f ca="1">_xll.DBGET(#REF!,#REF!,#REF!,#REF!,#REF!,#REF!,$C5,$B5,#REF!,#REF!,#REF!)</f>
        <v>0</v>
      </c>
      <c r="G5" s="128">
        <f ca="1">_xll.DBGET(#REF!,#REF!,#REF!,#REF!,#REF!,#REF!,$C5,$B5,#REF!,#REF!,#REF!)</f>
        <v>0</v>
      </c>
      <c r="H5" s="122">
        <f ca="1">_xll.DBGET(#REF!,#REF!,#REF!,#REF!,#REF!,#REF!,$C5,$B5,#REF!,#REF!,#REF!)</f>
        <v>7864</v>
      </c>
      <c r="I5" s="128">
        <f ca="1">_xll.DBGET(#REF!,#REF!,#REF!,#REF!,#REF!,#REF!,$C5,$B5,#REF!,#REF!,#REF!)</f>
        <v>115.03584868657001</v>
      </c>
      <c r="J5" s="122">
        <f ca="1">_xll.DBGET(#REF!,#REF!,#REF!,#REF!,#REF!,#REF!,$C5,$B5,#REF!,#REF!,#REF!)</f>
        <v>0</v>
      </c>
      <c r="K5" s="128">
        <f ca="1">_xll.DBGET(#REF!,#REF!,#REF!,#REF!,#REF!,#REF!,$C5,$B5,#REF!,#REF!,#REF!)</f>
        <v>0</v>
      </c>
      <c r="L5" s="122">
        <f ca="1">_xll.DBGET(#REF!,#REF!,#REF!,#REF!,#REF!,#REF!,$C5,$B5,#REF!,#REF!,#REF!)</f>
        <v>0</v>
      </c>
      <c r="M5" s="128">
        <f ca="1">_xll.DBGET(#REF!,#REF!,#REF!,#REF!,#REF!,#REF!,$C5,$B5,#REF!,#REF!,#REF!)</f>
        <v>0</v>
      </c>
      <c r="N5" s="122">
        <f ca="1">_xll.DBGET(#REF!,#REF!,#REF!,#REF!,#REF!,#REF!,$C5,$B5,#REF!,#REF!,#REF!)</f>
        <v>0</v>
      </c>
      <c r="O5" s="128">
        <f ca="1">IFERROR((_xll.DBGET(#REF!,#REF!,#REF!,#REF!,#REF!,#REF!,$C5,$B5,#REF!,#REF!,#REF!))/N5,0)</f>
        <v>0</v>
      </c>
      <c r="P5" s="122">
        <f ca="1">_xll.DBGET(#REF!,#REF!,#REF!,#REF!,#REF!,#REF!,$C5,$B5,#REF!,#REF!,#REF!)</f>
        <v>0</v>
      </c>
      <c r="Q5" s="128">
        <f ca="1">IFERROR((_xll.DBGET(#REF!,#REF!,#REF!,#REF!,#REF!,#REF!,$C5,$B5,#REF!,#REF!,#REF!))/P5,0)</f>
        <v>0</v>
      </c>
      <c r="R5" s="122">
        <f ca="1">_xll.DBGET(#REF!,#REF!,#REF!,#REF!,#REF!,#REF!,$C5,$B5,#REF!,#REF!,#REF!)</f>
        <v>0</v>
      </c>
      <c r="S5" s="128">
        <f ca="1">IFERROR((_xll.DBGET(#REF!,#REF!,#REF!,#REF!,#REF!,#REF!,$C5,$B5,#REF!,#REF!,#REF!))/R5,0)</f>
        <v>0</v>
      </c>
      <c r="T5" s="122">
        <f ca="1">_xll.DBGET(#REF!,#REF!,#REF!,#REF!,#REF!,#REF!,$C5,$B5,#REF!,#REF!,#REF!)</f>
        <v>0</v>
      </c>
      <c r="U5" s="128">
        <f ca="1">_xll.DBGET(#REF!,#REF!,#REF!,#REF!,#REF!,#REF!,$C5,$B5,#REF!,#REF!,#REF!)</f>
        <v>0</v>
      </c>
    </row>
    <row r="6" spans="1:30" x14ac:dyDescent="0.35">
      <c r="A6" s="71"/>
      <c r="B6" s="72" t="s">
        <v>14</v>
      </c>
      <c r="C6" s="73" t="s">
        <v>9</v>
      </c>
      <c r="D6" s="122">
        <f ca="1">_xll.DBGET(#REF!,#REF!,#REF!,#REF!,#REF!,#REF!,$C6,$B6,#REF!,#REF!,#REF!)</f>
        <v>2392208</v>
      </c>
      <c r="E6" s="128">
        <f ca="1">_xll.DBGET(#REF!,#REF!,#REF!,#REF!,#REF!,#REF!,$C6,$B6,#REF!,#REF!,#REF!)</f>
        <v>150.88602293580001</v>
      </c>
      <c r="F6" s="122">
        <f ca="1">_xll.DBGET(#REF!,#REF!,#REF!,#REF!,#REF!,#REF!,$C6,$B6,#REF!,#REF!,#REF!)</f>
        <v>279900</v>
      </c>
      <c r="G6" s="128">
        <f ca="1">_xll.DBGET(#REF!,#REF!,#REF!,#REF!,#REF!,#REF!,$C6,$B6,#REF!,#REF!,#REF!)</f>
        <v>143.15932838725001</v>
      </c>
      <c r="H6" s="122">
        <f ca="1">_xll.DBGET(#REF!,#REF!,#REF!,#REF!,#REF!,#REF!,$C6,$B6,#REF!,#REF!,#REF!)</f>
        <v>280956</v>
      </c>
      <c r="I6" s="128">
        <f ca="1">_xll.DBGET(#REF!,#REF!,#REF!,#REF!,#REF!,#REF!,$C6,$B6,#REF!,#REF!,#REF!)</f>
        <v>152.93160160812999</v>
      </c>
      <c r="J6" s="122">
        <f ca="1">_xll.DBGET(#REF!,#REF!,#REF!,#REF!,#REF!,#REF!,$C6,$B6,#REF!,#REF!,#REF!)</f>
        <v>167951</v>
      </c>
      <c r="K6" s="128">
        <f ca="1">_xll.DBGET(#REF!,#REF!,#REF!,#REF!,#REF!,#REF!,$C6,$B6,#REF!,#REF!,#REF!)</f>
        <v>158.22334284346999</v>
      </c>
      <c r="L6" s="122">
        <f ca="1">_xll.DBGET(#REF!,#REF!,#REF!,#REF!,#REF!,#REF!,$C6,$B6,#REF!,#REF!,#REF!)</f>
        <v>0</v>
      </c>
      <c r="M6" s="128">
        <f ca="1">_xll.DBGET(#REF!,#REF!,#REF!,#REF!,#REF!,#REF!,$C6,$B6,#REF!,#REF!,#REF!)</f>
        <v>0</v>
      </c>
      <c r="N6" s="122">
        <f ca="1">_xll.DBGET(#REF!,#REF!,#REF!,#REF!,#REF!,#REF!,$C6,$B6,#REF!,#REF!,#REF!)</f>
        <v>0</v>
      </c>
      <c r="O6" s="128">
        <f ca="1">IFERROR((_xll.DBGET(#REF!,#REF!,#REF!,#REF!,#REF!,#REF!,$C6,$B6,#REF!,#REF!,#REF!))/N6,0)</f>
        <v>0</v>
      </c>
      <c r="P6" s="122">
        <f ca="1">_xll.DBGET(#REF!,#REF!,#REF!,#REF!,#REF!,#REF!,$C6,$B6,#REF!,#REF!,#REF!)</f>
        <v>0</v>
      </c>
      <c r="Q6" s="128">
        <f ca="1">IFERROR((_xll.DBGET(#REF!,#REF!,#REF!,#REF!,#REF!,#REF!,$C6,$B6,#REF!,#REF!,#REF!))/P6,0)</f>
        <v>0</v>
      </c>
      <c r="R6" s="122">
        <f ca="1">_xll.DBGET(#REF!,#REF!,#REF!,#REF!,#REF!,#REF!,$C6,$B6,#REF!,#REF!,#REF!)</f>
        <v>0</v>
      </c>
      <c r="S6" s="128">
        <f ca="1">IFERROR((_xll.DBGET(#REF!,#REF!,#REF!,#REF!,#REF!,#REF!,$C6,$B6,#REF!,#REF!,#REF!))/R6,0)</f>
        <v>0</v>
      </c>
      <c r="T6" s="122">
        <f ca="1">_xll.DBGET(#REF!,#REF!,#REF!,#REF!,#REF!,#REF!,$C6,$B6,#REF!,#REF!,#REF!)</f>
        <v>0</v>
      </c>
      <c r="U6" s="128">
        <f ca="1">_xll.DBGET(#REF!,#REF!,#REF!,#REF!,#REF!,#REF!,$C6,$B6,#REF!,#REF!,#REF!)</f>
        <v>0</v>
      </c>
    </row>
    <row r="7" spans="1:30" x14ac:dyDescent="0.35">
      <c r="A7" s="9" t="s">
        <v>18</v>
      </c>
      <c r="B7" s="3" t="s">
        <v>15</v>
      </c>
      <c r="C7" s="2" t="s">
        <v>7</v>
      </c>
      <c r="D7" s="129">
        <f ca="1">_xll.DBGET(#REF!,#REF!,#REF!,#REF!,#REF!,#REF!,$C7,$B7,#REF!,#REF!,#REF!)</f>
        <v>2178010</v>
      </c>
      <c r="E7" s="130">
        <f ca="1">_xll.DBGET(#REF!,#REF!,#REF!,#REF!,#REF!,#REF!,$C7,$B7,#REF!,#REF!,#REF!)</f>
        <v>140.76032873278999</v>
      </c>
      <c r="F7" s="129">
        <f ca="1">_xll.DBGET(#REF!,#REF!,#REF!,#REF!,#REF!,#REF!,$C7,$B7,#REF!,#REF!,#REF!)</f>
        <v>268226</v>
      </c>
      <c r="G7" s="130">
        <f ca="1">_xll.DBGET(#REF!,#REF!,#REF!,#REF!,#REF!,#REF!,$C7,$B7,#REF!,#REF!,#REF!)</f>
        <v>142.37207243034999</v>
      </c>
      <c r="H7" s="129">
        <f ca="1">_xll.DBGET(#REF!,#REF!,#REF!,#REF!,#REF!,#REF!,$C7,$B7,#REF!,#REF!,#REF!)</f>
        <v>214640</v>
      </c>
      <c r="I7" s="130">
        <f ca="1">_xll.DBGET(#REF!,#REF!,#REF!,#REF!,#REF!,#REF!,$C7,$B7,#REF!,#REF!,#REF!)</f>
        <v>143.56337671110001</v>
      </c>
      <c r="J7" s="129">
        <f ca="1">_xll.DBGET(#REF!,#REF!,#REF!,#REF!,#REF!,#REF!,$C7,$B7,#REF!,#REF!,#REF!)</f>
        <v>133000</v>
      </c>
      <c r="K7" s="130">
        <f ca="1">_xll.DBGET(#REF!,#REF!,#REF!,#REF!,#REF!,#REF!,$C7,$B7,#REF!,#REF!,#REF!)</f>
        <v>132.50565164919001</v>
      </c>
      <c r="L7" s="129">
        <f ca="1">_xll.DBGET(#REF!,#REF!,#REF!,#REF!,#REF!,#REF!,$C7,$B7,#REF!,#REF!,#REF!)</f>
        <v>0</v>
      </c>
      <c r="M7" s="130">
        <f ca="1">_xll.DBGET(#REF!,#REF!,#REF!,#REF!,#REF!,#REF!,$C7,$B7,#REF!,#REF!,#REF!)</f>
        <v>0</v>
      </c>
      <c r="N7" s="129">
        <f ca="1">_xll.DBGET(#REF!,#REF!,#REF!,#REF!,#REF!,#REF!,$C7,$B7,#REF!,#REF!,#REF!)</f>
        <v>0</v>
      </c>
      <c r="O7" s="130">
        <f ca="1">IFERROR((_xll.DBGET(#REF!,#REF!,#REF!,#REF!,#REF!,#REF!,$C7,$B7,#REF!,#REF!,#REF!))/N7,0)</f>
        <v>0</v>
      </c>
      <c r="P7" s="129">
        <f ca="1">_xll.DBGET(#REF!,#REF!,#REF!,#REF!,#REF!,#REF!,$C7,$B7,#REF!,#REF!,#REF!)</f>
        <v>0</v>
      </c>
      <c r="Q7" s="130">
        <f ca="1">IFERROR((_xll.DBGET(#REF!,#REF!,#REF!,#REF!,#REF!,#REF!,$C7,$B7,#REF!,#REF!,#REF!))/P7,0)</f>
        <v>0</v>
      </c>
      <c r="R7" s="129">
        <f ca="1">_xll.DBGET(#REF!,#REF!,#REF!,#REF!,#REF!,#REF!,$C7,$B7,#REF!,#REF!,#REF!)</f>
        <v>0</v>
      </c>
      <c r="S7" s="130">
        <f ca="1">IFERROR((_xll.DBGET(#REF!,#REF!,#REF!,#REF!,#REF!,#REF!,$C7,$B7,#REF!,#REF!,#REF!))/R7,0)</f>
        <v>0</v>
      </c>
      <c r="T7" s="129">
        <f ca="1">_xll.DBGET(#REF!,#REF!,#REF!,#REF!,#REF!,#REF!,$C7,$B7,#REF!,#REF!,#REF!)</f>
        <v>0</v>
      </c>
      <c r="U7" s="130">
        <f ca="1">_xll.DBGET(#REF!,#REF!,#REF!,#REF!,#REF!,#REF!,$C7,$B7,#REF!,#REF!,#REF!)</f>
        <v>0</v>
      </c>
    </row>
    <row r="8" spans="1:30" x14ac:dyDescent="0.35">
      <c r="A8" s="71"/>
      <c r="B8" s="72" t="s">
        <v>15</v>
      </c>
      <c r="C8" s="73" t="s">
        <v>8</v>
      </c>
      <c r="D8" s="122">
        <f ca="1">_xll.DBGET(#REF!,#REF!,#REF!,#REF!,#REF!,#REF!,$C8,$B8,#REF!,#REF!,#REF!)</f>
        <v>1191934</v>
      </c>
      <c r="E8" s="128">
        <f ca="1">_xll.DBGET(#REF!,#REF!,#REF!,#REF!,#REF!,#REF!,$C8,$B8,#REF!,#REF!,#REF!)</f>
        <v>139.00477063923</v>
      </c>
      <c r="F8" s="122">
        <f ca="1">_xll.DBGET(#REF!,#REF!,#REF!,#REF!,#REF!,#REF!,$C8,$B8,#REF!,#REF!,#REF!)</f>
        <v>125468</v>
      </c>
      <c r="G8" s="128">
        <f ca="1">_xll.DBGET(#REF!,#REF!,#REF!,#REF!,#REF!,#REF!,$C8,$B8,#REF!,#REF!,#REF!)</f>
        <v>139.04628440225</v>
      </c>
      <c r="H8" s="122">
        <f ca="1">_xll.DBGET(#REF!,#REF!,#REF!,#REF!,#REF!,#REF!,$C8,$B8,#REF!,#REF!,#REF!)</f>
        <v>81403</v>
      </c>
      <c r="I8" s="128">
        <f ca="1">_xll.DBGET(#REF!,#REF!,#REF!,#REF!,#REF!,#REF!,$C8,$B8,#REF!,#REF!,#REF!)</f>
        <v>131.43426987517</v>
      </c>
      <c r="J8" s="122">
        <f ca="1">_xll.DBGET(#REF!,#REF!,#REF!,#REF!,#REF!,#REF!,$C8,$B8,#REF!,#REF!,#REF!)</f>
        <v>44500</v>
      </c>
      <c r="K8" s="128">
        <f ca="1">_xll.DBGET(#REF!,#REF!,#REF!,#REF!,#REF!,#REF!,$C8,$B8,#REF!,#REF!,#REF!)</f>
        <v>116.1462265733</v>
      </c>
      <c r="L8" s="122">
        <f ca="1">_xll.DBGET(#REF!,#REF!,#REF!,#REF!,#REF!,#REF!,$C8,$B8,#REF!,#REF!,#REF!)</f>
        <v>0</v>
      </c>
      <c r="M8" s="128">
        <f ca="1">_xll.DBGET(#REF!,#REF!,#REF!,#REF!,#REF!,#REF!,$C8,$B8,#REF!,#REF!,#REF!)</f>
        <v>0</v>
      </c>
      <c r="N8" s="122">
        <f ca="1">_xll.DBGET(#REF!,#REF!,#REF!,#REF!,#REF!,#REF!,$C8,$B8,#REF!,#REF!,#REF!)</f>
        <v>0</v>
      </c>
      <c r="O8" s="128">
        <f ca="1">IFERROR((_xll.DBGET(#REF!,#REF!,#REF!,#REF!,#REF!,#REF!,$C8,$B8,#REF!,#REF!,#REF!))/N8,0)</f>
        <v>0</v>
      </c>
      <c r="P8" s="122">
        <f ca="1">_xll.DBGET(#REF!,#REF!,#REF!,#REF!,#REF!,#REF!,$C8,$B8,#REF!,#REF!,#REF!)</f>
        <v>0</v>
      </c>
      <c r="Q8" s="128">
        <f ca="1">IFERROR((_xll.DBGET(#REF!,#REF!,#REF!,#REF!,#REF!,#REF!,$C8,$B8,#REF!,#REF!,#REF!))/P8,0)</f>
        <v>0</v>
      </c>
      <c r="R8" s="122">
        <f ca="1">_xll.DBGET(#REF!,#REF!,#REF!,#REF!,#REF!,#REF!,$C8,$B8,#REF!,#REF!,#REF!)</f>
        <v>0</v>
      </c>
      <c r="S8" s="128">
        <f ca="1">IFERROR((_xll.DBGET(#REF!,#REF!,#REF!,#REF!,#REF!,#REF!,$C8,$B8,#REF!,#REF!,#REF!))/R8,0)</f>
        <v>0</v>
      </c>
      <c r="T8" s="122">
        <f ca="1">_xll.DBGET(#REF!,#REF!,#REF!,#REF!,#REF!,#REF!,$C8,$B8,#REF!,#REF!,#REF!)</f>
        <v>0</v>
      </c>
      <c r="U8" s="128">
        <f ca="1">_xll.DBGET(#REF!,#REF!,#REF!,#REF!,#REF!,#REF!,$C8,$B8,#REF!,#REF!,#REF!)</f>
        <v>0</v>
      </c>
    </row>
    <row r="9" spans="1:30" x14ac:dyDescent="0.35">
      <c r="A9" s="71"/>
      <c r="B9" s="72" t="s">
        <v>15</v>
      </c>
      <c r="C9" s="73" t="s">
        <v>9</v>
      </c>
      <c r="D9" s="122">
        <f ca="1">_xll.DBGET(#REF!,#REF!,#REF!,#REF!,#REF!,#REF!,$C9,$B9,#REF!,#REF!,#REF!)</f>
        <v>986076</v>
      </c>
      <c r="E9" s="128">
        <f ca="1">_xll.DBGET(#REF!,#REF!,#REF!,#REF!,#REF!,#REF!,$C9,$B9,#REF!,#REF!,#REF!)</f>
        <v>142.88238563376001</v>
      </c>
      <c r="F9" s="122">
        <f ca="1">_xll.DBGET(#REF!,#REF!,#REF!,#REF!,#REF!,#REF!,$C9,$B9,#REF!,#REF!,#REF!)</f>
        <v>142758</v>
      </c>
      <c r="G9" s="128">
        <f ca="1">_xll.DBGET(#REF!,#REF!,#REF!,#REF!,#REF!,#REF!,$C9,$B9,#REF!,#REF!,#REF!)</f>
        <v>145.29506079044</v>
      </c>
      <c r="H9" s="122">
        <f ca="1">_xll.DBGET(#REF!,#REF!,#REF!,#REF!,#REF!,#REF!,$C9,$B9,#REF!,#REF!,#REF!)</f>
        <v>133237</v>
      </c>
      <c r="I9" s="128">
        <f ca="1">_xll.DBGET(#REF!,#REF!,#REF!,#REF!,#REF!,#REF!,$C9,$B9,#REF!,#REF!,#REF!)</f>
        <v>150.97382338707001</v>
      </c>
      <c r="J9" s="122">
        <f ca="1">_xll.DBGET(#REF!,#REF!,#REF!,#REF!,#REF!,#REF!,$C9,$B9,#REF!,#REF!,#REF!)</f>
        <v>88500</v>
      </c>
      <c r="K9" s="128">
        <f ca="1">_xll.DBGET(#REF!,#REF!,#REF!,#REF!,#REF!,#REF!,$C9,$B9,#REF!,#REF!,#REF!)</f>
        <v>140.73157725233</v>
      </c>
      <c r="L9" s="122">
        <f ca="1">_xll.DBGET(#REF!,#REF!,#REF!,#REF!,#REF!,#REF!,$C9,$B9,#REF!,#REF!,#REF!)</f>
        <v>0</v>
      </c>
      <c r="M9" s="128">
        <f ca="1">_xll.DBGET(#REF!,#REF!,#REF!,#REF!,#REF!,#REF!,$C9,$B9,#REF!,#REF!,#REF!)</f>
        <v>0</v>
      </c>
      <c r="N9" s="122">
        <f ca="1">_xll.DBGET(#REF!,#REF!,#REF!,#REF!,#REF!,#REF!,$C9,$B9,#REF!,#REF!,#REF!)</f>
        <v>0</v>
      </c>
      <c r="O9" s="128">
        <f ca="1">IFERROR((_xll.DBGET(#REF!,#REF!,#REF!,#REF!,#REF!,#REF!,$C9,$B9,#REF!,#REF!,#REF!))/N9,0)</f>
        <v>0</v>
      </c>
      <c r="P9" s="122">
        <f ca="1">_xll.DBGET(#REF!,#REF!,#REF!,#REF!,#REF!,#REF!,$C9,$B9,#REF!,#REF!,#REF!)</f>
        <v>0</v>
      </c>
      <c r="Q9" s="128">
        <f ca="1">IFERROR((_xll.DBGET(#REF!,#REF!,#REF!,#REF!,#REF!,#REF!,$C9,$B9,#REF!,#REF!,#REF!))/P9,0)</f>
        <v>0</v>
      </c>
      <c r="R9" s="122">
        <f ca="1">_xll.DBGET(#REF!,#REF!,#REF!,#REF!,#REF!,#REF!,$C9,$B9,#REF!,#REF!,#REF!)</f>
        <v>0</v>
      </c>
      <c r="S9" s="128">
        <f ca="1">IFERROR((_xll.DBGET(#REF!,#REF!,#REF!,#REF!,#REF!,#REF!,$C9,$B9,#REF!,#REF!,#REF!))/R9,0)</f>
        <v>0</v>
      </c>
      <c r="T9" s="122">
        <f ca="1">_xll.DBGET(#REF!,#REF!,#REF!,#REF!,#REF!,#REF!,$C9,$B9,#REF!,#REF!,#REF!)</f>
        <v>0</v>
      </c>
      <c r="U9" s="128">
        <f ca="1">_xll.DBGET(#REF!,#REF!,#REF!,#REF!,#REF!,#REF!,$C9,$B9,#REF!,#REF!,#REF!)</f>
        <v>0</v>
      </c>
    </row>
    <row r="10" spans="1:30" x14ac:dyDescent="0.35">
      <c r="A10" s="9" t="s">
        <v>19</v>
      </c>
      <c r="B10" s="3" t="s">
        <v>16</v>
      </c>
      <c r="C10" s="2" t="s">
        <v>7</v>
      </c>
      <c r="D10" s="129">
        <f ca="1">_xll.DBGET(#REF!,#REF!,#REF!,#REF!,#REF!,#REF!,$C10,$B10,#REF!,#REF!,#REF!)</f>
        <v>1237625</v>
      </c>
      <c r="E10" s="130">
        <f ca="1">_xll.DBGET(#REF!,#REF!,#REF!,#REF!,#REF!,#REF!,$C10,$B10,#REF!,#REF!,#REF!)</f>
        <v>156.87366778467</v>
      </c>
      <c r="F10" s="129">
        <f ca="1">_xll.DBGET(#REF!,#REF!,#REF!,#REF!,#REF!,#REF!,$C10,$B10,#REF!,#REF!,#REF!)</f>
        <v>221771</v>
      </c>
      <c r="G10" s="130">
        <f ca="1">_xll.DBGET(#REF!,#REF!,#REF!,#REF!,#REF!,#REF!,$C10,$B10,#REF!,#REF!,#REF!)</f>
        <v>135.2319284653</v>
      </c>
      <c r="H10" s="129">
        <f ca="1">_xll.DBGET(#REF!,#REF!,#REF!,#REF!,#REF!,#REF!,$C10,$B10,#REF!,#REF!,#REF!)</f>
        <v>176166</v>
      </c>
      <c r="I10" s="130">
        <f ca="1">_xll.DBGET(#REF!,#REF!,#REF!,#REF!,#REF!,#REF!,$C10,$B10,#REF!,#REF!,#REF!)</f>
        <v>133.75202900926999</v>
      </c>
      <c r="J10" s="129">
        <f ca="1">_xll.DBGET(#REF!,#REF!,#REF!,#REF!,#REF!,#REF!,$C10,$B10,#REF!,#REF!,#REF!)</f>
        <v>76193</v>
      </c>
      <c r="K10" s="130">
        <f ca="1">_xll.DBGET(#REF!,#REF!,#REF!,#REF!,#REF!,#REF!,$C10,$B10,#REF!,#REF!,#REF!)</f>
        <v>129.23255258011</v>
      </c>
      <c r="L10" s="129">
        <f ca="1">_xll.DBGET(#REF!,#REF!,#REF!,#REF!,#REF!,#REF!,$C10,$B10,#REF!,#REF!,#REF!)</f>
        <v>0</v>
      </c>
      <c r="M10" s="130">
        <f ca="1">_xll.DBGET(#REF!,#REF!,#REF!,#REF!,#REF!,#REF!,$C10,$B10,#REF!,#REF!,#REF!)</f>
        <v>0</v>
      </c>
      <c r="N10" s="129">
        <f ca="1">_xll.DBGET(#REF!,#REF!,#REF!,#REF!,#REF!,#REF!,$C10,$B10,#REF!,#REF!,#REF!)</f>
        <v>0</v>
      </c>
      <c r="O10" s="130">
        <f ca="1">IFERROR((_xll.DBGET(#REF!,#REF!,#REF!,#REF!,#REF!,#REF!,$C10,$B10,#REF!,#REF!,#REF!))/N10,0)</f>
        <v>0</v>
      </c>
      <c r="P10" s="129">
        <f ca="1">_xll.DBGET(#REF!,#REF!,#REF!,#REF!,#REF!,#REF!,$C10,$B10,#REF!,#REF!,#REF!)</f>
        <v>0</v>
      </c>
      <c r="Q10" s="130">
        <f ca="1">IFERROR((_xll.DBGET(#REF!,#REF!,#REF!,#REF!,#REF!,#REF!,$C10,$B10,#REF!,#REF!,#REF!))/P10,0)</f>
        <v>0</v>
      </c>
      <c r="R10" s="129">
        <f ca="1">_xll.DBGET(#REF!,#REF!,#REF!,#REF!,#REF!,#REF!,$C10,$B10,#REF!,#REF!,#REF!)</f>
        <v>0</v>
      </c>
      <c r="S10" s="130">
        <f ca="1">IFERROR((_xll.DBGET(#REF!,#REF!,#REF!,#REF!,#REF!,#REF!,$C10,$B10,#REF!,#REF!,#REF!))/R10,0)</f>
        <v>0</v>
      </c>
      <c r="T10" s="129">
        <f ca="1">_xll.DBGET(#REF!,#REF!,#REF!,#REF!,#REF!,#REF!,$C10,$B10,#REF!,#REF!,#REF!)</f>
        <v>0</v>
      </c>
      <c r="U10" s="130">
        <f ca="1">_xll.DBGET(#REF!,#REF!,#REF!,#REF!,#REF!,#REF!,$C10,$B10,#REF!,#REF!,#REF!)</f>
        <v>0</v>
      </c>
    </row>
    <row r="11" spans="1:30" x14ac:dyDescent="0.35">
      <c r="A11" s="71"/>
      <c r="B11" s="72" t="s">
        <v>16</v>
      </c>
      <c r="C11" s="73" t="s">
        <v>8</v>
      </c>
      <c r="D11" s="122">
        <f ca="1">_xll.DBGET(#REF!,#REF!,#REF!,#REF!,#REF!,#REF!,$C11,$B11,#REF!,#REF!,#REF!)</f>
        <v>1179438</v>
      </c>
      <c r="E11" s="128">
        <f ca="1">_xll.DBGET(#REF!,#REF!,#REF!,#REF!,#REF!,#REF!,$C11,$B11,#REF!,#REF!,#REF!)</f>
        <v>154.19530630579999</v>
      </c>
      <c r="F11" s="122">
        <f ca="1">_xll.DBGET(#REF!,#REF!,#REF!,#REF!,#REF!,#REF!,$C11,$B11,#REF!,#REF!,#REF!)</f>
        <v>221771</v>
      </c>
      <c r="G11" s="128">
        <f ca="1">_xll.DBGET(#REF!,#REF!,#REF!,#REF!,#REF!,#REF!,$C11,$B11,#REF!,#REF!,#REF!)</f>
        <v>135.2319284653</v>
      </c>
      <c r="H11" s="122">
        <f ca="1">_xll.DBGET(#REF!,#REF!,#REF!,#REF!,#REF!,#REF!,$C11,$B11,#REF!,#REF!,#REF!)</f>
        <v>164183</v>
      </c>
      <c r="I11" s="128">
        <f ca="1">_xll.DBGET(#REF!,#REF!,#REF!,#REF!,#REF!,#REF!,$C11,$B11,#REF!,#REF!,#REF!)</f>
        <v>134.17853973311</v>
      </c>
      <c r="J11" s="122">
        <f ca="1">_xll.DBGET(#REF!,#REF!,#REF!,#REF!,#REF!,#REF!,$C11,$B11,#REF!,#REF!,#REF!)</f>
        <v>76193</v>
      </c>
      <c r="K11" s="128">
        <f ca="1">_xll.DBGET(#REF!,#REF!,#REF!,#REF!,#REF!,#REF!,$C11,$B11,#REF!,#REF!,#REF!)</f>
        <v>129.23255258011</v>
      </c>
      <c r="L11" s="122">
        <f ca="1">_xll.DBGET(#REF!,#REF!,#REF!,#REF!,#REF!,#REF!,$C11,$B11,#REF!,#REF!,#REF!)</f>
        <v>0</v>
      </c>
      <c r="M11" s="128">
        <f ca="1">_xll.DBGET(#REF!,#REF!,#REF!,#REF!,#REF!,#REF!,$C11,$B11,#REF!,#REF!,#REF!)</f>
        <v>0</v>
      </c>
      <c r="N11" s="122">
        <f ca="1">_xll.DBGET(#REF!,#REF!,#REF!,#REF!,#REF!,#REF!,$C11,$B11,#REF!,#REF!,#REF!)</f>
        <v>0</v>
      </c>
      <c r="O11" s="128">
        <f ca="1">IFERROR((_xll.DBGET(#REF!,#REF!,#REF!,#REF!,#REF!,#REF!,$C11,$B11,#REF!,#REF!,#REF!))/N11,0)</f>
        <v>0</v>
      </c>
      <c r="P11" s="122">
        <f ca="1">_xll.DBGET(#REF!,#REF!,#REF!,#REF!,#REF!,#REF!,$C11,$B11,#REF!,#REF!,#REF!)</f>
        <v>0</v>
      </c>
      <c r="Q11" s="128">
        <f ca="1">IFERROR((_xll.DBGET(#REF!,#REF!,#REF!,#REF!,#REF!,#REF!,$C11,$B11,#REF!,#REF!,#REF!))/P11,0)</f>
        <v>0</v>
      </c>
      <c r="R11" s="122">
        <f ca="1">_xll.DBGET(#REF!,#REF!,#REF!,#REF!,#REF!,#REF!,$C11,$B11,#REF!,#REF!,#REF!)</f>
        <v>0</v>
      </c>
      <c r="S11" s="128">
        <f ca="1">IFERROR((_xll.DBGET(#REF!,#REF!,#REF!,#REF!,#REF!,#REF!,$C11,$B11,#REF!,#REF!,#REF!))/R11,0)</f>
        <v>0</v>
      </c>
      <c r="T11" s="122">
        <f ca="1">_xll.DBGET(#REF!,#REF!,#REF!,#REF!,#REF!,#REF!,$C11,$B11,#REF!,#REF!,#REF!)</f>
        <v>0</v>
      </c>
      <c r="U11" s="128">
        <f ca="1">_xll.DBGET(#REF!,#REF!,#REF!,#REF!,#REF!,#REF!,$C11,$B11,#REF!,#REF!,#REF!)</f>
        <v>0</v>
      </c>
    </row>
    <row r="12" spans="1:30" x14ac:dyDescent="0.35">
      <c r="A12" s="71"/>
      <c r="B12" s="72" t="s">
        <v>16</v>
      </c>
      <c r="C12" s="73" t="s">
        <v>9</v>
      </c>
      <c r="D12" s="122">
        <f ca="1">_xll.DBGET(#REF!,#REF!,#REF!,#REF!,#REF!,#REF!,$C12,$B12,#REF!,#REF!,#REF!)</f>
        <v>58187</v>
      </c>
      <c r="E12" s="128">
        <f ca="1">_xll.DBGET(#REF!,#REF!,#REF!,#REF!,#REF!,#REF!,$C12,$B12,#REF!,#REF!,#REF!)</f>
        <v>211.16348004365</v>
      </c>
      <c r="F12" s="122">
        <f ca="1">_xll.DBGET(#REF!,#REF!,#REF!,#REF!,#REF!,#REF!,$C12,$B12,#REF!,#REF!,#REF!)</f>
        <v>0</v>
      </c>
      <c r="G12" s="128">
        <f ca="1">_xll.DBGET(#REF!,#REF!,#REF!,#REF!,#REF!,#REF!,$C12,$B12,#REF!,#REF!,#REF!)</f>
        <v>0</v>
      </c>
      <c r="H12" s="122">
        <f ca="1">_xll.DBGET(#REF!,#REF!,#REF!,#REF!,#REF!,#REF!,$C12,$B12,#REF!,#REF!,#REF!)</f>
        <v>11983</v>
      </c>
      <c r="I12" s="128">
        <f ca="1">_xll.DBGET(#REF!,#REF!,#REF!,#REF!,#REF!,#REF!,$C12,$B12,#REF!,#REF!,#REF!)</f>
        <v>127.90826616414</v>
      </c>
      <c r="J12" s="122">
        <f ca="1">_xll.DBGET(#REF!,#REF!,#REF!,#REF!,#REF!,#REF!,$C12,$B12,#REF!,#REF!,#REF!)</f>
        <v>0</v>
      </c>
      <c r="K12" s="128">
        <f ca="1">_xll.DBGET(#REF!,#REF!,#REF!,#REF!,#REF!,#REF!,$C12,$B12,#REF!,#REF!,#REF!)</f>
        <v>0</v>
      </c>
      <c r="L12" s="122">
        <f ca="1">_xll.DBGET(#REF!,#REF!,#REF!,#REF!,#REF!,#REF!,$C12,$B12,#REF!,#REF!,#REF!)</f>
        <v>0</v>
      </c>
      <c r="M12" s="128">
        <f ca="1">_xll.DBGET(#REF!,#REF!,#REF!,#REF!,#REF!,#REF!,$C12,$B12,#REF!,#REF!,#REF!)</f>
        <v>0</v>
      </c>
      <c r="N12" s="122">
        <f ca="1">_xll.DBGET(#REF!,#REF!,#REF!,#REF!,#REF!,#REF!,$C12,$B12,#REF!,#REF!,#REF!)</f>
        <v>0</v>
      </c>
      <c r="O12" s="128">
        <f ca="1">IFERROR((_xll.DBGET(#REF!,#REF!,#REF!,#REF!,#REF!,#REF!,$C12,$B12,#REF!,#REF!,#REF!))/N12,0)</f>
        <v>0</v>
      </c>
      <c r="P12" s="122">
        <f ca="1">_xll.DBGET(#REF!,#REF!,#REF!,#REF!,#REF!,#REF!,$C12,$B12,#REF!,#REF!,#REF!)</f>
        <v>0</v>
      </c>
      <c r="Q12" s="128">
        <f ca="1">IFERROR((_xll.DBGET(#REF!,#REF!,#REF!,#REF!,#REF!,#REF!,$C12,$B12,#REF!,#REF!,#REF!))/P12,0)</f>
        <v>0</v>
      </c>
      <c r="R12" s="122">
        <f ca="1">_xll.DBGET(#REF!,#REF!,#REF!,#REF!,#REF!,#REF!,$C12,$B12,#REF!,#REF!,#REF!)</f>
        <v>0</v>
      </c>
      <c r="S12" s="128">
        <f ca="1">IFERROR((_xll.DBGET(#REF!,#REF!,#REF!,#REF!,#REF!,#REF!,$C12,$B12,#REF!,#REF!,#REF!))/R12,0)</f>
        <v>0</v>
      </c>
      <c r="T12" s="122">
        <f ca="1">_xll.DBGET(#REF!,#REF!,#REF!,#REF!,#REF!,#REF!,$C12,$B12,#REF!,#REF!,#REF!)</f>
        <v>0</v>
      </c>
      <c r="U12" s="128">
        <f ca="1">_xll.DBGET(#REF!,#REF!,#REF!,#REF!,#REF!,#REF!,$C12,$B12,#REF!,#REF!,#REF!)</f>
        <v>0</v>
      </c>
    </row>
    <row r="13" spans="1:30" ht="7.5" customHeight="1" x14ac:dyDescent="0.35"/>
    <row r="15" spans="1:30" ht="37.5" customHeight="1" x14ac:dyDescent="0.5">
      <c r="A15" s="106"/>
      <c r="B15" s="117"/>
      <c r="C15" s="106"/>
      <c r="D15" s="171" t="str">
        <f ca="1">CONCATENATE(#REF!,"
 Forecast")</f>
        <v>Jan-21
 Forecast</v>
      </c>
      <c r="E15" s="171"/>
    </row>
    <row r="16" spans="1:30" ht="16" x14ac:dyDescent="0.5">
      <c r="A16" s="107"/>
      <c r="B16" s="118"/>
      <c r="C16" s="107"/>
      <c r="D16" s="109" t="s">
        <v>0</v>
      </c>
      <c r="E16" s="108" t="s">
        <v>61</v>
      </c>
    </row>
    <row r="17" spans="1:5" x14ac:dyDescent="0.35">
      <c r="A17" s="9" t="s">
        <v>17</v>
      </c>
      <c r="B17" s="3" t="s">
        <v>14</v>
      </c>
      <c r="C17" s="2" t="s">
        <v>7</v>
      </c>
      <c r="D17" s="46">
        <f ca="1">_xll.DBGET(#REF!,#REF!,#REF!,#REF!,#REF!,#REF!,$C17,$B17,#REF!,#REF!,#REF!)</f>
        <v>225500</v>
      </c>
      <c r="E17" s="5">
        <f ca="1">_xll.DBGET(#REF!,#REF!,#REF!,#REF!,#REF!,#REF!,$C17,$B17,#REF!,#REF!,#REF!)</f>
        <v>161.49346664097999</v>
      </c>
    </row>
    <row r="18" spans="1:5" x14ac:dyDescent="0.35">
      <c r="A18" s="71"/>
      <c r="B18" s="72" t="s">
        <v>14</v>
      </c>
      <c r="C18" s="73" t="s">
        <v>8</v>
      </c>
      <c r="D18" s="122">
        <f ca="1">_xll.DBGET(#REF!,#REF!,#REF!,#REF!,#REF!,#REF!,$C18,$B18,#REF!,#REF!,#REF!)</f>
        <v>0</v>
      </c>
      <c r="E18" s="128">
        <f ca="1">_xll.DBGET(#REF!,#REF!,#REF!,#REF!,#REF!,#REF!,$C18,$B18,#REF!,#REF!,#REF!)</f>
        <v>0</v>
      </c>
    </row>
    <row r="19" spans="1:5" x14ac:dyDescent="0.35">
      <c r="A19" s="71"/>
      <c r="B19" s="72" t="s">
        <v>14</v>
      </c>
      <c r="C19" s="73" t="s">
        <v>9</v>
      </c>
      <c r="D19" s="122">
        <f ca="1">_xll.DBGET(#REF!,#REF!,#REF!,#REF!,#REF!,#REF!,$C19,$B19,#REF!,#REF!,#REF!)</f>
        <v>225500</v>
      </c>
      <c r="E19" s="128">
        <f ca="1">_xll.DBGET(#REF!,#REF!,#REF!,#REF!,#REF!,#REF!,$C19,$B19,#REF!,#REF!,#REF!)</f>
        <v>161.49346664097999</v>
      </c>
    </row>
    <row r="20" spans="1:5" x14ac:dyDescent="0.35">
      <c r="A20" s="9" t="s">
        <v>18</v>
      </c>
      <c r="B20" s="3" t="s">
        <v>15</v>
      </c>
      <c r="C20" s="2" t="s">
        <v>7</v>
      </c>
      <c r="D20" s="129">
        <f ca="1">_xll.DBGET(#REF!,#REF!,#REF!,#REF!,#REF!,#REF!,$C20,$B20,#REF!,#REF!,#REF!)</f>
        <v>153500</v>
      </c>
      <c r="E20" s="130">
        <f ca="1">_xll.DBGET(#REF!,#REF!,#REF!,#REF!,#REF!,#REF!,$C20,$B20,#REF!,#REF!,#REF!)</f>
        <v>137.39333269359</v>
      </c>
    </row>
    <row r="21" spans="1:5" x14ac:dyDescent="0.35">
      <c r="A21" s="71"/>
      <c r="B21" s="72" t="s">
        <v>15</v>
      </c>
      <c r="C21" s="73" t="s">
        <v>8</v>
      </c>
      <c r="D21" s="122">
        <f ca="1">_xll.DBGET(#REF!,#REF!,#REF!,#REF!,#REF!,#REF!,$C21,$B21,#REF!,#REF!,#REF!)</f>
        <v>101000</v>
      </c>
      <c r="E21" s="128">
        <f ca="1">_xll.DBGET(#REF!,#REF!,#REF!,#REF!,#REF!,#REF!,$C21,$B21,#REF!,#REF!,#REF!)</f>
        <v>133.7860200776</v>
      </c>
    </row>
    <row r="22" spans="1:5" x14ac:dyDescent="0.35">
      <c r="A22" s="71"/>
      <c r="B22" s="72" t="s">
        <v>15</v>
      </c>
      <c r="C22" s="73" t="s">
        <v>9</v>
      </c>
      <c r="D22" s="122">
        <f ca="1">_xll.DBGET(#REF!,#REF!,#REF!,#REF!,#REF!,#REF!,$C22,$B22,#REF!,#REF!,#REF!)</f>
        <v>52500</v>
      </c>
      <c r="E22" s="128">
        <f ca="1">_xll.DBGET(#REF!,#REF!,#REF!,#REF!,#REF!,#REF!,$C22,$B22,#REF!,#REF!,#REF!)</f>
        <v>144.33311505958</v>
      </c>
    </row>
    <row r="23" spans="1:5" x14ac:dyDescent="0.35">
      <c r="A23" s="9" t="s">
        <v>19</v>
      </c>
      <c r="B23" s="3" t="s">
        <v>16</v>
      </c>
      <c r="C23" s="2" t="s">
        <v>7</v>
      </c>
      <c r="D23" s="129">
        <f ca="1">_xll.DBGET(#REF!,#REF!,#REF!,#REF!,#REF!,#REF!,$C23,$B23,#REF!,#REF!,#REF!)</f>
        <v>183900</v>
      </c>
      <c r="E23" s="130">
        <f ca="1">_xll.DBGET(#REF!,#REF!,#REF!,#REF!,#REF!,#REF!,$C23,$B23,#REF!,#REF!,#REF!)</f>
        <v>135.16873343141</v>
      </c>
    </row>
    <row r="24" spans="1:5" x14ac:dyDescent="0.35">
      <c r="A24" s="71"/>
      <c r="B24" s="72" t="s">
        <v>16</v>
      </c>
      <c r="C24" s="73" t="s">
        <v>8</v>
      </c>
      <c r="D24" s="122">
        <f ca="1">_xll.DBGET(#REF!,#REF!,#REF!,#REF!,#REF!,#REF!,$C24,$B24,#REF!,#REF!,#REF!)</f>
        <v>173650</v>
      </c>
      <c r="E24" s="128">
        <f ca="1">_xll.DBGET(#REF!,#REF!,#REF!,#REF!,#REF!,#REF!,$C24,$B24,#REF!,#REF!,#REF!)</f>
        <v>131.25489583327001</v>
      </c>
    </row>
    <row r="25" spans="1:5" x14ac:dyDescent="0.35">
      <c r="A25" s="71"/>
      <c r="B25" s="72" t="s">
        <v>16</v>
      </c>
      <c r="C25" s="73" t="s">
        <v>9</v>
      </c>
      <c r="D25" s="122">
        <f ca="1">_xll.DBGET(#REF!,#REF!,#REF!,#REF!,#REF!,#REF!,$C25,$B25,#REF!,#REF!,#REF!)</f>
        <v>10250</v>
      </c>
      <c r="E25" s="128">
        <f ca="1">_xll.DBGET(#REF!,#REF!,#REF!,#REF!,#REF!,#REF!,$C25,$B25,#REF!,#REF!,#REF!)</f>
        <v>201.47486991105001</v>
      </c>
    </row>
  </sheetData>
  <mergeCells count="14">
    <mergeCell ref="Y3:Z3"/>
    <mergeCell ref="AA3:AB3"/>
    <mergeCell ref="AC3:AD3"/>
    <mergeCell ref="D15:E15"/>
    <mergeCell ref="A1:U1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ageMargins left="0.70866141732283472" right="0.70866141732283472" top="0.74803149606299213" bottom="0.74803149606299213" header="0.31496062992125984" footer="0.31496062992125984"/>
  <pageSetup scale="47" orientation="landscape" r:id="rId1"/>
  <customProperties>
    <customPr name="IbpWorksheetKeyString_GU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/>
    <pageSetUpPr fitToPage="1"/>
  </sheetPr>
  <dimension ref="A1:S91"/>
  <sheetViews>
    <sheetView zoomScale="85" zoomScaleNormal="85" workbookViewId="0">
      <selection activeCell="O19" sqref="O19"/>
    </sheetView>
  </sheetViews>
  <sheetFormatPr defaultColWidth="9.1796875" defaultRowHeight="14.5" outlineLevelRow="1" x14ac:dyDescent="0.35"/>
  <cols>
    <col min="1" max="1" width="10.1796875" style="90" bestFit="1" customWidth="1"/>
    <col min="2" max="19" width="13.54296875" style="90" customWidth="1"/>
    <col min="20" max="16384" width="9.1796875" style="90"/>
  </cols>
  <sheetData>
    <row r="1" spans="1:19" ht="26.5" x14ac:dyDescent="0.85">
      <c r="A1" s="167" t="s">
        <v>63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</row>
    <row r="2" spans="1:19" s="8" customFormat="1" ht="37.5" customHeight="1" x14ac:dyDescent="0.5">
      <c r="A2" s="110"/>
      <c r="B2" s="171" t="str">
        <f ca="1">CONCATENATE(#REF!," YTD","
 Actual")</f>
        <v>Sep-20 YTD
 Actual</v>
      </c>
      <c r="C2" s="171"/>
      <c r="D2" s="175" t="str">
        <f ca="1">CONCATENATE(#REF!," 
Forecast")</f>
        <v>Oct-20 
Forecast</v>
      </c>
      <c r="E2" s="175"/>
      <c r="F2" s="175" t="str">
        <f ca="1">CONCATENATE(#REF!," 
Forecast")</f>
        <v>Nov-20 
Forecast</v>
      </c>
      <c r="G2" s="175"/>
      <c r="H2" s="175" t="str">
        <f ca="1">CONCATENATE(#REF!," 
Forecast")</f>
        <v>Dec-20 
Forecast</v>
      </c>
      <c r="I2" s="175"/>
      <c r="J2" s="175" t="str">
        <f ca="1">CONCATENATE("Qtr 1 ",#REF!," 
Actual")</f>
        <v>Qtr 1 2020 
Actual</v>
      </c>
      <c r="K2" s="175"/>
      <c r="L2" s="175" t="str">
        <f ca="1">CONCATENATE("Qtr 2 ",#REF!," 
Actual")</f>
        <v>Qtr 2 2020 
Actual</v>
      </c>
      <c r="M2" s="175"/>
      <c r="N2" s="175" t="str">
        <f ca="1">CONCATENATE("Qtr 3 ",#REF!," 
Actual")</f>
        <v>Qtr 3 2020 
Actual</v>
      </c>
      <c r="O2" s="175"/>
      <c r="P2" s="175" t="str">
        <f ca="1">CONCATENATE("Qtr 4 ",#REF!," 
Forecast")</f>
        <v>Qtr 4 2020 
Forecast</v>
      </c>
      <c r="Q2" s="175"/>
      <c r="R2" s="175" t="str">
        <f ca="1">CONCATENATE(#REF!," 
Forecast")</f>
        <v>2020 
Forecast</v>
      </c>
      <c r="S2" s="175"/>
    </row>
    <row r="3" spans="1:19" ht="16" x14ac:dyDescent="0.5">
      <c r="A3" s="111"/>
      <c r="B3" s="112" t="s">
        <v>0</v>
      </c>
      <c r="C3" s="113" t="s">
        <v>61</v>
      </c>
      <c r="D3" s="112" t="s">
        <v>0</v>
      </c>
      <c r="E3" s="113" t="s">
        <v>61</v>
      </c>
      <c r="F3" s="112" t="s">
        <v>0</v>
      </c>
      <c r="G3" s="113" t="s">
        <v>61</v>
      </c>
      <c r="H3" s="112" t="s">
        <v>0</v>
      </c>
      <c r="I3" s="113" t="s">
        <v>61</v>
      </c>
      <c r="J3" s="112" t="s">
        <v>0</v>
      </c>
      <c r="K3" s="113" t="s">
        <v>61</v>
      </c>
      <c r="L3" s="112" t="s">
        <v>0</v>
      </c>
      <c r="M3" s="113" t="s">
        <v>61</v>
      </c>
      <c r="N3" s="112" t="s">
        <v>0</v>
      </c>
      <c r="O3" s="113" t="s">
        <v>61</v>
      </c>
      <c r="P3" s="112" t="s">
        <v>0</v>
      </c>
      <c r="Q3" s="113" t="s">
        <v>61</v>
      </c>
      <c r="R3" s="112" t="s">
        <v>0</v>
      </c>
      <c r="S3" s="113" t="s">
        <v>61</v>
      </c>
    </row>
    <row r="4" spans="1:19" x14ac:dyDescent="0.35">
      <c r="A4" s="11" t="s">
        <v>7</v>
      </c>
      <c r="B4" s="129">
        <f ca="1">_xll.DBGET(#REF!,#REF!,#REF!,#REF!,#REF!,#REF!,$A4,#REF!,#REF!,#REF!,#REF!)</f>
        <v>9641373.2300000004</v>
      </c>
      <c r="C4" s="130">
        <f ca="1">_xll.DBGET(#REF!,#REF!,#REF!,#REF!,#REF!,#REF!,$A4,#REF!,#REF!,#REF!,#REF!)</f>
        <v>160.02234809652001</v>
      </c>
      <c r="D4" s="129">
        <f ca="1">_xll.DBGET(#REF!,#REF!,#REF!,#REF!,#REF!,#REF!,$A4,#REF!,#REF!,#REF!,#REF!)</f>
        <v>1170224.1969999999</v>
      </c>
      <c r="E4" s="130">
        <f ca="1">_xll.DBGET(#REF!,#REF!,#REF!,#REF!,#REF!,#REF!,$A4,#REF!,#REF!,#REF!,#REF!)</f>
        <v>149.60894199558001</v>
      </c>
      <c r="F4" s="129">
        <f ca="1">_xll.DBGET(#REF!,#REF!,#REF!,#REF!,#REF!,#REF!,$A4,#REF!,#REF!,#REF!,#REF!)</f>
        <v>1113477</v>
      </c>
      <c r="G4" s="130">
        <f ca="1">_xll.DBGET(#REF!,#REF!,#REF!,#REF!,#REF!,#REF!,$A4,#REF!,#REF!,#REF!,#REF!)</f>
        <v>151.42157397304999</v>
      </c>
      <c r="H4" s="129">
        <f ca="1">_xll.DBGET(#REF!,#REF!,#REF!,#REF!,#REF!,#REF!,$A4,#REF!,#REF!,#REF!,#REF!)</f>
        <v>736659</v>
      </c>
      <c r="I4" s="130">
        <f ca="1">_xll.DBGET(#REF!,#REF!,#REF!,#REF!,#REF!,#REF!,$A4,#REF!,#REF!,#REF!,#REF!)</f>
        <v>150.26237542849</v>
      </c>
      <c r="J4" s="129">
        <f ca="1">_xll.DBGET(#REF!,#REF!,#REF!,#REF!,#REF!,#REF!,$A4,#REF!,#REF!,#REF!,#REF!)</f>
        <v>0</v>
      </c>
      <c r="K4" s="130">
        <f ca="1">_xll.DBGET(#REF!,#REF!,#REF!,#REF!,#REF!,#REF!,$A4,#REF!,#REF!,#REF!,#REF!)</f>
        <v>0</v>
      </c>
      <c r="L4" s="129">
        <f ca="1">_xll.DBGET(#REF!,#REF!,#REF!,#REF!,#REF!,#REF!,$A4,#REF!,#REF!,#REF!,#REF!)</f>
        <v>0</v>
      </c>
      <c r="M4" s="130">
        <f ca="1">IFERROR((_xll.DBGET(#REF!,#REF!,#REF!,#REF!,#REF!,#REF!,$A4,#REF!,#REF!,#REF!,#REF!))/L4,0)</f>
        <v>0</v>
      </c>
      <c r="N4" s="129">
        <f ca="1">_xll.DBGET(#REF!,#REF!,#REF!,#REF!,#REF!,#REF!,$A4,#REF!,#REF!,#REF!,#REF!)</f>
        <v>0</v>
      </c>
      <c r="O4" s="130">
        <f ca="1">IFERROR((_xll.DBGET(#REF!,#REF!,#REF!,#REF!,#REF!,#REF!,$A4,#REF!,#REF!,#REF!,#REF!))/N4,0)</f>
        <v>0</v>
      </c>
      <c r="P4" s="129">
        <f ca="1">_xll.DBGET(#REF!,#REF!,#REF!,#REF!,#REF!,#REF!,$A4,#REF!,#REF!,#REF!,#REF!)</f>
        <v>0</v>
      </c>
      <c r="Q4" s="130">
        <f ca="1">IFERROR((_xll.DBGET(#REF!,#REF!,#REF!,#REF!,#REF!,#REF!,$A4,#REF!,#REF!,#REF!,#REF!))/P4,0)</f>
        <v>0</v>
      </c>
      <c r="R4" s="129">
        <f ca="1">_xll.DBGET(#REF!,#REF!,#REF!,#REF!,#REF!,#REF!,$A4,#REF!,#REF!,#REF!,#REF!)</f>
        <v>0</v>
      </c>
      <c r="S4" s="130">
        <f ca="1">_xll.DBGET(#REF!,#REF!,#REF!,#REF!,#REF!,#REF!,$A4,#REF!,#REF!,#REF!,#REF!)</f>
        <v>0</v>
      </c>
    </row>
    <row r="5" spans="1:19" x14ac:dyDescent="0.35">
      <c r="A5" s="13" t="s">
        <v>8</v>
      </c>
      <c r="B5" s="124">
        <f ca="1">_xll.DBGET(#REF!,#REF!,#REF!,#REF!,#REF!,#REF!,$A5,#REF!,#REF!,#REF!,#REF!)</f>
        <v>4412744.05</v>
      </c>
      <c r="C5" s="125">
        <f ca="1">_xll.DBGET(#REF!,#REF!,#REF!,#REF!,#REF!,#REF!,$A5,#REF!,#REF!,#REF!,#REF!)</f>
        <v>156.35500573458</v>
      </c>
      <c r="D5" s="124">
        <f ca="1">_xll.DBGET(#REF!,#REF!,#REF!,#REF!,#REF!,#REF!,$A5,#REF!,#REF!,#REF!,#REF!)</f>
        <v>549616</v>
      </c>
      <c r="E5" s="125">
        <f ca="1">_xll.DBGET(#REF!,#REF!,#REF!,#REF!,#REF!,#REF!,$A5,#REF!,#REF!,#REF!,#REF!)</f>
        <v>143.30022687365999</v>
      </c>
      <c r="F5" s="124">
        <f ca="1">_xll.DBGET(#REF!,#REF!,#REF!,#REF!,#REF!,#REF!,$A5,#REF!,#REF!,#REF!,#REF!)</f>
        <v>520207</v>
      </c>
      <c r="G5" s="125">
        <f ca="1">_xll.DBGET(#REF!,#REF!,#REF!,#REF!,#REF!,#REF!,$A5,#REF!,#REF!,#REF!,#REF!)</f>
        <v>141.45012207011999</v>
      </c>
      <c r="H5" s="124">
        <f ca="1">_xll.DBGET(#REF!,#REF!,#REF!,#REF!,#REF!,#REF!,$A5,#REF!,#REF!,#REF!,#REF!)</f>
        <v>322907</v>
      </c>
      <c r="I5" s="125">
        <f ca="1">_xll.DBGET(#REF!,#REF!,#REF!,#REF!,#REF!,#REF!,$A5,#REF!,#REF!,#REF!,#REF!)</f>
        <v>138.18564683971999</v>
      </c>
      <c r="J5" s="124">
        <f ca="1">_xll.DBGET(#REF!,#REF!,#REF!,#REF!,#REF!,#REF!,$A5,#REF!,#REF!,#REF!,#REF!)</f>
        <v>0</v>
      </c>
      <c r="K5" s="125">
        <f ca="1">_xll.DBGET(#REF!,#REF!,#REF!,#REF!,#REF!,#REF!,$A5,#REF!,#REF!,#REF!,#REF!)</f>
        <v>0</v>
      </c>
      <c r="L5" s="124">
        <f ca="1">_xll.DBGET(#REF!,#REF!,#REF!,#REF!,#REF!,#REF!,$A5,#REF!,#REF!,#REF!,#REF!)</f>
        <v>0</v>
      </c>
      <c r="M5" s="125">
        <f ca="1">IFERROR((_xll.DBGET(#REF!,#REF!,#REF!,#REF!,#REF!,#REF!,$A5,#REF!,#REF!,#REF!,#REF!))/L5,0)</f>
        <v>0</v>
      </c>
      <c r="N5" s="124">
        <f ca="1">_xll.DBGET(#REF!,#REF!,#REF!,#REF!,#REF!,#REF!,$A5,#REF!,#REF!,#REF!,#REF!)</f>
        <v>0</v>
      </c>
      <c r="O5" s="125">
        <f ca="1">IFERROR((_xll.DBGET(#REF!,#REF!,#REF!,#REF!,#REF!,#REF!,$A5,#REF!,#REF!,#REF!,#REF!))/N5,0)</f>
        <v>0</v>
      </c>
      <c r="P5" s="124">
        <f ca="1">_xll.DBGET(#REF!,#REF!,#REF!,#REF!,#REF!,#REF!,$A5,#REF!,#REF!,#REF!,#REF!)</f>
        <v>0</v>
      </c>
      <c r="Q5" s="125">
        <f ca="1">IFERROR((_xll.DBGET(#REF!,#REF!,#REF!,#REF!,#REF!,#REF!,$A5,#REF!,#REF!,#REF!,#REF!))/P5,0)</f>
        <v>0</v>
      </c>
      <c r="R5" s="124">
        <f ca="1">_xll.DBGET(#REF!,#REF!,#REF!,#REF!,#REF!,#REF!,$A5,#REF!,#REF!,#REF!,#REF!)</f>
        <v>0</v>
      </c>
      <c r="S5" s="125">
        <f ca="1">_xll.DBGET(#REF!,#REF!,#REF!,#REF!,#REF!,#REF!,$A5,#REF!,#REF!,#REF!,#REF!)</f>
        <v>0</v>
      </c>
    </row>
    <row r="6" spans="1:19" hidden="1" outlineLevel="1" x14ac:dyDescent="0.35">
      <c r="A6" s="77" t="s">
        <v>36</v>
      </c>
      <c r="B6" s="131">
        <f ca="1">_xll.DBGET(#REF!,#REF!,#REF!,#REF!,#REF!,#REF!,$A6,#REF!,#REF!,#REF!,#REF!)</f>
        <v>0</v>
      </c>
      <c r="C6" s="132">
        <f ca="1">_xll.DBGET(#REF!,#REF!,#REF!,#REF!,#REF!,#REF!,$A6,#REF!,#REF!,#REF!,#REF!)</f>
        <v>0</v>
      </c>
      <c r="D6" s="131">
        <f ca="1">_xll.DBGET(#REF!,#REF!,#REF!,#REF!,#REF!,#REF!,$A6,#REF!,#REF!,#REF!,#REF!)</f>
        <v>0</v>
      </c>
      <c r="E6" s="132">
        <f ca="1">_xll.DBGET(#REF!,#REF!,#REF!,#REF!,#REF!,#REF!,$A6,#REF!,#REF!,#REF!,#REF!)</f>
        <v>0</v>
      </c>
      <c r="F6" s="131">
        <f ca="1">_xll.DBGET(#REF!,#REF!,#REF!,#REF!,#REF!,#REF!,$A6,#REF!,#REF!,#REF!,#REF!)</f>
        <v>0</v>
      </c>
      <c r="G6" s="132">
        <f ca="1">_xll.DBGET(#REF!,#REF!,#REF!,#REF!,#REF!,#REF!,$A6,#REF!,#REF!,#REF!,#REF!)</f>
        <v>0</v>
      </c>
      <c r="H6" s="131">
        <f ca="1">_xll.DBGET(#REF!,#REF!,#REF!,#REF!,#REF!,#REF!,$A6,#REF!,#REF!,#REF!,#REF!)</f>
        <v>0</v>
      </c>
      <c r="I6" s="132">
        <f ca="1">_xll.DBGET(#REF!,#REF!,#REF!,#REF!,#REF!,#REF!,$A6,#REF!,#REF!,#REF!,#REF!)</f>
        <v>0</v>
      </c>
      <c r="J6" s="131">
        <f ca="1">_xll.DBGET(#REF!,#REF!,#REF!,#REF!,#REF!,#REF!,$A6,#REF!,#REF!,#REF!,#REF!)</f>
        <v>0</v>
      </c>
      <c r="K6" s="132">
        <f ca="1">_xll.DBGET(#REF!,#REF!,#REF!,#REF!,#REF!,#REF!,$A6,#REF!,#REF!,#REF!,#REF!)</f>
        <v>0</v>
      </c>
      <c r="L6" s="131">
        <f ca="1">_xll.DBGET(#REF!,#REF!,#REF!,#REF!,#REF!,#REF!,$A6,#REF!,#REF!,#REF!,#REF!)-J6</f>
        <v>0</v>
      </c>
      <c r="M6" s="132">
        <f ca="1">IFERROR((_xll.DBGET(#REF!,#REF!,#REF!,#REF!,#REF!,#REF!,$A6,#REF!,#REF!,#REF!,#REF!)-(J6*K6))/L6,0)</f>
        <v>0</v>
      </c>
      <c r="N6" s="131">
        <f ca="1">_xll.DBGET(#REF!,#REF!,#REF!,#REF!,#REF!,#REF!,$A6,#REF!,#REF!,#REF!,#REF!)-J6-L6</f>
        <v>0</v>
      </c>
      <c r="O6" s="132">
        <f ca="1">IFERROR((_xll.DBGET(#REF!,#REF!,#REF!,#REF!,#REF!,#REF!,$A6,#REF!,#REF!,#REF!,#REF!)-(J6*K6)-(L6*M6))/N6,0)</f>
        <v>0</v>
      </c>
      <c r="P6" s="131">
        <f ca="1">_xll.DBGET(#REF!,#REF!,#REF!,#REF!,#REF!,#REF!,$A6,#REF!,#REF!,#REF!,#REF!)-J6-L6-N6</f>
        <v>0</v>
      </c>
      <c r="Q6" s="132">
        <f ca="1">IFERROR((_xll.DBGET(#REF!,#REF!,#REF!,#REF!,#REF!,#REF!,$A6,#REF!,#REF!,#REF!,#REF!)-(J6*K6)-(L6*M6)-(N6*O6))/P6,0)</f>
        <v>0</v>
      </c>
      <c r="R6" s="131">
        <f ca="1">_xll.DBGET(#REF!,#REF!,#REF!,#REF!,#REF!,#REF!,$A6,#REF!,#REF!,#REF!,#REF!)</f>
        <v>0</v>
      </c>
      <c r="S6" s="132">
        <f ca="1">_xll.DBGET(#REF!,#REF!,#REF!,#REF!,#REF!,#REF!,$A6,#REF!,#REF!,#REF!,#REF!)</f>
        <v>0</v>
      </c>
    </row>
    <row r="7" spans="1:19" hidden="1" outlineLevel="1" x14ac:dyDescent="0.35">
      <c r="A7" s="77" t="s">
        <v>37</v>
      </c>
      <c r="B7" s="131">
        <f ca="1">_xll.DBGET(#REF!,#REF!,#REF!,#REF!,#REF!,#REF!,$A7,#REF!,#REF!,#REF!,#REF!)</f>
        <v>0</v>
      </c>
      <c r="C7" s="132">
        <f ca="1">_xll.DBGET(#REF!,#REF!,#REF!,#REF!,#REF!,#REF!,$A7,#REF!,#REF!,#REF!,#REF!)</f>
        <v>0</v>
      </c>
      <c r="D7" s="131">
        <f ca="1">_xll.DBGET(#REF!,#REF!,#REF!,#REF!,#REF!,#REF!,$A7,#REF!,#REF!,#REF!,#REF!)</f>
        <v>0</v>
      </c>
      <c r="E7" s="132">
        <f ca="1">_xll.DBGET(#REF!,#REF!,#REF!,#REF!,#REF!,#REF!,$A7,#REF!,#REF!,#REF!,#REF!)</f>
        <v>0</v>
      </c>
      <c r="F7" s="131">
        <f ca="1">_xll.DBGET(#REF!,#REF!,#REF!,#REF!,#REF!,#REF!,$A7,#REF!,#REF!,#REF!,#REF!)</f>
        <v>0</v>
      </c>
      <c r="G7" s="132">
        <f ca="1">_xll.DBGET(#REF!,#REF!,#REF!,#REF!,#REF!,#REF!,$A7,#REF!,#REF!,#REF!,#REF!)</f>
        <v>0</v>
      </c>
      <c r="H7" s="131">
        <f ca="1">_xll.DBGET(#REF!,#REF!,#REF!,#REF!,#REF!,#REF!,$A7,#REF!,#REF!,#REF!,#REF!)</f>
        <v>0</v>
      </c>
      <c r="I7" s="132">
        <f ca="1">_xll.DBGET(#REF!,#REF!,#REF!,#REF!,#REF!,#REF!,$A7,#REF!,#REF!,#REF!,#REF!)</f>
        <v>0</v>
      </c>
      <c r="J7" s="131">
        <f ca="1">_xll.DBGET(#REF!,#REF!,#REF!,#REF!,#REF!,#REF!,$A7,#REF!,#REF!,#REF!,#REF!)</f>
        <v>0</v>
      </c>
      <c r="K7" s="132">
        <f ca="1">_xll.DBGET(#REF!,#REF!,#REF!,#REF!,#REF!,#REF!,$A7,#REF!,#REF!,#REF!,#REF!)</f>
        <v>0</v>
      </c>
      <c r="L7" s="131">
        <f ca="1">_xll.DBGET(#REF!,#REF!,#REF!,#REF!,#REF!,#REF!,$A7,#REF!,#REF!,#REF!,#REF!)</f>
        <v>0</v>
      </c>
      <c r="M7" s="132">
        <f ca="1">IFERROR((_xll.DBGET(#REF!,#REF!,#REF!,#REF!,#REF!,#REF!,$A7,#REF!,#REF!,#REF!,#REF!))/L7,0)</f>
        <v>0</v>
      </c>
      <c r="N7" s="131">
        <f ca="1">_xll.DBGET(#REF!,#REF!,#REF!,#REF!,#REF!,#REF!,$A7,#REF!,#REF!,#REF!,#REF!)</f>
        <v>0</v>
      </c>
      <c r="O7" s="132">
        <f ca="1">IFERROR((_xll.DBGET(#REF!,#REF!,#REF!,#REF!,#REF!,#REF!,$A7,#REF!,#REF!,#REF!,#REF!))/N7,0)</f>
        <v>0</v>
      </c>
      <c r="P7" s="131">
        <f ca="1">_xll.DBGET(#REF!,#REF!,#REF!,#REF!,#REF!,#REF!,$A7,#REF!,#REF!,#REF!,#REF!)</f>
        <v>0</v>
      </c>
      <c r="Q7" s="132">
        <f ca="1">IFERROR((_xll.DBGET(#REF!,#REF!,#REF!,#REF!,#REF!,#REF!,$A7,#REF!,#REF!,#REF!,#REF!))/P7,0)</f>
        <v>0</v>
      </c>
      <c r="R7" s="131">
        <f ca="1">_xll.DBGET(#REF!,#REF!,#REF!,#REF!,#REF!,#REF!,$A7,#REF!,#REF!,#REF!,#REF!)</f>
        <v>0</v>
      </c>
      <c r="S7" s="132">
        <f ca="1">_xll.DBGET(#REF!,#REF!,#REF!,#REF!,#REF!,#REF!,$A7,#REF!,#REF!,#REF!,#REF!)</f>
        <v>0</v>
      </c>
    </row>
    <row r="8" spans="1:19" hidden="1" outlineLevel="1" x14ac:dyDescent="0.35">
      <c r="A8" s="77" t="s">
        <v>38</v>
      </c>
      <c r="B8" s="131">
        <f ca="1">_xll.DBGET(#REF!,#REF!,#REF!,#REF!,#REF!,#REF!,$A8,#REF!,#REF!,#REF!,#REF!)</f>
        <v>0</v>
      </c>
      <c r="C8" s="132">
        <f ca="1">_xll.DBGET(#REF!,#REF!,#REF!,#REF!,#REF!,#REF!,$A8,#REF!,#REF!,#REF!,#REF!)</f>
        <v>0</v>
      </c>
      <c r="D8" s="131">
        <f ca="1">_xll.DBGET(#REF!,#REF!,#REF!,#REF!,#REF!,#REF!,$A8,#REF!,#REF!,#REF!,#REF!)</f>
        <v>0</v>
      </c>
      <c r="E8" s="132">
        <f ca="1">_xll.DBGET(#REF!,#REF!,#REF!,#REF!,#REF!,#REF!,$A8,#REF!,#REF!,#REF!,#REF!)</f>
        <v>0</v>
      </c>
      <c r="F8" s="131">
        <f ca="1">_xll.DBGET(#REF!,#REF!,#REF!,#REF!,#REF!,#REF!,$A8,#REF!,#REF!,#REF!,#REF!)</f>
        <v>0</v>
      </c>
      <c r="G8" s="132">
        <f ca="1">_xll.DBGET(#REF!,#REF!,#REF!,#REF!,#REF!,#REF!,$A8,#REF!,#REF!,#REF!,#REF!)</f>
        <v>0</v>
      </c>
      <c r="H8" s="131">
        <f ca="1">_xll.DBGET(#REF!,#REF!,#REF!,#REF!,#REF!,#REF!,$A8,#REF!,#REF!,#REF!,#REF!)</f>
        <v>0</v>
      </c>
      <c r="I8" s="132">
        <f ca="1">_xll.DBGET(#REF!,#REF!,#REF!,#REF!,#REF!,#REF!,$A8,#REF!,#REF!,#REF!,#REF!)</f>
        <v>0</v>
      </c>
      <c r="J8" s="131">
        <f ca="1">_xll.DBGET(#REF!,#REF!,#REF!,#REF!,#REF!,#REF!,$A8,#REF!,#REF!,#REF!,#REF!)</f>
        <v>0</v>
      </c>
      <c r="K8" s="132">
        <f ca="1">_xll.DBGET(#REF!,#REF!,#REF!,#REF!,#REF!,#REF!,$A8,#REF!,#REF!,#REF!,#REF!)</f>
        <v>0</v>
      </c>
      <c r="L8" s="131">
        <f ca="1">_xll.DBGET(#REF!,#REF!,#REF!,#REF!,#REF!,#REF!,$A8,#REF!,#REF!,#REF!,#REF!)-J8</f>
        <v>0</v>
      </c>
      <c r="M8" s="132">
        <f ca="1">IFERROR((_xll.DBGET(#REF!,#REF!,#REF!,#REF!,#REF!,#REF!,$A8,#REF!,#REF!,#REF!,#REF!)-(J8*K8))/L8,0)</f>
        <v>0</v>
      </c>
      <c r="N8" s="131">
        <f ca="1">_xll.DBGET(#REF!,#REF!,#REF!,#REF!,#REF!,#REF!,$A8,#REF!,#REF!,#REF!,#REF!)-J8-L8</f>
        <v>0</v>
      </c>
      <c r="O8" s="132">
        <f ca="1">IFERROR((_xll.DBGET(#REF!,#REF!,#REF!,#REF!,#REF!,#REF!,$A8,#REF!,#REF!,#REF!,#REF!)-(J8*K8)-(L8*M8))/N8,0)</f>
        <v>0</v>
      </c>
      <c r="P8" s="131">
        <f ca="1">_xll.DBGET(#REF!,#REF!,#REF!,#REF!,#REF!,#REF!,$A8,#REF!,#REF!,#REF!,#REF!)-J8-L8-N8</f>
        <v>0</v>
      </c>
      <c r="Q8" s="132">
        <f ca="1">IFERROR((_xll.DBGET(#REF!,#REF!,#REF!,#REF!,#REF!,#REF!,$A8,#REF!,#REF!,#REF!,#REF!)-(J8*K8)-(L8*M8)-(N8*O8))/P8,0)</f>
        <v>0</v>
      </c>
      <c r="R8" s="131">
        <f ca="1">_xll.DBGET(#REF!,#REF!,#REF!,#REF!,#REF!,#REF!,$A8,#REF!,#REF!,#REF!,#REF!)</f>
        <v>0</v>
      </c>
      <c r="S8" s="132">
        <f ca="1">_xll.DBGET(#REF!,#REF!,#REF!,#REF!,#REF!,#REF!,$A8,#REF!,#REF!,#REF!,#REF!)</f>
        <v>0</v>
      </c>
    </row>
    <row r="9" spans="1:19" hidden="1" outlineLevel="1" x14ac:dyDescent="0.35">
      <c r="A9" s="77" t="s">
        <v>39</v>
      </c>
      <c r="B9" s="131">
        <f ca="1">_xll.DBGET(#REF!,#REF!,#REF!,#REF!,#REF!,#REF!,$A9,#REF!,#REF!,#REF!,#REF!)</f>
        <v>0</v>
      </c>
      <c r="C9" s="132">
        <f ca="1">_xll.DBGET(#REF!,#REF!,#REF!,#REF!,#REF!,#REF!,$A9,#REF!,#REF!,#REF!,#REF!)</f>
        <v>0</v>
      </c>
      <c r="D9" s="131">
        <f ca="1">_xll.DBGET(#REF!,#REF!,#REF!,#REF!,#REF!,#REF!,$A9,#REF!,#REF!,#REF!,#REF!)</f>
        <v>0</v>
      </c>
      <c r="E9" s="132">
        <f ca="1">_xll.DBGET(#REF!,#REF!,#REF!,#REF!,#REF!,#REF!,$A9,#REF!,#REF!,#REF!,#REF!)</f>
        <v>0</v>
      </c>
      <c r="F9" s="131">
        <f ca="1">_xll.DBGET(#REF!,#REF!,#REF!,#REF!,#REF!,#REF!,$A9,#REF!,#REF!,#REF!,#REF!)</f>
        <v>0</v>
      </c>
      <c r="G9" s="132">
        <f ca="1">_xll.DBGET(#REF!,#REF!,#REF!,#REF!,#REF!,#REF!,$A9,#REF!,#REF!,#REF!,#REF!)</f>
        <v>0</v>
      </c>
      <c r="H9" s="131">
        <f ca="1">_xll.DBGET(#REF!,#REF!,#REF!,#REF!,#REF!,#REF!,$A9,#REF!,#REF!,#REF!,#REF!)</f>
        <v>0</v>
      </c>
      <c r="I9" s="132">
        <f ca="1">_xll.DBGET(#REF!,#REF!,#REF!,#REF!,#REF!,#REF!,$A9,#REF!,#REF!,#REF!,#REF!)</f>
        <v>0</v>
      </c>
      <c r="J9" s="131">
        <f ca="1">_xll.DBGET(#REF!,#REF!,#REF!,#REF!,#REF!,#REF!,$A9,#REF!,#REF!,#REF!,#REF!)</f>
        <v>0</v>
      </c>
      <c r="K9" s="132">
        <f ca="1">_xll.DBGET(#REF!,#REF!,#REF!,#REF!,#REF!,#REF!,$A9,#REF!,#REF!,#REF!,#REF!)</f>
        <v>0</v>
      </c>
      <c r="L9" s="131">
        <f ca="1">_xll.DBGET(#REF!,#REF!,#REF!,#REF!,#REF!,#REF!,$A9,#REF!,#REF!,#REF!,#REF!)-J9</f>
        <v>0</v>
      </c>
      <c r="M9" s="132">
        <f ca="1">IFERROR((_xll.DBGET(#REF!,#REF!,#REF!,#REF!,#REF!,#REF!,$A9,#REF!,#REF!,#REF!,#REF!)-(J9*K9))/L9,0)</f>
        <v>0</v>
      </c>
      <c r="N9" s="131">
        <f ca="1">_xll.DBGET(#REF!,#REF!,#REF!,#REF!,#REF!,#REF!,$A9,#REF!,#REF!,#REF!,#REF!)-J9-L9</f>
        <v>0</v>
      </c>
      <c r="O9" s="132">
        <f ca="1">IFERROR((_xll.DBGET(#REF!,#REF!,#REF!,#REF!,#REF!,#REF!,$A9,#REF!,#REF!,#REF!,#REF!)-(J9*K9)-(L9*M9))/N9,0)</f>
        <v>0</v>
      </c>
      <c r="P9" s="131">
        <f ca="1">_xll.DBGET(#REF!,#REF!,#REF!,#REF!,#REF!,#REF!,$A9,#REF!,#REF!,#REF!,#REF!)-J9-L9-N9</f>
        <v>0</v>
      </c>
      <c r="Q9" s="132">
        <f ca="1">IFERROR((_xll.DBGET(#REF!,#REF!,#REF!,#REF!,#REF!,#REF!,$A9,#REF!,#REF!,#REF!,#REF!)-(J9*K9)-(L9*M9)-(N9*O9))/P9,0)</f>
        <v>0</v>
      </c>
      <c r="R9" s="131">
        <f ca="1">_xll.DBGET(#REF!,#REF!,#REF!,#REF!,#REF!,#REF!,$A9,#REF!,#REF!,#REF!,#REF!)</f>
        <v>0</v>
      </c>
      <c r="S9" s="132">
        <f ca="1">_xll.DBGET(#REF!,#REF!,#REF!,#REF!,#REF!,#REF!,$A9,#REF!,#REF!,#REF!,#REF!)</f>
        <v>0</v>
      </c>
    </row>
    <row r="10" spans="1:19" collapsed="1" x14ac:dyDescent="0.35">
      <c r="A10" s="77" t="s">
        <v>40</v>
      </c>
      <c r="B10" s="131">
        <f ca="1">_xll.DBGET(#REF!,#REF!,#REF!,#REF!,#REF!,#REF!,$A10,#REF!,#REF!,#REF!,#REF!)</f>
        <v>0</v>
      </c>
      <c r="C10" s="132">
        <f ca="1">_xll.DBGET(#REF!,#REF!,#REF!,#REF!,#REF!,#REF!,$A10,#REF!,#REF!,#REF!,#REF!)</f>
        <v>0</v>
      </c>
      <c r="D10" s="131">
        <f ca="1">_xll.DBGET(#REF!,#REF!,#REF!,#REF!,#REF!,#REF!,$A10,#REF!,#REF!,#REF!,#REF!)</f>
        <v>0</v>
      </c>
      <c r="E10" s="132">
        <f ca="1">_xll.DBGET(#REF!,#REF!,#REF!,#REF!,#REF!,#REF!,$A10,#REF!,#REF!,#REF!,#REF!)</f>
        <v>0</v>
      </c>
      <c r="F10" s="131">
        <f ca="1">_xll.DBGET(#REF!,#REF!,#REF!,#REF!,#REF!,#REF!,$A10,#REF!,#REF!,#REF!,#REF!)</f>
        <v>87921</v>
      </c>
      <c r="G10" s="132">
        <f ca="1">_xll.DBGET(#REF!,#REF!,#REF!,#REF!,#REF!,#REF!,$A10,#REF!,#REF!,#REF!,#REF!)</f>
        <v>136.45675337310999</v>
      </c>
      <c r="H10" s="131">
        <f ca="1">_xll.DBGET(#REF!,#REF!,#REF!,#REF!,#REF!,#REF!,$A10,#REF!,#REF!,#REF!,#REF!)</f>
        <v>76193</v>
      </c>
      <c r="I10" s="132">
        <f ca="1">_xll.DBGET(#REF!,#REF!,#REF!,#REF!,#REF!,#REF!,$A10,#REF!,#REF!,#REF!,#REF!)</f>
        <v>129.23255258011</v>
      </c>
      <c r="J10" s="131">
        <f ca="1">_xll.DBGET(#REF!,#REF!,#REF!,#REF!,#REF!,#REF!,$A10,#REF!,#REF!,#REF!,#REF!)</f>
        <v>0</v>
      </c>
      <c r="K10" s="132">
        <f ca="1">_xll.DBGET(#REF!,#REF!,#REF!,#REF!,#REF!,#REF!,$A10,#REF!,#REF!,#REF!,#REF!)</f>
        <v>0</v>
      </c>
      <c r="L10" s="131">
        <f ca="1">_xll.DBGET(#REF!,#REF!,#REF!,#REF!,#REF!,#REF!,$A10,#REF!,#REF!,#REF!,#REF!)</f>
        <v>0</v>
      </c>
      <c r="M10" s="132">
        <f ca="1">IFERROR((_xll.DBGET(#REF!,#REF!,#REF!,#REF!,#REF!,#REF!,$A10,#REF!,#REF!,#REF!,#REF!))/L10,0)</f>
        <v>0</v>
      </c>
      <c r="N10" s="131">
        <f ca="1">_xll.DBGET(#REF!,#REF!,#REF!,#REF!,#REF!,#REF!,$A10,#REF!,#REF!,#REF!,#REF!)</f>
        <v>0</v>
      </c>
      <c r="O10" s="132">
        <f ca="1">IFERROR((_xll.DBGET(#REF!,#REF!,#REF!,#REF!,#REF!,#REF!,$A10,#REF!,#REF!,#REF!,#REF!))/N10,0)</f>
        <v>0</v>
      </c>
      <c r="P10" s="131">
        <f ca="1">_xll.DBGET(#REF!,#REF!,#REF!,#REF!,#REF!,#REF!,$A10,#REF!,#REF!,#REF!,#REF!)</f>
        <v>0</v>
      </c>
      <c r="Q10" s="132">
        <f ca="1">IFERROR((_xll.DBGET(#REF!,#REF!,#REF!,#REF!,#REF!,#REF!,$A10,#REF!,#REF!,#REF!,#REF!))/P10,0)</f>
        <v>0</v>
      </c>
      <c r="R10" s="131">
        <f ca="1">_xll.DBGET(#REF!,#REF!,#REF!,#REF!,#REF!,#REF!,$A10,#REF!,#REF!,#REF!,#REF!)</f>
        <v>0</v>
      </c>
      <c r="S10" s="132">
        <f ca="1">_xll.DBGET(#REF!,#REF!,#REF!,#REF!,#REF!,#REF!,$A10,#REF!,#REF!,#REF!,#REF!)</f>
        <v>0</v>
      </c>
    </row>
    <row r="11" spans="1:19" hidden="1" outlineLevel="1" x14ac:dyDescent="0.35">
      <c r="A11" s="77" t="s">
        <v>41</v>
      </c>
      <c r="B11" s="131">
        <f ca="1">_xll.DBGET(#REF!,#REF!,#REF!,#REF!,#REF!,#REF!,$A11,#REF!,#REF!,#REF!,#REF!)</f>
        <v>0</v>
      </c>
      <c r="C11" s="132">
        <f ca="1">_xll.DBGET(#REF!,#REF!,#REF!,#REF!,#REF!,#REF!,$A11,#REF!,#REF!,#REF!,#REF!)</f>
        <v>0</v>
      </c>
      <c r="D11" s="131">
        <f ca="1">_xll.DBGET(#REF!,#REF!,#REF!,#REF!,#REF!,#REF!,$A11,#REF!,#REF!,#REF!,#REF!)</f>
        <v>0</v>
      </c>
      <c r="E11" s="132">
        <f ca="1">_xll.DBGET(#REF!,#REF!,#REF!,#REF!,#REF!,#REF!,$A11,#REF!,#REF!,#REF!,#REF!)</f>
        <v>0</v>
      </c>
      <c r="F11" s="131">
        <f ca="1">_xll.DBGET(#REF!,#REF!,#REF!,#REF!,#REF!,#REF!,$A11,#REF!,#REF!,#REF!,#REF!)</f>
        <v>21028</v>
      </c>
      <c r="G11" s="132">
        <f ca="1">_xll.DBGET(#REF!,#REF!,#REF!,#REF!,#REF!,#REF!,$A11,#REF!,#REF!,#REF!,#REF!)</f>
        <v>134.17383907983</v>
      </c>
      <c r="H11" s="131">
        <f ca="1">_xll.DBGET(#REF!,#REF!,#REF!,#REF!,#REF!,#REF!,$A11,#REF!,#REF!,#REF!,#REF!)</f>
        <v>0</v>
      </c>
      <c r="I11" s="132">
        <f ca="1">_xll.DBGET(#REF!,#REF!,#REF!,#REF!,#REF!,#REF!,$A11,#REF!,#REF!,#REF!,#REF!)</f>
        <v>0</v>
      </c>
      <c r="J11" s="131">
        <f ca="1">_xll.DBGET(#REF!,#REF!,#REF!,#REF!,#REF!,#REF!,$A11,#REF!,#REF!,#REF!,#REF!)</f>
        <v>0</v>
      </c>
      <c r="K11" s="132">
        <f ca="1">_xll.DBGET(#REF!,#REF!,#REF!,#REF!,#REF!,#REF!,$A11,#REF!,#REF!,#REF!,#REF!)</f>
        <v>0</v>
      </c>
      <c r="L11" s="131">
        <f ca="1">_xll.DBGET(#REF!,#REF!,#REF!,#REF!,#REF!,#REF!,$A11,#REF!,#REF!,#REF!,#REF!)-J11</f>
        <v>0</v>
      </c>
      <c r="M11" s="132">
        <f ca="1">IFERROR((_xll.DBGET(#REF!,#REF!,#REF!,#REF!,#REF!,#REF!,$A11,#REF!,#REF!,#REF!,#REF!)-(J11*K11))/L11,0)</f>
        <v>0</v>
      </c>
      <c r="N11" s="131">
        <f ca="1">_xll.DBGET(#REF!,#REF!,#REF!,#REF!,#REF!,#REF!,$A11,#REF!,#REF!,#REF!,#REF!)-J11-L11</f>
        <v>0</v>
      </c>
      <c r="O11" s="132">
        <f ca="1">IFERROR((_xll.DBGET(#REF!,#REF!,#REF!,#REF!,#REF!,#REF!,$A11,#REF!,#REF!,#REF!,#REF!)-(J11*K11)-(L11*M11))/N11,0)</f>
        <v>0</v>
      </c>
      <c r="P11" s="131">
        <f ca="1">_xll.DBGET(#REF!,#REF!,#REF!,#REF!,#REF!,#REF!,$A11,#REF!,#REF!,#REF!,#REF!)-J11-L11-N11</f>
        <v>0</v>
      </c>
      <c r="Q11" s="132">
        <f ca="1">IFERROR((_xll.DBGET(#REF!,#REF!,#REF!,#REF!,#REF!,#REF!,$A11,#REF!,#REF!,#REF!,#REF!)-(J11*K11)-(L11*M11)-(N11*O11))/P11,0)</f>
        <v>0</v>
      </c>
      <c r="R11" s="131">
        <f ca="1">_xll.DBGET(#REF!,#REF!,#REF!,#REF!,#REF!,#REF!,$A11,#REF!,#REF!,#REF!,#REF!)</f>
        <v>0</v>
      </c>
      <c r="S11" s="132">
        <f ca="1">_xll.DBGET(#REF!,#REF!,#REF!,#REF!,#REF!,#REF!,$A11,#REF!,#REF!,#REF!,#REF!)</f>
        <v>0</v>
      </c>
    </row>
    <row r="12" spans="1:19" collapsed="1" x14ac:dyDescent="0.35">
      <c r="A12" s="77" t="s">
        <v>20</v>
      </c>
      <c r="B12" s="131">
        <f ca="1">_xll.DBGET(#REF!,#REF!,#REF!,#REF!,#REF!,#REF!,$A12,#REF!,#REF!,#REF!,#REF!)</f>
        <v>2846499.05</v>
      </c>
      <c r="C12" s="132">
        <f ca="1">_xll.DBGET(#REF!,#REF!,#REF!,#REF!,#REF!,#REF!,$A12,#REF!,#REF!,#REF!,#REF!)</f>
        <v>160.57220178572999</v>
      </c>
      <c r="D12" s="131">
        <f ca="1">_xll.DBGET(#REF!,#REF!,#REF!,#REF!,#REF!,#REF!,$A12,#REF!,#REF!,#REF!,#REF!)</f>
        <v>369615</v>
      </c>
      <c r="E12" s="132">
        <f ca="1">_xll.DBGET(#REF!,#REF!,#REF!,#REF!,#REF!,#REF!,$A12,#REF!,#REF!,#REF!,#REF!)</f>
        <v>142.19991888410999</v>
      </c>
      <c r="F12" s="131">
        <f ca="1">_xll.DBGET(#REF!,#REF!,#REF!,#REF!,#REF!,#REF!,$A12,#REF!,#REF!,#REF!,#REF!)</f>
        <v>232352</v>
      </c>
      <c r="G12" s="132">
        <f ca="1">_xll.DBGET(#REF!,#REF!,#REF!,#REF!,#REF!,#REF!,$A12,#REF!,#REF!,#REF!,#REF!)</f>
        <v>144.79695610352999</v>
      </c>
      <c r="H12" s="131">
        <f ca="1">_xll.DBGET(#REF!,#REF!,#REF!,#REF!,#REF!,#REF!,$A12,#REF!,#REF!,#REF!,#REF!)</f>
        <v>137097</v>
      </c>
      <c r="I12" s="132">
        <f ca="1">_xll.DBGET(#REF!,#REF!,#REF!,#REF!,#REF!,#REF!,$A12,#REF!,#REF!,#REF!,#REF!)</f>
        <v>144.38899540394999</v>
      </c>
      <c r="J12" s="131">
        <f ca="1">_xll.DBGET(#REF!,#REF!,#REF!,#REF!,#REF!,#REF!,$A12,#REF!,#REF!,#REF!,#REF!)</f>
        <v>0</v>
      </c>
      <c r="K12" s="132">
        <f ca="1">_xll.DBGET(#REF!,#REF!,#REF!,#REF!,#REF!,#REF!,$A12,#REF!,#REF!,#REF!,#REF!)</f>
        <v>0</v>
      </c>
      <c r="L12" s="131">
        <f ca="1">_xll.DBGET(#REF!,#REF!,#REF!,#REF!,#REF!,#REF!,$A12,#REF!,#REF!,#REF!,#REF!)</f>
        <v>0</v>
      </c>
      <c r="M12" s="132">
        <f ca="1">IFERROR((_xll.DBGET(#REF!,#REF!,#REF!,#REF!,#REF!,#REF!,$A12,#REF!,#REF!,#REF!,#REF!))/L12,0)</f>
        <v>0</v>
      </c>
      <c r="N12" s="131">
        <f ca="1">_xll.DBGET(#REF!,#REF!,#REF!,#REF!,#REF!,#REF!,$A12,#REF!,#REF!,#REF!,#REF!)</f>
        <v>0</v>
      </c>
      <c r="O12" s="132">
        <f ca="1">IFERROR((_xll.DBGET(#REF!,#REF!,#REF!,#REF!,#REF!,#REF!,$A12,#REF!,#REF!,#REF!,#REF!))/N12,0)</f>
        <v>0</v>
      </c>
      <c r="P12" s="131">
        <f ca="1">_xll.DBGET(#REF!,#REF!,#REF!,#REF!,#REF!,#REF!,$A12,#REF!,#REF!,#REF!,#REF!)</f>
        <v>0</v>
      </c>
      <c r="Q12" s="132">
        <f ca="1">IFERROR((_xll.DBGET(#REF!,#REF!,#REF!,#REF!,#REF!,#REF!,$A12,#REF!,#REF!,#REF!,#REF!))/P12,0)</f>
        <v>0</v>
      </c>
      <c r="R12" s="131">
        <f ca="1">_xll.DBGET(#REF!,#REF!,#REF!,#REF!,#REF!,#REF!,$A12,#REF!,#REF!,#REF!,#REF!)</f>
        <v>0</v>
      </c>
      <c r="S12" s="132">
        <f ca="1">_xll.DBGET(#REF!,#REF!,#REF!,#REF!,#REF!,#REF!,$A12,#REF!,#REF!,#REF!,#REF!)</f>
        <v>0</v>
      </c>
    </row>
    <row r="13" spans="1:19" x14ac:dyDescent="0.35">
      <c r="A13" s="77" t="s">
        <v>21</v>
      </c>
      <c r="B13" s="131">
        <f ca="1">_xll.DBGET(#REF!,#REF!,#REF!,#REF!,#REF!,#REF!,$A13,#REF!,#REF!,#REF!,#REF!)</f>
        <v>203975</v>
      </c>
      <c r="C13" s="132">
        <f ca="1">_xll.DBGET(#REF!,#REF!,#REF!,#REF!,#REF!,#REF!,$A13,#REF!,#REF!,#REF!,#REF!)</f>
        <v>138.86149927540001</v>
      </c>
      <c r="D13" s="131">
        <f ca="1">_xll.DBGET(#REF!,#REF!,#REF!,#REF!,#REF!,#REF!,$A13,#REF!,#REF!,#REF!,#REF!)</f>
        <v>10481</v>
      </c>
      <c r="E13" s="132">
        <f ca="1">_xll.DBGET(#REF!,#REF!,#REF!,#REF!,#REF!,#REF!,$A13,#REF!,#REF!,#REF!,#REF!)</f>
        <v>141.47129719826</v>
      </c>
      <c r="F13" s="131">
        <f ca="1">_xll.DBGET(#REF!,#REF!,#REF!,#REF!,#REF!,#REF!,$A13,#REF!,#REF!,#REF!,#REF!)</f>
        <v>19445</v>
      </c>
      <c r="G13" s="132">
        <f ca="1">_xll.DBGET(#REF!,#REF!,#REF!,#REF!,#REF!,#REF!,$A13,#REF!,#REF!,#REF!,#REF!)</f>
        <v>120.14586448347001</v>
      </c>
      <c r="H13" s="131">
        <f ca="1">_xll.DBGET(#REF!,#REF!,#REF!,#REF!,#REF!,#REF!,$A13,#REF!,#REF!,#REF!,#REF!)</f>
        <v>0</v>
      </c>
      <c r="I13" s="132">
        <f ca="1">_xll.DBGET(#REF!,#REF!,#REF!,#REF!,#REF!,#REF!,$A13,#REF!,#REF!,#REF!,#REF!)</f>
        <v>0</v>
      </c>
      <c r="J13" s="131">
        <f ca="1">_xll.DBGET(#REF!,#REF!,#REF!,#REF!,#REF!,#REF!,$A13,#REF!,#REF!,#REF!,#REF!)</f>
        <v>0</v>
      </c>
      <c r="K13" s="132">
        <f ca="1">_xll.DBGET(#REF!,#REF!,#REF!,#REF!,#REF!,#REF!,$A13,#REF!,#REF!,#REF!,#REF!)</f>
        <v>0</v>
      </c>
      <c r="L13" s="131">
        <f ca="1">_xll.DBGET(#REF!,#REF!,#REF!,#REF!,#REF!,#REF!,$A13,#REF!,#REF!,#REF!,#REF!)</f>
        <v>0</v>
      </c>
      <c r="M13" s="132">
        <f ca="1">IFERROR((_xll.DBGET(#REF!,#REF!,#REF!,#REF!,#REF!,#REF!,$A13,#REF!,#REF!,#REF!,#REF!))/L13,0)</f>
        <v>0</v>
      </c>
      <c r="N13" s="131">
        <f ca="1">_xll.DBGET(#REF!,#REF!,#REF!,#REF!,#REF!,#REF!,$A13,#REF!,#REF!,#REF!,#REF!)</f>
        <v>0</v>
      </c>
      <c r="O13" s="132">
        <f ca="1">IFERROR((_xll.DBGET(#REF!,#REF!,#REF!,#REF!,#REF!,#REF!,$A13,#REF!,#REF!,#REF!,#REF!))/N13,0)</f>
        <v>0</v>
      </c>
      <c r="P13" s="131">
        <f ca="1">_xll.DBGET(#REF!,#REF!,#REF!,#REF!,#REF!,#REF!,$A13,#REF!,#REF!,#REF!,#REF!)</f>
        <v>0</v>
      </c>
      <c r="Q13" s="132">
        <f ca="1">IFERROR((_xll.DBGET(#REF!,#REF!,#REF!,#REF!,#REF!,#REF!,$A13,#REF!,#REF!,#REF!,#REF!))/P13,0)</f>
        <v>0</v>
      </c>
      <c r="R13" s="131">
        <f ca="1">_xll.DBGET(#REF!,#REF!,#REF!,#REF!,#REF!,#REF!,$A13,#REF!,#REF!,#REF!,#REF!)</f>
        <v>0</v>
      </c>
      <c r="S13" s="132">
        <f ca="1">_xll.DBGET(#REF!,#REF!,#REF!,#REF!,#REF!,#REF!,$A13,#REF!,#REF!,#REF!,#REF!)</f>
        <v>0</v>
      </c>
    </row>
    <row r="14" spans="1:19" x14ac:dyDescent="0.35">
      <c r="A14" s="77" t="s">
        <v>22</v>
      </c>
      <c r="B14" s="131">
        <f ca="1">_xll.DBGET(#REF!,#REF!,#REF!,#REF!,#REF!,#REF!,$A14,#REF!,#REF!,#REF!,#REF!)</f>
        <v>304889</v>
      </c>
      <c r="C14" s="132">
        <f ca="1">_xll.DBGET(#REF!,#REF!,#REF!,#REF!,#REF!,#REF!,$A14,#REF!,#REF!,#REF!,#REF!)</f>
        <v>175.74345009429999</v>
      </c>
      <c r="D14" s="131">
        <f ca="1">_xll.DBGET(#REF!,#REF!,#REF!,#REF!,#REF!,#REF!,$A14,#REF!,#REF!,#REF!,#REF!)</f>
        <v>35207</v>
      </c>
      <c r="E14" s="132">
        <f ca="1">_xll.DBGET(#REF!,#REF!,#REF!,#REF!,#REF!,#REF!,$A14,#REF!,#REF!,#REF!,#REF!)</f>
        <v>153.03078880084001</v>
      </c>
      <c r="F14" s="131">
        <f ca="1">_xll.DBGET(#REF!,#REF!,#REF!,#REF!,#REF!,#REF!,$A14,#REF!,#REF!,#REF!,#REF!)</f>
        <v>34549</v>
      </c>
      <c r="G14" s="132">
        <f ca="1">_xll.DBGET(#REF!,#REF!,#REF!,#REF!,#REF!,#REF!,$A14,#REF!,#REF!,#REF!,#REF!)</f>
        <v>151.71748579659999</v>
      </c>
      <c r="H14" s="131">
        <f ca="1">_xll.DBGET(#REF!,#REF!,#REF!,#REF!,#REF!,#REF!,$A14,#REF!,#REF!,#REF!,#REF!)</f>
        <v>26868</v>
      </c>
      <c r="I14" s="132">
        <f ca="1">_xll.DBGET(#REF!,#REF!,#REF!,#REF!,#REF!,#REF!,$A14,#REF!,#REF!,#REF!,#REF!)</f>
        <v>143.70065135678001</v>
      </c>
      <c r="J14" s="131">
        <f ca="1">_xll.DBGET(#REF!,#REF!,#REF!,#REF!,#REF!,#REF!,$A14,#REF!,#REF!,#REF!,#REF!)</f>
        <v>0</v>
      </c>
      <c r="K14" s="132">
        <f ca="1">_xll.DBGET(#REF!,#REF!,#REF!,#REF!,#REF!,#REF!,$A14,#REF!,#REF!,#REF!,#REF!)</f>
        <v>0</v>
      </c>
      <c r="L14" s="131">
        <f ca="1">_xll.DBGET(#REF!,#REF!,#REF!,#REF!,#REF!,#REF!,$A14,#REF!,#REF!,#REF!,#REF!)</f>
        <v>0</v>
      </c>
      <c r="M14" s="132">
        <f ca="1">IFERROR((_xll.DBGET(#REF!,#REF!,#REF!,#REF!,#REF!,#REF!,$A14,#REF!,#REF!,#REF!,#REF!))/L14,0)</f>
        <v>0</v>
      </c>
      <c r="N14" s="131">
        <f ca="1">_xll.DBGET(#REF!,#REF!,#REF!,#REF!,#REF!,#REF!,$A14,#REF!,#REF!,#REF!,#REF!)</f>
        <v>0</v>
      </c>
      <c r="O14" s="132">
        <f ca="1">IFERROR((_xll.DBGET(#REF!,#REF!,#REF!,#REF!,#REF!,#REF!,$A14,#REF!,#REF!,#REF!,#REF!))/N14,0)</f>
        <v>0</v>
      </c>
      <c r="P14" s="131">
        <f ca="1">_xll.DBGET(#REF!,#REF!,#REF!,#REF!,#REF!,#REF!,$A14,#REF!,#REF!,#REF!,#REF!)</f>
        <v>0</v>
      </c>
      <c r="Q14" s="132">
        <f ca="1">IFERROR((_xll.DBGET(#REF!,#REF!,#REF!,#REF!,#REF!,#REF!,$A14,#REF!,#REF!,#REF!,#REF!))/P14,0)</f>
        <v>0</v>
      </c>
      <c r="R14" s="131">
        <f ca="1">_xll.DBGET(#REF!,#REF!,#REF!,#REF!,#REF!,#REF!,$A14,#REF!,#REF!,#REF!,#REF!)</f>
        <v>0</v>
      </c>
      <c r="S14" s="132">
        <f ca="1">_xll.DBGET(#REF!,#REF!,#REF!,#REF!,#REF!,#REF!,$A14,#REF!,#REF!,#REF!,#REF!)</f>
        <v>0</v>
      </c>
    </row>
    <row r="15" spans="1:19" x14ac:dyDescent="0.35">
      <c r="A15" s="77" t="s">
        <v>23</v>
      </c>
      <c r="B15" s="131">
        <f ca="1">_xll.DBGET(#REF!,#REF!,#REF!,#REF!,#REF!,#REF!,$A15,#REF!,#REF!,#REF!,#REF!)</f>
        <v>860598</v>
      </c>
      <c r="C15" s="132">
        <f ca="1">_xll.DBGET(#REF!,#REF!,#REF!,#REF!,#REF!,#REF!,$A15,#REF!,#REF!,#REF!,#REF!)</f>
        <v>138.28689552741</v>
      </c>
      <c r="D15" s="131">
        <f ca="1">_xll.DBGET(#REF!,#REF!,#REF!,#REF!,#REF!,#REF!,$A15,#REF!,#REF!,#REF!,#REF!)</f>
        <v>98545</v>
      </c>
      <c r="E15" s="132">
        <f ca="1">_xll.DBGET(#REF!,#REF!,#REF!,#REF!,#REF!,#REF!,$A15,#REF!,#REF!,#REF!,#REF!)</f>
        <v>142.32750077628</v>
      </c>
      <c r="F15" s="131">
        <f ca="1">_xll.DBGET(#REF!,#REF!,#REF!,#REF!,#REF!,#REF!,$A15,#REF!,#REF!,#REF!,#REF!)</f>
        <v>61958</v>
      </c>
      <c r="G15" s="132">
        <f ca="1">_xll.DBGET(#REF!,#REF!,#REF!,#REF!,#REF!,#REF!,$A15,#REF!,#REF!,#REF!,#REF!)</f>
        <v>134.97704147595999</v>
      </c>
      <c r="H15" s="131">
        <f ca="1">_xll.DBGET(#REF!,#REF!,#REF!,#REF!,#REF!,#REF!,$A15,#REF!,#REF!,#REF!,#REF!)</f>
        <v>62000</v>
      </c>
      <c r="I15" s="132">
        <f ca="1">_xll.DBGET(#REF!,#REF!,#REF!,#REF!,#REF!,#REF!,$A15,#REF!,#REF!,#REF!,#REF!)</f>
        <v>128.71721879108</v>
      </c>
      <c r="J15" s="131">
        <f ca="1">_xll.DBGET(#REF!,#REF!,#REF!,#REF!,#REF!,#REF!,$A15,#REF!,#REF!,#REF!,#REF!)</f>
        <v>0</v>
      </c>
      <c r="K15" s="132">
        <f ca="1">_xll.DBGET(#REF!,#REF!,#REF!,#REF!,#REF!,#REF!,$A15,#REF!,#REF!,#REF!,#REF!)</f>
        <v>0</v>
      </c>
      <c r="L15" s="131">
        <f ca="1">_xll.DBGET(#REF!,#REF!,#REF!,#REF!,#REF!,#REF!,$A15,#REF!,#REF!,#REF!,#REF!)</f>
        <v>0</v>
      </c>
      <c r="M15" s="132">
        <f ca="1">IFERROR((_xll.DBGET(#REF!,#REF!,#REF!,#REF!,#REF!,#REF!,$A15,#REF!,#REF!,#REF!,#REF!))/L15,0)</f>
        <v>0</v>
      </c>
      <c r="N15" s="131">
        <f ca="1">_xll.DBGET(#REF!,#REF!,#REF!,#REF!,#REF!,#REF!,$A15,#REF!,#REF!,#REF!,#REF!)</f>
        <v>0</v>
      </c>
      <c r="O15" s="132">
        <f ca="1">IFERROR((_xll.DBGET(#REF!,#REF!,#REF!,#REF!,#REF!,#REF!,$A15,#REF!,#REF!,#REF!,#REF!))/N15,0)</f>
        <v>0</v>
      </c>
      <c r="P15" s="131">
        <f ca="1">_xll.DBGET(#REF!,#REF!,#REF!,#REF!,#REF!,#REF!,$A15,#REF!,#REF!,#REF!,#REF!)</f>
        <v>0</v>
      </c>
      <c r="Q15" s="132">
        <f ca="1">IFERROR((_xll.DBGET(#REF!,#REF!,#REF!,#REF!,#REF!,#REF!,$A15,#REF!,#REF!,#REF!,#REF!))/P15,0)</f>
        <v>0</v>
      </c>
      <c r="R15" s="131">
        <f ca="1">_xll.DBGET(#REF!,#REF!,#REF!,#REF!,#REF!,#REF!,$A15,#REF!,#REF!,#REF!,#REF!)</f>
        <v>0</v>
      </c>
      <c r="S15" s="132">
        <f ca="1">_xll.DBGET(#REF!,#REF!,#REF!,#REF!,#REF!,#REF!,$A15,#REF!,#REF!,#REF!,#REF!)</f>
        <v>0</v>
      </c>
    </row>
    <row r="16" spans="1:19" x14ac:dyDescent="0.35">
      <c r="A16" s="77" t="s">
        <v>24</v>
      </c>
      <c r="B16" s="131">
        <f ca="1">_xll.DBGET(#REF!,#REF!,#REF!,#REF!,#REF!,#REF!,$A16,#REF!,#REF!,#REF!,#REF!)</f>
        <v>196783</v>
      </c>
      <c r="C16" s="132">
        <f ca="1">_xll.DBGET(#REF!,#REF!,#REF!,#REF!,#REF!,#REF!,$A16,#REF!,#REF!,#REF!,#REF!)</f>
        <v>162.46350861558</v>
      </c>
      <c r="D16" s="131">
        <f ca="1">_xll.DBGET(#REF!,#REF!,#REF!,#REF!,#REF!,#REF!,$A16,#REF!,#REF!,#REF!,#REF!)</f>
        <v>35768</v>
      </c>
      <c r="E16" s="132">
        <f ca="1">_xll.DBGET(#REF!,#REF!,#REF!,#REF!,#REF!,#REF!,$A16,#REF!,#REF!,#REF!,#REF!)</f>
        <v>148.30841153540001</v>
      </c>
      <c r="F16" s="131">
        <f ca="1">_xll.DBGET(#REF!,#REF!,#REF!,#REF!,#REF!,#REF!,$A16,#REF!,#REF!,#REF!,#REF!)</f>
        <v>62954</v>
      </c>
      <c r="G16" s="132">
        <f ca="1">_xll.DBGET(#REF!,#REF!,#REF!,#REF!,#REF!,#REF!,$A16,#REF!,#REF!,#REF!,#REF!)</f>
        <v>145.81803091529</v>
      </c>
      <c r="H16" s="131">
        <f ca="1">_xll.DBGET(#REF!,#REF!,#REF!,#REF!,#REF!,#REF!,$A16,#REF!,#REF!,#REF!,#REF!)</f>
        <v>20749</v>
      </c>
      <c r="I16" s="132">
        <f ca="1">_xll.DBGET(#REF!,#REF!,#REF!,#REF!,#REF!,#REF!,$A16,#REF!,#REF!,#REF!,#REF!)</f>
        <v>151.22569843088999</v>
      </c>
      <c r="J16" s="131">
        <f ca="1">_xll.DBGET(#REF!,#REF!,#REF!,#REF!,#REF!,#REF!,$A16,#REF!,#REF!,#REF!,#REF!)</f>
        <v>0</v>
      </c>
      <c r="K16" s="132">
        <f ca="1">_xll.DBGET(#REF!,#REF!,#REF!,#REF!,#REF!,#REF!,$A16,#REF!,#REF!,#REF!,#REF!)</f>
        <v>0</v>
      </c>
      <c r="L16" s="131">
        <f ca="1">_xll.DBGET(#REF!,#REF!,#REF!,#REF!,#REF!,#REF!,$A16,#REF!,#REF!,#REF!,#REF!)</f>
        <v>0</v>
      </c>
      <c r="M16" s="132">
        <f ca="1">IFERROR((_xll.DBGET(#REF!,#REF!,#REF!,#REF!,#REF!,#REF!,$A16,#REF!,#REF!,#REF!,#REF!))/L16,0)</f>
        <v>0</v>
      </c>
      <c r="N16" s="131">
        <f ca="1">_xll.DBGET(#REF!,#REF!,#REF!,#REF!,#REF!,#REF!,$A16,#REF!,#REF!,#REF!,#REF!)</f>
        <v>0</v>
      </c>
      <c r="O16" s="132">
        <f ca="1">IFERROR((_xll.DBGET(#REF!,#REF!,#REF!,#REF!,#REF!,#REF!,$A16,#REF!,#REF!,#REF!,#REF!))/N16,0)</f>
        <v>0</v>
      </c>
      <c r="P16" s="131">
        <f ca="1">_xll.DBGET(#REF!,#REF!,#REF!,#REF!,#REF!,#REF!,$A16,#REF!,#REF!,#REF!,#REF!)</f>
        <v>0</v>
      </c>
      <c r="Q16" s="132">
        <f ca="1">IFERROR((_xll.DBGET(#REF!,#REF!,#REF!,#REF!,#REF!,#REF!,$A16,#REF!,#REF!,#REF!,#REF!))/P16,0)</f>
        <v>0</v>
      </c>
      <c r="R16" s="131">
        <f ca="1">_xll.DBGET(#REF!,#REF!,#REF!,#REF!,#REF!,#REF!,$A16,#REF!,#REF!,#REF!,#REF!)</f>
        <v>0</v>
      </c>
      <c r="S16" s="132">
        <f ca="1">_xll.DBGET(#REF!,#REF!,#REF!,#REF!,#REF!,#REF!,$A16,#REF!,#REF!,#REF!,#REF!)</f>
        <v>0</v>
      </c>
    </row>
    <row r="17" spans="1:19" x14ac:dyDescent="0.35">
      <c r="A17" s="13" t="s">
        <v>9</v>
      </c>
      <c r="B17" s="124">
        <f ca="1">_xll.DBGET(#REF!,#REF!,#REF!,#REF!,#REF!,#REF!,$A17,#REF!,#REF!,#REF!,#REF!)</f>
        <v>5228629.18</v>
      </c>
      <c r="C17" s="125">
        <f ca="1">_xll.DBGET(#REF!,#REF!,#REF!,#REF!,#REF!,#REF!,$A17,#REF!,#REF!,#REF!,#REF!)</f>
        <v>163.11743145963999</v>
      </c>
      <c r="D17" s="124">
        <f ca="1">_xll.DBGET(#REF!,#REF!,#REF!,#REF!,#REF!,#REF!,$A17,#REF!,#REF!,#REF!,#REF!)</f>
        <v>620608.19700000004</v>
      </c>
      <c r="E17" s="125">
        <f ca="1">_xll.DBGET(#REF!,#REF!,#REF!,#REF!,#REF!,#REF!,$A17,#REF!,#REF!,#REF!,#REF!)</f>
        <v>155.19599480475</v>
      </c>
      <c r="F17" s="124">
        <f ca="1">_xll.DBGET(#REF!,#REF!,#REF!,#REF!,#REF!,#REF!,$A17,#REF!,#REF!,#REF!,#REF!)</f>
        <v>593270</v>
      </c>
      <c r="G17" s="125">
        <f ca="1">_xll.DBGET(#REF!,#REF!,#REF!,#REF!,#REF!,#REF!,$A17,#REF!,#REF!,#REF!,#REF!)</f>
        <v>160.16501132884</v>
      </c>
      <c r="H17" s="124">
        <f ca="1">_xll.DBGET(#REF!,#REF!,#REF!,#REF!,#REF!,#REF!,$A17,#REF!,#REF!,#REF!,#REF!)</f>
        <v>413752</v>
      </c>
      <c r="I17" s="125">
        <f ca="1">_xll.DBGET(#REF!,#REF!,#REF!,#REF!,#REF!,#REF!,$A17,#REF!,#REF!,#REF!,#REF!)</f>
        <v>159.68749046942</v>
      </c>
      <c r="J17" s="124">
        <f ca="1">_xll.DBGET(#REF!,#REF!,#REF!,#REF!,#REF!,#REF!,$A17,#REF!,#REF!,#REF!,#REF!)</f>
        <v>0</v>
      </c>
      <c r="K17" s="125">
        <f ca="1">_xll.DBGET(#REF!,#REF!,#REF!,#REF!,#REF!,#REF!,$A17,#REF!,#REF!,#REF!,#REF!)</f>
        <v>0</v>
      </c>
      <c r="L17" s="124">
        <f ca="1">_xll.DBGET(#REF!,#REF!,#REF!,#REF!,#REF!,#REF!,$A17,#REF!,#REF!,#REF!,#REF!)</f>
        <v>0</v>
      </c>
      <c r="M17" s="125">
        <f ca="1">IFERROR((_xll.DBGET(#REF!,#REF!,#REF!,#REF!,#REF!,#REF!,$A17,#REF!,#REF!,#REF!,#REF!))/L17,0)</f>
        <v>0</v>
      </c>
      <c r="N17" s="124">
        <f ca="1">_xll.DBGET(#REF!,#REF!,#REF!,#REF!,#REF!,#REF!,$A17,#REF!,#REF!,#REF!,#REF!)</f>
        <v>0</v>
      </c>
      <c r="O17" s="125">
        <f ca="1">IFERROR((_xll.DBGET(#REF!,#REF!,#REF!,#REF!,#REF!,#REF!,$A17,#REF!,#REF!,#REF!,#REF!))/N17,0)</f>
        <v>0</v>
      </c>
      <c r="P17" s="124">
        <f ca="1">_xll.DBGET(#REF!,#REF!,#REF!,#REF!,#REF!,#REF!,$A17,#REF!,#REF!,#REF!,#REF!)</f>
        <v>0</v>
      </c>
      <c r="Q17" s="125">
        <f ca="1">IFERROR((_xll.DBGET(#REF!,#REF!,#REF!,#REF!,#REF!,#REF!,$A17,#REF!,#REF!,#REF!,#REF!))/P17,0)</f>
        <v>0</v>
      </c>
      <c r="R17" s="124">
        <f ca="1">_xll.DBGET(#REF!,#REF!,#REF!,#REF!,#REF!,#REF!,$A17,#REF!,#REF!,#REF!,#REF!)</f>
        <v>0</v>
      </c>
      <c r="S17" s="125">
        <f ca="1">_xll.DBGET(#REF!,#REF!,#REF!,#REF!,#REF!,#REF!,$A17,#REF!,#REF!,#REF!,#REF!)</f>
        <v>0</v>
      </c>
    </row>
    <row r="18" spans="1:19" x14ac:dyDescent="0.35">
      <c r="A18" s="77" t="s">
        <v>42</v>
      </c>
      <c r="B18" s="131">
        <f ca="1">_xll.DBGET(#REF!,#REF!,#REF!,#REF!,#REF!,#REF!,$A18,#REF!,#REF!,#REF!,#REF!)</f>
        <v>95450</v>
      </c>
      <c r="C18" s="132">
        <f ca="1">_xll.DBGET(#REF!,#REF!,#REF!,#REF!,#REF!,#REF!,$A18,#REF!,#REF!,#REF!,#REF!)</f>
        <v>142.31223389209001</v>
      </c>
      <c r="D18" s="131">
        <f ca="1">_xll.DBGET(#REF!,#REF!,#REF!,#REF!,#REF!,#REF!,$A18,#REF!,#REF!,#REF!,#REF!)</f>
        <v>14909</v>
      </c>
      <c r="E18" s="132">
        <f ca="1">_xll.DBGET(#REF!,#REF!,#REF!,#REF!,#REF!,#REF!,$A18,#REF!,#REF!,#REF!,#REF!)</f>
        <v>128.96519982311</v>
      </c>
      <c r="F18" s="131">
        <f ca="1">_xll.DBGET(#REF!,#REF!,#REF!,#REF!,#REF!,#REF!,$A18,#REF!,#REF!,#REF!,#REF!)</f>
        <v>24145</v>
      </c>
      <c r="G18" s="132">
        <f ca="1">_xll.DBGET(#REF!,#REF!,#REF!,#REF!,#REF!,#REF!,$A18,#REF!,#REF!,#REF!,#REF!)</f>
        <v>135.76647967712</v>
      </c>
      <c r="H18" s="131">
        <f ca="1">_xll.DBGET(#REF!,#REF!,#REF!,#REF!,#REF!,#REF!,$A18,#REF!,#REF!,#REF!,#REF!)</f>
        <v>3500</v>
      </c>
      <c r="I18" s="132">
        <f ca="1">_xll.DBGET(#REF!,#REF!,#REF!,#REF!,#REF!,#REF!,$A18,#REF!,#REF!,#REF!,#REF!)</f>
        <v>156.38699852181</v>
      </c>
      <c r="J18" s="131">
        <f ca="1">_xll.DBGET(#REF!,#REF!,#REF!,#REF!,#REF!,#REF!,$A18,#REF!,#REF!,#REF!,#REF!)</f>
        <v>0</v>
      </c>
      <c r="K18" s="132">
        <f ca="1">_xll.DBGET(#REF!,#REF!,#REF!,#REF!,#REF!,#REF!,$A18,#REF!,#REF!,#REF!,#REF!)</f>
        <v>0</v>
      </c>
      <c r="L18" s="131">
        <f ca="1">_xll.DBGET(#REF!,#REF!,#REF!,#REF!,#REF!,#REF!,$A18,#REF!,#REF!,#REF!,#REF!)</f>
        <v>0</v>
      </c>
      <c r="M18" s="132">
        <f ca="1">IFERROR((_xll.DBGET(#REF!,#REF!,#REF!,#REF!,#REF!,#REF!,$A18,#REF!,#REF!,#REF!,#REF!))/L18,0)</f>
        <v>0</v>
      </c>
      <c r="N18" s="131">
        <f ca="1">_xll.DBGET(#REF!,#REF!,#REF!,#REF!,#REF!,#REF!,$A18,#REF!,#REF!,#REF!,#REF!)</f>
        <v>0</v>
      </c>
      <c r="O18" s="132">
        <f ca="1">IFERROR((_xll.DBGET(#REF!,#REF!,#REF!,#REF!,#REF!,#REF!,$A18,#REF!,#REF!,#REF!,#REF!))/N18,0)</f>
        <v>0</v>
      </c>
      <c r="P18" s="131">
        <f ca="1">_xll.DBGET(#REF!,#REF!,#REF!,#REF!,#REF!,#REF!,$A18,#REF!,#REF!,#REF!,#REF!)</f>
        <v>0</v>
      </c>
      <c r="Q18" s="132">
        <f ca="1">IFERROR((_xll.DBGET(#REF!,#REF!,#REF!,#REF!,#REF!,#REF!,$A18,#REF!,#REF!,#REF!,#REF!))/P18,0)</f>
        <v>0</v>
      </c>
      <c r="R18" s="131">
        <f ca="1">_xll.DBGET(#REF!,#REF!,#REF!,#REF!,#REF!,#REF!,$A18,#REF!,#REF!,#REF!,#REF!)</f>
        <v>0</v>
      </c>
      <c r="S18" s="132">
        <f ca="1">_xll.DBGET(#REF!,#REF!,#REF!,#REF!,#REF!,#REF!,$A18,#REF!,#REF!,#REF!,#REF!)</f>
        <v>0</v>
      </c>
    </row>
    <row r="19" spans="1:19" hidden="1" outlineLevel="1" x14ac:dyDescent="0.35">
      <c r="A19" s="77" t="s">
        <v>43</v>
      </c>
      <c r="B19" s="131">
        <f ca="1">_xll.DBGET(#REF!,#REF!,#REF!,#REF!,#REF!,#REF!,$A19,#REF!,#REF!,#REF!,#REF!)</f>
        <v>0</v>
      </c>
      <c r="C19" s="132">
        <f ca="1">_xll.DBGET(#REF!,#REF!,#REF!,#REF!,#REF!,#REF!,$A19,#REF!,#REF!,#REF!,#REF!)</f>
        <v>0</v>
      </c>
      <c r="D19" s="131">
        <f ca="1">_xll.DBGET(#REF!,#REF!,#REF!,#REF!,#REF!,#REF!,$A19,#REF!,#REF!,#REF!,#REF!)</f>
        <v>0</v>
      </c>
      <c r="E19" s="132">
        <f ca="1">_xll.DBGET(#REF!,#REF!,#REF!,#REF!,#REF!,#REF!,$A19,#REF!,#REF!,#REF!,#REF!)</f>
        <v>0</v>
      </c>
      <c r="F19" s="131">
        <f ca="1">_xll.DBGET(#REF!,#REF!,#REF!,#REF!,#REF!,#REF!,$A19,#REF!,#REF!,#REF!,#REF!)</f>
        <v>0</v>
      </c>
      <c r="G19" s="132">
        <f ca="1">_xll.DBGET(#REF!,#REF!,#REF!,#REF!,#REF!,#REF!,$A19,#REF!,#REF!,#REF!,#REF!)</f>
        <v>0</v>
      </c>
      <c r="H19" s="131">
        <f ca="1">_xll.DBGET(#REF!,#REF!,#REF!,#REF!,#REF!,#REF!,$A19,#REF!,#REF!,#REF!,#REF!)</f>
        <v>0</v>
      </c>
      <c r="I19" s="132">
        <f ca="1">_xll.DBGET(#REF!,#REF!,#REF!,#REF!,#REF!,#REF!,$A19,#REF!,#REF!,#REF!,#REF!)</f>
        <v>0</v>
      </c>
      <c r="J19" s="131">
        <f ca="1">_xll.DBGET(#REF!,#REF!,#REF!,#REF!,#REF!,#REF!,$A19,#REF!,#REF!,#REF!,#REF!)</f>
        <v>0</v>
      </c>
      <c r="K19" s="132">
        <f ca="1">_xll.DBGET(#REF!,#REF!,#REF!,#REF!,#REF!,#REF!,$A19,#REF!,#REF!,#REF!,#REF!)</f>
        <v>0</v>
      </c>
      <c r="L19" s="131">
        <f ca="1">_xll.DBGET(#REF!,#REF!,#REF!,#REF!,#REF!,#REF!,$A19,#REF!,#REF!,#REF!,#REF!)-J19</f>
        <v>0</v>
      </c>
      <c r="M19" s="132">
        <f ca="1">IFERROR((_xll.DBGET(#REF!,#REF!,#REF!,#REF!,#REF!,#REF!,$A19,#REF!,#REF!,#REF!,#REF!)-(J19*K19))/L19,0)</f>
        <v>0</v>
      </c>
      <c r="N19" s="131">
        <f ca="1">_xll.DBGET(#REF!,#REF!,#REF!,#REF!,#REF!,#REF!,$A19,#REF!,#REF!,#REF!,#REF!)-J19-L19</f>
        <v>0</v>
      </c>
      <c r="O19" s="132">
        <f ca="1">IFERROR((_xll.DBGET(#REF!,#REF!,#REF!,#REF!,#REF!,#REF!,$A19,#REF!,#REF!,#REF!,#REF!)-(J19*K19)-(L19*M19))/N19,0)</f>
        <v>0</v>
      </c>
      <c r="P19" s="131">
        <f ca="1">_xll.DBGET(#REF!,#REF!,#REF!,#REF!,#REF!,#REF!,$A19,#REF!,#REF!,#REF!,#REF!)-J19-L19-N19</f>
        <v>0</v>
      </c>
      <c r="Q19" s="132">
        <f ca="1">IFERROR((_xll.DBGET(#REF!,#REF!,#REF!,#REF!,#REF!,#REF!,$A19,#REF!,#REF!,#REF!,#REF!)-(J19*K19)-(L19*M19)-(N19*O19))/P19,0)</f>
        <v>0</v>
      </c>
      <c r="R19" s="131">
        <f ca="1">_xll.DBGET(#REF!,#REF!,#REF!,#REF!,#REF!,#REF!,$A19,#REF!,#REF!,#REF!,#REF!)</f>
        <v>0</v>
      </c>
      <c r="S19" s="132">
        <f ca="1">_xll.DBGET(#REF!,#REF!,#REF!,#REF!,#REF!,#REF!,$A19,#REF!,#REF!,#REF!,#REF!)</f>
        <v>0</v>
      </c>
    </row>
    <row r="20" spans="1:19" hidden="1" outlineLevel="1" x14ac:dyDescent="0.35">
      <c r="A20" s="77" t="s">
        <v>44</v>
      </c>
      <c r="B20" s="131">
        <f ca="1">_xll.DBGET(#REF!,#REF!,#REF!,#REF!,#REF!,#REF!,$A20,#REF!,#REF!,#REF!,#REF!)</f>
        <v>0</v>
      </c>
      <c r="C20" s="132">
        <f ca="1">_xll.DBGET(#REF!,#REF!,#REF!,#REF!,#REF!,#REF!,$A20,#REF!,#REF!,#REF!,#REF!)</f>
        <v>0</v>
      </c>
      <c r="D20" s="131">
        <f ca="1">_xll.DBGET(#REF!,#REF!,#REF!,#REF!,#REF!,#REF!,$A20,#REF!,#REF!,#REF!,#REF!)</f>
        <v>0</v>
      </c>
      <c r="E20" s="132">
        <f ca="1">_xll.DBGET(#REF!,#REF!,#REF!,#REF!,#REF!,#REF!,$A20,#REF!,#REF!,#REF!,#REF!)</f>
        <v>0</v>
      </c>
      <c r="F20" s="131">
        <f ca="1">_xll.DBGET(#REF!,#REF!,#REF!,#REF!,#REF!,#REF!,$A20,#REF!,#REF!,#REF!,#REF!)</f>
        <v>0</v>
      </c>
      <c r="G20" s="132">
        <f ca="1">_xll.DBGET(#REF!,#REF!,#REF!,#REF!,#REF!,#REF!,$A20,#REF!,#REF!,#REF!,#REF!)</f>
        <v>0</v>
      </c>
      <c r="H20" s="131">
        <f ca="1">_xll.DBGET(#REF!,#REF!,#REF!,#REF!,#REF!,#REF!,$A20,#REF!,#REF!,#REF!,#REF!)</f>
        <v>0</v>
      </c>
      <c r="I20" s="132">
        <f ca="1">_xll.DBGET(#REF!,#REF!,#REF!,#REF!,#REF!,#REF!,$A20,#REF!,#REF!,#REF!,#REF!)</f>
        <v>0</v>
      </c>
      <c r="J20" s="131">
        <f ca="1">_xll.DBGET(#REF!,#REF!,#REF!,#REF!,#REF!,#REF!,$A20,#REF!,#REF!,#REF!,#REF!)</f>
        <v>0</v>
      </c>
      <c r="K20" s="132">
        <f ca="1">_xll.DBGET(#REF!,#REF!,#REF!,#REF!,#REF!,#REF!,$A20,#REF!,#REF!,#REF!,#REF!)</f>
        <v>0</v>
      </c>
      <c r="L20" s="131">
        <f ca="1">_xll.DBGET(#REF!,#REF!,#REF!,#REF!,#REF!,#REF!,$A20,#REF!,#REF!,#REF!,#REF!)-J20</f>
        <v>0</v>
      </c>
      <c r="M20" s="132">
        <f ca="1">IFERROR((_xll.DBGET(#REF!,#REF!,#REF!,#REF!,#REF!,#REF!,$A20,#REF!,#REF!,#REF!,#REF!)-(J20*K20))/L20,0)</f>
        <v>0</v>
      </c>
      <c r="N20" s="131">
        <f ca="1">_xll.DBGET(#REF!,#REF!,#REF!,#REF!,#REF!,#REF!,$A20,#REF!,#REF!,#REF!,#REF!)-J20-L20</f>
        <v>0</v>
      </c>
      <c r="O20" s="132">
        <f ca="1">IFERROR((_xll.DBGET(#REF!,#REF!,#REF!,#REF!,#REF!,#REF!,$A20,#REF!,#REF!,#REF!,#REF!)-(J20*K20)-(L20*M20))/N20,0)</f>
        <v>0</v>
      </c>
      <c r="P20" s="131">
        <f ca="1">_xll.DBGET(#REF!,#REF!,#REF!,#REF!,#REF!,#REF!,$A20,#REF!,#REF!,#REF!,#REF!)-J20-L20-N20</f>
        <v>0</v>
      </c>
      <c r="Q20" s="132">
        <f ca="1">IFERROR((_xll.DBGET(#REF!,#REF!,#REF!,#REF!,#REF!,#REF!,$A20,#REF!,#REF!,#REF!,#REF!)-(J20*K20)-(L20*M20)-(N20*O20))/P20,0)</f>
        <v>0</v>
      </c>
      <c r="R20" s="131">
        <f ca="1">_xll.DBGET(#REF!,#REF!,#REF!,#REF!,#REF!,#REF!,$A20,#REF!,#REF!,#REF!,#REF!)</f>
        <v>0</v>
      </c>
      <c r="S20" s="132">
        <f ca="1">_xll.DBGET(#REF!,#REF!,#REF!,#REF!,#REF!,#REF!,$A20,#REF!,#REF!,#REF!,#REF!)</f>
        <v>0</v>
      </c>
    </row>
    <row r="21" spans="1:19" hidden="1" outlineLevel="1" x14ac:dyDescent="0.35">
      <c r="A21" s="77" t="s">
        <v>45</v>
      </c>
      <c r="B21" s="131">
        <f ca="1">_xll.DBGET(#REF!,#REF!,#REF!,#REF!,#REF!,#REF!,$A21,#REF!,#REF!,#REF!,#REF!)</f>
        <v>0</v>
      </c>
      <c r="C21" s="132">
        <f ca="1">_xll.DBGET(#REF!,#REF!,#REF!,#REF!,#REF!,#REF!,$A21,#REF!,#REF!,#REF!,#REF!)</f>
        <v>0</v>
      </c>
      <c r="D21" s="131">
        <f ca="1">_xll.DBGET(#REF!,#REF!,#REF!,#REF!,#REF!,#REF!,$A21,#REF!,#REF!,#REF!,#REF!)</f>
        <v>0</v>
      </c>
      <c r="E21" s="132">
        <f ca="1">_xll.DBGET(#REF!,#REF!,#REF!,#REF!,#REF!,#REF!,$A21,#REF!,#REF!,#REF!,#REF!)</f>
        <v>0</v>
      </c>
      <c r="F21" s="131">
        <f ca="1">_xll.DBGET(#REF!,#REF!,#REF!,#REF!,#REF!,#REF!,$A21,#REF!,#REF!,#REF!,#REF!)</f>
        <v>0</v>
      </c>
      <c r="G21" s="132">
        <f ca="1">_xll.DBGET(#REF!,#REF!,#REF!,#REF!,#REF!,#REF!,$A21,#REF!,#REF!,#REF!,#REF!)</f>
        <v>0</v>
      </c>
      <c r="H21" s="131">
        <f ca="1">_xll.DBGET(#REF!,#REF!,#REF!,#REF!,#REF!,#REF!,$A21,#REF!,#REF!,#REF!,#REF!)</f>
        <v>0</v>
      </c>
      <c r="I21" s="132">
        <f ca="1">_xll.DBGET(#REF!,#REF!,#REF!,#REF!,#REF!,#REF!,$A21,#REF!,#REF!,#REF!,#REF!)</f>
        <v>0</v>
      </c>
      <c r="J21" s="131">
        <f ca="1">_xll.DBGET(#REF!,#REF!,#REF!,#REF!,#REF!,#REF!,$A21,#REF!,#REF!,#REF!,#REF!)</f>
        <v>0</v>
      </c>
      <c r="K21" s="132">
        <f ca="1">_xll.DBGET(#REF!,#REF!,#REF!,#REF!,#REF!,#REF!,$A21,#REF!,#REF!,#REF!,#REF!)</f>
        <v>0</v>
      </c>
      <c r="L21" s="131">
        <f ca="1">_xll.DBGET(#REF!,#REF!,#REF!,#REF!,#REF!,#REF!,$A21,#REF!,#REF!,#REF!,#REF!)-J21</f>
        <v>0</v>
      </c>
      <c r="M21" s="132">
        <f ca="1">IFERROR((_xll.DBGET(#REF!,#REF!,#REF!,#REF!,#REF!,#REF!,$A21,#REF!,#REF!,#REF!,#REF!)-(J21*K21))/L21,0)</f>
        <v>0</v>
      </c>
      <c r="N21" s="131">
        <f ca="1">_xll.DBGET(#REF!,#REF!,#REF!,#REF!,#REF!,#REF!,$A21,#REF!,#REF!,#REF!,#REF!)-J21-L21</f>
        <v>0</v>
      </c>
      <c r="O21" s="132">
        <f ca="1">IFERROR((_xll.DBGET(#REF!,#REF!,#REF!,#REF!,#REF!,#REF!,$A21,#REF!,#REF!,#REF!,#REF!)-(J21*K21)-(L21*M21))/N21,0)</f>
        <v>0</v>
      </c>
      <c r="P21" s="131">
        <f ca="1">_xll.DBGET(#REF!,#REF!,#REF!,#REF!,#REF!,#REF!,$A21,#REF!,#REF!,#REF!,#REF!)-J21-L21-N21</f>
        <v>0</v>
      </c>
      <c r="Q21" s="132">
        <f ca="1">IFERROR((_xll.DBGET(#REF!,#REF!,#REF!,#REF!,#REF!,#REF!,$A21,#REF!,#REF!,#REF!,#REF!)-(J21*K21)-(L21*M21)-(N21*O21))/P21,0)</f>
        <v>0</v>
      </c>
      <c r="R21" s="131">
        <f ca="1">_xll.DBGET(#REF!,#REF!,#REF!,#REF!,#REF!,#REF!,$A21,#REF!,#REF!,#REF!,#REF!)</f>
        <v>0</v>
      </c>
      <c r="S21" s="132">
        <f ca="1">_xll.DBGET(#REF!,#REF!,#REF!,#REF!,#REF!,#REF!,$A21,#REF!,#REF!,#REF!,#REF!)</f>
        <v>0</v>
      </c>
    </row>
    <row r="22" spans="1:19" hidden="1" outlineLevel="1" x14ac:dyDescent="0.35">
      <c r="A22" s="77" t="s">
        <v>46</v>
      </c>
      <c r="B22" s="131">
        <f ca="1">_xll.DBGET(#REF!,#REF!,#REF!,#REF!,#REF!,#REF!,$A22,#REF!,#REF!,#REF!,#REF!)</f>
        <v>0</v>
      </c>
      <c r="C22" s="132">
        <f ca="1">_xll.DBGET(#REF!,#REF!,#REF!,#REF!,#REF!,#REF!,$A22,#REF!,#REF!,#REF!,#REF!)</f>
        <v>0</v>
      </c>
      <c r="D22" s="131">
        <f ca="1">_xll.DBGET(#REF!,#REF!,#REF!,#REF!,#REF!,#REF!,$A22,#REF!,#REF!,#REF!,#REF!)</f>
        <v>0</v>
      </c>
      <c r="E22" s="132">
        <f ca="1">_xll.DBGET(#REF!,#REF!,#REF!,#REF!,#REF!,#REF!,$A22,#REF!,#REF!,#REF!,#REF!)</f>
        <v>0</v>
      </c>
      <c r="F22" s="131">
        <f ca="1">_xll.DBGET(#REF!,#REF!,#REF!,#REF!,#REF!,#REF!,$A22,#REF!,#REF!,#REF!,#REF!)</f>
        <v>0</v>
      </c>
      <c r="G22" s="132">
        <f ca="1">_xll.DBGET(#REF!,#REF!,#REF!,#REF!,#REF!,#REF!,$A22,#REF!,#REF!,#REF!,#REF!)</f>
        <v>0</v>
      </c>
      <c r="H22" s="131">
        <f ca="1">_xll.DBGET(#REF!,#REF!,#REF!,#REF!,#REF!,#REF!,$A22,#REF!,#REF!,#REF!,#REF!)</f>
        <v>0</v>
      </c>
      <c r="I22" s="132">
        <f ca="1">_xll.DBGET(#REF!,#REF!,#REF!,#REF!,#REF!,#REF!,$A22,#REF!,#REF!,#REF!,#REF!)</f>
        <v>0</v>
      </c>
      <c r="J22" s="131">
        <f ca="1">_xll.DBGET(#REF!,#REF!,#REF!,#REF!,#REF!,#REF!,$A22,#REF!,#REF!,#REF!,#REF!)</f>
        <v>0</v>
      </c>
      <c r="K22" s="132">
        <f ca="1">_xll.DBGET(#REF!,#REF!,#REF!,#REF!,#REF!,#REF!,$A22,#REF!,#REF!,#REF!,#REF!)</f>
        <v>0</v>
      </c>
      <c r="L22" s="131">
        <f ca="1">_xll.DBGET(#REF!,#REF!,#REF!,#REF!,#REF!,#REF!,$A22,#REF!,#REF!,#REF!,#REF!)-J22</f>
        <v>0</v>
      </c>
      <c r="M22" s="132">
        <f ca="1">IFERROR((_xll.DBGET(#REF!,#REF!,#REF!,#REF!,#REF!,#REF!,$A22,#REF!,#REF!,#REF!,#REF!)-(J22*K22))/L22,0)</f>
        <v>0</v>
      </c>
      <c r="N22" s="131">
        <f ca="1">_xll.DBGET(#REF!,#REF!,#REF!,#REF!,#REF!,#REF!,$A22,#REF!,#REF!,#REF!,#REF!)-J22-L22</f>
        <v>0</v>
      </c>
      <c r="O22" s="132">
        <f ca="1">IFERROR((_xll.DBGET(#REF!,#REF!,#REF!,#REF!,#REF!,#REF!,$A22,#REF!,#REF!,#REF!,#REF!)-(J22*K22)-(L22*M22))/N22,0)</f>
        <v>0</v>
      </c>
      <c r="P22" s="131">
        <f ca="1">_xll.DBGET(#REF!,#REF!,#REF!,#REF!,#REF!,#REF!,$A22,#REF!,#REF!,#REF!,#REF!)-J22-L22-N22</f>
        <v>0</v>
      </c>
      <c r="Q22" s="132">
        <f ca="1">IFERROR((_xll.DBGET(#REF!,#REF!,#REF!,#REF!,#REF!,#REF!,$A22,#REF!,#REF!,#REF!,#REF!)-(J22*K22)-(L22*M22)-(N22*O22))/P22,0)</f>
        <v>0</v>
      </c>
      <c r="R22" s="131">
        <f ca="1">_xll.DBGET(#REF!,#REF!,#REF!,#REF!,#REF!,#REF!,$A22,#REF!,#REF!,#REF!,#REF!)</f>
        <v>0</v>
      </c>
      <c r="S22" s="132">
        <f ca="1">_xll.DBGET(#REF!,#REF!,#REF!,#REF!,#REF!,#REF!,$A22,#REF!,#REF!,#REF!,#REF!)</f>
        <v>0</v>
      </c>
    </row>
    <row r="23" spans="1:19" hidden="1" outlineLevel="1" x14ac:dyDescent="0.35">
      <c r="A23" s="77" t="s">
        <v>47</v>
      </c>
      <c r="B23" s="131">
        <f ca="1">_xll.DBGET(#REF!,#REF!,#REF!,#REF!,#REF!,#REF!,$A23,#REF!,#REF!,#REF!,#REF!)</f>
        <v>0</v>
      </c>
      <c r="C23" s="132">
        <f ca="1">_xll.DBGET(#REF!,#REF!,#REF!,#REF!,#REF!,#REF!,$A23,#REF!,#REF!,#REF!,#REF!)</f>
        <v>0</v>
      </c>
      <c r="D23" s="131">
        <f ca="1">_xll.DBGET(#REF!,#REF!,#REF!,#REF!,#REF!,#REF!,$A23,#REF!,#REF!,#REF!,#REF!)</f>
        <v>0</v>
      </c>
      <c r="E23" s="132">
        <f ca="1">_xll.DBGET(#REF!,#REF!,#REF!,#REF!,#REF!,#REF!,$A23,#REF!,#REF!,#REF!,#REF!)</f>
        <v>0</v>
      </c>
      <c r="F23" s="131">
        <f ca="1">_xll.DBGET(#REF!,#REF!,#REF!,#REF!,#REF!,#REF!,$A23,#REF!,#REF!,#REF!,#REF!)</f>
        <v>0</v>
      </c>
      <c r="G23" s="132">
        <f ca="1">_xll.DBGET(#REF!,#REF!,#REF!,#REF!,#REF!,#REF!,$A23,#REF!,#REF!,#REF!,#REF!)</f>
        <v>0</v>
      </c>
      <c r="H23" s="131">
        <f ca="1">_xll.DBGET(#REF!,#REF!,#REF!,#REF!,#REF!,#REF!,$A23,#REF!,#REF!,#REF!,#REF!)</f>
        <v>0</v>
      </c>
      <c r="I23" s="132">
        <f ca="1">_xll.DBGET(#REF!,#REF!,#REF!,#REF!,#REF!,#REF!,$A23,#REF!,#REF!,#REF!,#REF!)</f>
        <v>0</v>
      </c>
      <c r="J23" s="131">
        <f ca="1">_xll.DBGET(#REF!,#REF!,#REF!,#REF!,#REF!,#REF!,$A23,#REF!,#REF!,#REF!,#REF!)</f>
        <v>0</v>
      </c>
      <c r="K23" s="132">
        <f ca="1">_xll.DBGET(#REF!,#REF!,#REF!,#REF!,#REF!,#REF!,$A23,#REF!,#REF!,#REF!,#REF!)</f>
        <v>0</v>
      </c>
      <c r="L23" s="131">
        <f ca="1">_xll.DBGET(#REF!,#REF!,#REF!,#REF!,#REF!,#REF!,$A23,#REF!,#REF!,#REF!,#REF!)-J23</f>
        <v>0</v>
      </c>
      <c r="M23" s="132">
        <f ca="1">IFERROR((_xll.DBGET(#REF!,#REF!,#REF!,#REF!,#REF!,#REF!,$A23,#REF!,#REF!,#REF!,#REF!)-(J23*K23))/L23,0)</f>
        <v>0</v>
      </c>
      <c r="N23" s="131">
        <f ca="1">_xll.DBGET(#REF!,#REF!,#REF!,#REF!,#REF!,#REF!,$A23,#REF!,#REF!,#REF!,#REF!)-J23-L23</f>
        <v>0</v>
      </c>
      <c r="O23" s="132">
        <f ca="1">IFERROR((_xll.DBGET(#REF!,#REF!,#REF!,#REF!,#REF!,#REF!,$A23,#REF!,#REF!,#REF!,#REF!)-(J23*K23)-(L23*M23))/N23,0)</f>
        <v>0</v>
      </c>
      <c r="P23" s="131">
        <f ca="1">_xll.DBGET(#REF!,#REF!,#REF!,#REF!,#REF!,#REF!,$A23,#REF!,#REF!,#REF!,#REF!)-J23-L23-N23</f>
        <v>0</v>
      </c>
      <c r="Q23" s="132">
        <f ca="1">IFERROR((_xll.DBGET(#REF!,#REF!,#REF!,#REF!,#REF!,#REF!,$A23,#REF!,#REF!,#REF!,#REF!)-(J23*K23)-(L23*M23)-(N23*O23))/P23,0)</f>
        <v>0</v>
      </c>
      <c r="R23" s="131">
        <f ca="1">_xll.DBGET(#REF!,#REF!,#REF!,#REF!,#REF!,#REF!,$A23,#REF!,#REF!,#REF!,#REF!)</f>
        <v>0</v>
      </c>
      <c r="S23" s="132">
        <f ca="1">_xll.DBGET(#REF!,#REF!,#REF!,#REF!,#REF!,#REF!,$A23,#REF!,#REF!,#REF!,#REF!)</f>
        <v>0</v>
      </c>
    </row>
    <row r="24" spans="1:19" hidden="1" outlineLevel="1" x14ac:dyDescent="0.35">
      <c r="A24" s="77" t="s">
        <v>48</v>
      </c>
      <c r="B24" s="131">
        <f ca="1">_xll.DBGET(#REF!,#REF!,#REF!,#REF!,#REF!,#REF!,$A24,#REF!,#REF!,#REF!,#REF!)</f>
        <v>0</v>
      </c>
      <c r="C24" s="132">
        <f ca="1">_xll.DBGET(#REF!,#REF!,#REF!,#REF!,#REF!,#REF!,$A24,#REF!,#REF!,#REF!,#REF!)</f>
        <v>0</v>
      </c>
      <c r="D24" s="131">
        <f ca="1">_xll.DBGET(#REF!,#REF!,#REF!,#REF!,#REF!,#REF!,$A24,#REF!,#REF!,#REF!,#REF!)</f>
        <v>0</v>
      </c>
      <c r="E24" s="132">
        <f ca="1">_xll.DBGET(#REF!,#REF!,#REF!,#REF!,#REF!,#REF!,$A24,#REF!,#REF!,#REF!,#REF!)</f>
        <v>0</v>
      </c>
      <c r="F24" s="131">
        <f ca="1">_xll.DBGET(#REF!,#REF!,#REF!,#REF!,#REF!,#REF!,$A24,#REF!,#REF!,#REF!,#REF!)</f>
        <v>0</v>
      </c>
      <c r="G24" s="132">
        <f ca="1">_xll.DBGET(#REF!,#REF!,#REF!,#REF!,#REF!,#REF!,$A24,#REF!,#REF!,#REF!,#REF!)</f>
        <v>0</v>
      </c>
      <c r="H24" s="131">
        <f ca="1">_xll.DBGET(#REF!,#REF!,#REF!,#REF!,#REF!,#REF!,$A24,#REF!,#REF!,#REF!,#REF!)</f>
        <v>0</v>
      </c>
      <c r="I24" s="132">
        <f ca="1">_xll.DBGET(#REF!,#REF!,#REF!,#REF!,#REF!,#REF!,$A24,#REF!,#REF!,#REF!,#REF!)</f>
        <v>0</v>
      </c>
      <c r="J24" s="131">
        <f ca="1">_xll.DBGET(#REF!,#REF!,#REF!,#REF!,#REF!,#REF!,$A24,#REF!,#REF!,#REF!,#REF!)</f>
        <v>0</v>
      </c>
      <c r="K24" s="132">
        <f ca="1">_xll.DBGET(#REF!,#REF!,#REF!,#REF!,#REF!,#REF!,$A24,#REF!,#REF!,#REF!,#REF!)</f>
        <v>0</v>
      </c>
      <c r="L24" s="131">
        <f ca="1">_xll.DBGET(#REF!,#REF!,#REF!,#REF!,#REF!,#REF!,$A24,#REF!,#REF!,#REF!,#REF!)-J24</f>
        <v>0</v>
      </c>
      <c r="M24" s="132">
        <f ca="1">IFERROR((_xll.DBGET(#REF!,#REF!,#REF!,#REF!,#REF!,#REF!,$A24,#REF!,#REF!,#REF!,#REF!)-(J24*K24))/L24,0)</f>
        <v>0</v>
      </c>
      <c r="N24" s="131">
        <f ca="1">_xll.DBGET(#REF!,#REF!,#REF!,#REF!,#REF!,#REF!,$A24,#REF!,#REF!,#REF!,#REF!)-J24-L24</f>
        <v>0</v>
      </c>
      <c r="O24" s="132">
        <f ca="1">IFERROR((_xll.DBGET(#REF!,#REF!,#REF!,#REF!,#REF!,#REF!,$A24,#REF!,#REF!,#REF!,#REF!)-(J24*K24)-(L24*M24))/N24,0)</f>
        <v>0</v>
      </c>
      <c r="P24" s="131">
        <f ca="1">_xll.DBGET(#REF!,#REF!,#REF!,#REF!,#REF!,#REF!,$A24,#REF!,#REF!,#REF!,#REF!)-J24-L24-N24</f>
        <v>0</v>
      </c>
      <c r="Q24" s="132">
        <f ca="1">IFERROR((_xll.DBGET(#REF!,#REF!,#REF!,#REF!,#REF!,#REF!,$A24,#REF!,#REF!,#REF!,#REF!)-(J24*K24)-(L24*M24)-(N24*O24))/P24,0)</f>
        <v>0</v>
      </c>
      <c r="R24" s="131">
        <f ca="1">_xll.DBGET(#REF!,#REF!,#REF!,#REF!,#REF!,#REF!,$A24,#REF!,#REF!,#REF!,#REF!)</f>
        <v>0</v>
      </c>
      <c r="S24" s="132">
        <f ca="1">_xll.DBGET(#REF!,#REF!,#REF!,#REF!,#REF!,#REF!,$A24,#REF!,#REF!,#REF!,#REF!)</f>
        <v>0</v>
      </c>
    </row>
    <row r="25" spans="1:19" hidden="1" outlineLevel="1" x14ac:dyDescent="0.35">
      <c r="A25" s="77" t="s">
        <v>49</v>
      </c>
      <c r="B25" s="131">
        <f ca="1">_xll.DBGET(#REF!,#REF!,#REF!,#REF!,#REF!,#REF!,$A25,#REF!,#REF!,#REF!,#REF!)</f>
        <v>0</v>
      </c>
      <c r="C25" s="132">
        <f ca="1">_xll.DBGET(#REF!,#REF!,#REF!,#REF!,#REF!,#REF!,$A25,#REF!,#REF!,#REF!,#REF!)</f>
        <v>0</v>
      </c>
      <c r="D25" s="131">
        <f ca="1">_xll.DBGET(#REF!,#REF!,#REF!,#REF!,#REF!,#REF!,$A25,#REF!,#REF!,#REF!,#REF!)</f>
        <v>0</v>
      </c>
      <c r="E25" s="132">
        <f ca="1">_xll.DBGET(#REF!,#REF!,#REF!,#REF!,#REF!,#REF!,$A25,#REF!,#REF!,#REF!,#REF!)</f>
        <v>0</v>
      </c>
      <c r="F25" s="131">
        <f ca="1">_xll.DBGET(#REF!,#REF!,#REF!,#REF!,#REF!,#REF!,$A25,#REF!,#REF!,#REF!,#REF!)</f>
        <v>0</v>
      </c>
      <c r="G25" s="132">
        <f ca="1">_xll.DBGET(#REF!,#REF!,#REF!,#REF!,#REF!,#REF!,$A25,#REF!,#REF!,#REF!,#REF!)</f>
        <v>0</v>
      </c>
      <c r="H25" s="131">
        <f ca="1">_xll.DBGET(#REF!,#REF!,#REF!,#REF!,#REF!,#REF!,$A25,#REF!,#REF!,#REF!,#REF!)</f>
        <v>0</v>
      </c>
      <c r="I25" s="132">
        <f ca="1">_xll.DBGET(#REF!,#REF!,#REF!,#REF!,#REF!,#REF!,$A25,#REF!,#REF!,#REF!,#REF!)</f>
        <v>0</v>
      </c>
      <c r="J25" s="131">
        <f ca="1">_xll.DBGET(#REF!,#REF!,#REF!,#REF!,#REF!,#REF!,$A25,#REF!,#REF!,#REF!,#REF!)</f>
        <v>0</v>
      </c>
      <c r="K25" s="132">
        <f ca="1">_xll.DBGET(#REF!,#REF!,#REF!,#REF!,#REF!,#REF!,$A25,#REF!,#REF!,#REF!,#REF!)</f>
        <v>0</v>
      </c>
      <c r="L25" s="131">
        <f ca="1">_xll.DBGET(#REF!,#REF!,#REF!,#REF!,#REF!,#REF!,$A25,#REF!,#REF!,#REF!,#REF!)-J25</f>
        <v>0</v>
      </c>
      <c r="M25" s="132">
        <f ca="1">IFERROR((_xll.DBGET(#REF!,#REF!,#REF!,#REF!,#REF!,#REF!,$A25,#REF!,#REF!,#REF!,#REF!)-(J25*K25))/L25,0)</f>
        <v>0</v>
      </c>
      <c r="N25" s="131">
        <f ca="1">_xll.DBGET(#REF!,#REF!,#REF!,#REF!,#REF!,#REF!,$A25,#REF!,#REF!,#REF!,#REF!)-J25-L25</f>
        <v>0</v>
      </c>
      <c r="O25" s="132">
        <f ca="1">IFERROR((_xll.DBGET(#REF!,#REF!,#REF!,#REF!,#REF!,#REF!,$A25,#REF!,#REF!,#REF!,#REF!)-(J25*K25)-(L25*M25))/N25,0)</f>
        <v>0</v>
      </c>
      <c r="P25" s="131">
        <f ca="1">_xll.DBGET(#REF!,#REF!,#REF!,#REF!,#REF!,#REF!,$A25,#REF!,#REF!,#REF!,#REF!)-J25-L25-N25</f>
        <v>0</v>
      </c>
      <c r="Q25" s="132">
        <f ca="1">IFERROR((_xll.DBGET(#REF!,#REF!,#REF!,#REF!,#REF!,#REF!,$A25,#REF!,#REF!,#REF!,#REF!)-(J25*K25)-(L25*M25)-(N25*O25))/P25,0)</f>
        <v>0</v>
      </c>
      <c r="R25" s="131">
        <f ca="1">_xll.DBGET(#REF!,#REF!,#REF!,#REF!,#REF!,#REF!,$A25,#REF!,#REF!,#REF!,#REF!)</f>
        <v>0</v>
      </c>
      <c r="S25" s="132">
        <f ca="1">_xll.DBGET(#REF!,#REF!,#REF!,#REF!,#REF!,#REF!,$A25,#REF!,#REF!,#REF!,#REF!)</f>
        <v>0</v>
      </c>
    </row>
    <row r="26" spans="1:19" hidden="1" outlineLevel="1" x14ac:dyDescent="0.35">
      <c r="A26" s="77" t="s">
        <v>50</v>
      </c>
      <c r="B26" s="131">
        <f ca="1">_xll.DBGET(#REF!,#REF!,#REF!,#REF!,#REF!,#REF!,$A26,#REF!,#REF!,#REF!,#REF!)</f>
        <v>0</v>
      </c>
      <c r="C26" s="132">
        <f ca="1">_xll.DBGET(#REF!,#REF!,#REF!,#REF!,#REF!,#REF!,$A26,#REF!,#REF!,#REF!,#REF!)</f>
        <v>0</v>
      </c>
      <c r="D26" s="131">
        <f ca="1">_xll.DBGET(#REF!,#REF!,#REF!,#REF!,#REF!,#REF!,$A26,#REF!,#REF!,#REF!,#REF!)</f>
        <v>0</v>
      </c>
      <c r="E26" s="132">
        <f ca="1">_xll.DBGET(#REF!,#REF!,#REF!,#REF!,#REF!,#REF!,$A26,#REF!,#REF!,#REF!,#REF!)</f>
        <v>0</v>
      </c>
      <c r="F26" s="131">
        <f ca="1">_xll.DBGET(#REF!,#REF!,#REF!,#REF!,#REF!,#REF!,$A26,#REF!,#REF!,#REF!,#REF!)</f>
        <v>0</v>
      </c>
      <c r="G26" s="132">
        <f ca="1">_xll.DBGET(#REF!,#REF!,#REF!,#REF!,#REF!,#REF!,$A26,#REF!,#REF!,#REF!,#REF!)</f>
        <v>0</v>
      </c>
      <c r="H26" s="131">
        <f ca="1">_xll.DBGET(#REF!,#REF!,#REF!,#REF!,#REF!,#REF!,$A26,#REF!,#REF!,#REF!,#REF!)</f>
        <v>0</v>
      </c>
      <c r="I26" s="132">
        <f ca="1">_xll.DBGET(#REF!,#REF!,#REF!,#REF!,#REF!,#REF!,$A26,#REF!,#REF!,#REF!,#REF!)</f>
        <v>0</v>
      </c>
      <c r="J26" s="131">
        <f ca="1">_xll.DBGET(#REF!,#REF!,#REF!,#REF!,#REF!,#REF!,$A26,#REF!,#REF!,#REF!,#REF!)</f>
        <v>0</v>
      </c>
      <c r="K26" s="132">
        <f ca="1">_xll.DBGET(#REF!,#REF!,#REF!,#REF!,#REF!,#REF!,$A26,#REF!,#REF!,#REF!,#REF!)</f>
        <v>0</v>
      </c>
      <c r="L26" s="131">
        <f ca="1">_xll.DBGET(#REF!,#REF!,#REF!,#REF!,#REF!,#REF!,$A26,#REF!,#REF!,#REF!,#REF!)-J26</f>
        <v>0</v>
      </c>
      <c r="M26" s="132">
        <f ca="1">IFERROR((_xll.DBGET(#REF!,#REF!,#REF!,#REF!,#REF!,#REF!,$A26,#REF!,#REF!,#REF!,#REF!)-(J26*K26))/L26,0)</f>
        <v>0</v>
      </c>
      <c r="N26" s="131">
        <f ca="1">_xll.DBGET(#REF!,#REF!,#REF!,#REF!,#REF!,#REF!,$A26,#REF!,#REF!,#REF!,#REF!)-J26-L26</f>
        <v>0</v>
      </c>
      <c r="O26" s="132">
        <f ca="1">IFERROR((_xll.DBGET(#REF!,#REF!,#REF!,#REF!,#REF!,#REF!,$A26,#REF!,#REF!,#REF!,#REF!)-(J26*K26)-(L26*M26))/N26,0)</f>
        <v>0</v>
      </c>
      <c r="P26" s="131">
        <f ca="1">_xll.DBGET(#REF!,#REF!,#REF!,#REF!,#REF!,#REF!,$A26,#REF!,#REF!,#REF!,#REF!)-J26-L26-N26</f>
        <v>0</v>
      </c>
      <c r="Q26" s="132">
        <f ca="1">IFERROR((_xll.DBGET(#REF!,#REF!,#REF!,#REF!,#REF!,#REF!,$A26,#REF!,#REF!,#REF!,#REF!)-(J26*K26)-(L26*M26)-(N26*O26))/P26,0)</f>
        <v>0</v>
      </c>
      <c r="R26" s="131">
        <f ca="1">_xll.DBGET(#REF!,#REF!,#REF!,#REF!,#REF!,#REF!,$A26,#REF!,#REF!,#REF!,#REF!)</f>
        <v>0</v>
      </c>
      <c r="S26" s="132">
        <f ca="1">_xll.DBGET(#REF!,#REF!,#REF!,#REF!,#REF!,#REF!,$A26,#REF!,#REF!,#REF!,#REF!)</f>
        <v>0</v>
      </c>
    </row>
    <row r="27" spans="1:19" hidden="1" outlineLevel="1" x14ac:dyDescent="0.35">
      <c r="A27" s="77" t="s">
        <v>51</v>
      </c>
      <c r="B27" s="131">
        <f ca="1">_xll.DBGET(#REF!,#REF!,#REF!,#REF!,#REF!,#REF!,$A27,#REF!,#REF!,#REF!,#REF!)</f>
        <v>0</v>
      </c>
      <c r="C27" s="132">
        <f ca="1">_xll.DBGET(#REF!,#REF!,#REF!,#REF!,#REF!,#REF!,$A27,#REF!,#REF!,#REF!,#REF!)</f>
        <v>0</v>
      </c>
      <c r="D27" s="131">
        <f ca="1">_xll.DBGET(#REF!,#REF!,#REF!,#REF!,#REF!,#REF!,$A27,#REF!,#REF!,#REF!,#REF!)</f>
        <v>0</v>
      </c>
      <c r="E27" s="132">
        <f ca="1">_xll.DBGET(#REF!,#REF!,#REF!,#REF!,#REF!,#REF!,$A27,#REF!,#REF!,#REF!,#REF!)</f>
        <v>0</v>
      </c>
      <c r="F27" s="131">
        <f ca="1">_xll.DBGET(#REF!,#REF!,#REF!,#REF!,#REF!,#REF!,$A27,#REF!,#REF!,#REF!,#REF!)</f>
        <v>0</v>
      </c>
      <c r="G27" s="132">
        <f ca="1">_xll.DBGET(#REF!,#REF!,#REF!,#REF!,#REF!,#REF!,$A27,#REF!,#REF!,#REF!,#REF!)</f>
        <v>0</v>
      </c>
      <c r="H27" s="131">
        <f ca="1">_xll.DBGET(#REF!,#REF!,#REF!,#REF!,#REF!,#REF!,$A27,#REF!,#REF!,#REF!,#REF!)</f>
        <v>0</v>
      </c>
      <c r="I27" s="132">
        <f ca="1">_xll.DBGET(#REF!,#REF!,#REF!,#REF!,#REF!,#REF!,$A27,#REF!,#REF!,#REF!,#REF!)</f>
        <v>0</v>
      </c>
      <c r="J27" s="131">
        <f ca="1">_xll.DBGET(#REF!,#REF!,#REF!,#REF!,#REF!,#REF!,$A27,#REF!,#REF!,#REF!,#REF!)</f>
        <v>0</v>
      </c>
      <c r="K27" s="132">
        <f ca="1">_xll.DBGET(#REF!,#REF!,#REF!,#REF!,#REF!,#REF!,$A27,#REF!,#REF!,#REF!,#REF!)</f>
        <v>0</v>
      </c>
      <c r="L27" s="131">
        <f ca="1">_xll.DBGET(#REF!,#REF!,#REF!,#REF!,#REF!,#REF!,$A27,#REF!,#REF!,#REF!,#REF!)-J27</f>
        <v>0</v>
      </c>
      <c r="M27" s="132">
        <f ca="1">IFERROR((_xll.DBGET(#REF!,#REF!,#REF!,#REF!,#REF!,#REF!,$A27,#REF!,#REF!,#REF!,#REF!)-(J27*K27))/L27,0)</f>
        <v>0</v>
      </c>
      <c r="N27" s="131">
        <f ca="1">_xll.DBGET(#REF!,#REF!,#REF!,#REF!,#REF!,#REF!,$A27,#REF!,#REF!,#REF!,#REF!)-J27-L27</f>
        <v>0</v>
      </c>
      <c r="O27" s="132">
        <f ca="1">IFERROR((_xll.DBGET(#REF!,#REF!,#REF!,#REF!,#REF!,#REF!,$A27,#REF!,#REF!,#REF!,#REF!)-(J27*K27)-(L27*M27))/N27,0)</f>
        <v>0</v>
      </c>
      <c r="P27" s="131">
        <f ca="1">_xll.DBGET(#REF!,#REF!,#REF!,#REF!,#REF!,#REF!,$A27,#REF!,#REF!,#REF!,#REF!)-J27-L27-N27</f>
        <v>0</v>
      </c>
      <c r="Q27" s="132">
        <f ca="1">IFERROR((_xll.DBGET(#REF!,#REF!,#REF!,#REF!,#REF!,#REF!,$A27,#REF!,#REF!,#REF!,#REF!)-(J27*K27)-(L27*M27)-(N27*O27))/P27,0)</f>
        <v>0</v>
      </c>
      <c r="R27" s="131">
        <f ca="1">_xll.DBGET(#REF!,#REF!,#REF!,#REF!,#REF!,#REF!,$A27,#REF!,#REF!,#REF!,#REF!)</f>
        <v>0</v>
      </c>
      <c r="S27" s="132">
        <f ca="1">_xll.DBGET(#REF!,#REF!,#REF!,#REF!,#REF!,#REF!,$A27,#REF!,#REF!,#REF!,#REF!)</f>
        <v>0</v>
      </c>
    </row>
    <row r="28" spans="1:19" hidden="1" outlineLevel="1" x14ac:dyDescent="0.35">
      <c r="A28" s="77" t="s">
        <v>52</v>
      </c>
      <c r="B28" s="131">
        <f ca="1">_xll.DBGET(#REF!,#REF!,#REF!,#REF!,#REF!,#REF!,$A28,#REF!,#REF!,#REF!,#REF!)</f>
        <v>0</v>
      </c>
      <c r="C28" s="132">
        <f ca="1">_xll.DBGET(#REF!,#REF!,#REF!,#REF!,#REF!,#REF!,$A28,#REF!,#REF!,#REF!,#REF!)</f>
        <v>0</v>
      </c>
      <c r="D28" s="131">
        <f ca="1">_xll.DBGET(#REF!,#REF!,#REF!,#REF!,#REF!,#REF!,$A28,#REF!,#REF!,#REF!,#REF!)</f>
        <v>0</v>
      </c>
      <c r="E28" s="132">
        <f ca="1">_xll.DBGET(#REF!,#REF!,#REF!,#REF!,#REF!,#REF!,$A28,#REF!,#REF!,#REF!,#REF!)</f>
        <v>0</v>
      </c>
      <c r="F28" s="131">
        <f ca="1">_xll.DBGET(#REF!,#REF!,#REF!,#REF!,#REF!,#REF!,$A28,#REF!,#REF!,#REF!,#REF!)</f>
        <v>0</v>
      </c>
      <c r="G28" s="132">
        <f ca="1">_xll.DBGET(#REF!,#REF!,#REF!,#REF!,#REF!,#REF!,$A28,#REF!,#REF!,#REF!,#REF!)</f>
        <v>0</v>
      </c>
      <c r="H28" s="131">
        <f ca="1">_xll.DBGET(#REF!,#REF!,#REF!,#REF!,#REF!,#REF!,$A28,#REF!,#REF!,#REF!,#REF!)</f>
        <v>0</v>
      </c>
      <c r="I28" s="132">
        <f ca="1">_xll.DBGET(#REF!,#REF!,#REF!,#REF!,#REF!,#REF!,$A28,#REF!,#REF!,#REF!,#REF!)</f>
        <v>0</v>
      </c>
      <c r="J28" s="131">
        <f ca="1">_xll.DBGET(#REF!,#REF!,#REF!,#REF!,#REF!,#REF!,$A28,#REF!,#REF!,#REF!,#REF!)</f>
        <v>0</v>
      </c>
      <c r="K28" s="132">
        <f ca="1">_xll.DBGET(#REF!,#REF!,#REF!,#REF!,#REF!,#REF!,$A28,#REF!,#REF!,#REF!,#REF!)</f>
        <v>0</v>
      </c>
      <c r="L28" s="131">
        <f ca="1">_xll.DBGET(#REF!,#REF!,#REF!,#REF!,#REF!,#REF!,$A28,#REF!,#REF!,#REF!,#REF!)-J28</f>
        <v>0</v>
      </c>
      <c r="M28" s="132">
        <f ca="1">IFERROR((_xll.DBGET(#REF!,#REF!,#REF!,#REF!,#REF!,#REF!,$A28,#REF!,#REF!,#REF!,#REF!)-(J28*K28))/L28,0)</f>
        <v>0</v>
      </c>
      <c r="N28" s="131">
        <f ca="1">_xll.DBGET(#REF!,#REF!,#REF!,#REF!,#REF!,#REF!,$A28,#REF!,#REF!,#REF!,#REF!)-J28-L28</f>
        <v>0</v>
      </c>
      <c r="O28" s="132">
        <f ca="1">IFERROR((_xll.DBGET(#REF!,#REF!,#REF!,#REF!,#REF!,#REF!,$A28,#REF!,#REF!,#REF!,#REF!)-(J28*K28)-(L28*M28))/N28,0)</f>
        <v>0</v>
      </c>
      <c r="P28" s="131">
        <f ca="1">_xll.DBGET(#REF!,#REF!,#REF!,#REF!,#REF!,#REF!,$A28,#REF!,#REF!,#REF!,#REF!)-J28-L28-N28</f>
        <v>0</v>
      </c>
      <c r="Q28" s="132">
        <f ca="1">IFERROR((_xll.DBGET(#REF!,#REF!,#REF!,#REF!,#REF!,#REF!,$A28,#REF!,#REF!,#REF!,#REF!)-(J28*K28)-(L28*M28)-(N28*O28))/P28,0)</f>
        <v>0</v>
      </c>
      <c r="R28" s="131">
        <f ca="1">_xll.DBGET(#REF!,#REF!,#REF!,#REF!,#REF!,#REF!,$A28,#REF!,#REF!,#REF!,#REF!)</f>
        <v>0</v>
      </c>
      <c r="S28" s="132">
        <f ca="1">_xll.DBGET(#REF!,#REF!,#REF!,#REF!,#REF!,#REF!,$A28,#REF!,#REF!,#REF!,#REF!)</f>
        <v>0</v>
      </c>
    </row>
    <row r="29" spans="1:19" hidden="1" outlineLevel="1" x14ac:dyDescent="0.35">
      <c r="A29" s="77" t="s">
        <v>53</v>
      </c>
      <c r="B29" s="131">
        <f ca="1">_xll.DBGET(#REF!,#REF!,#REF!,#REF!,#REF!,#REF!,$A29,#REF!,#REF!,#REF!,#REF!)</f>
        <v>0</v>
      </c>
      <c r="C29" s="132">
        <f ca="1">_xll.DBGET(#REF!,#REF!,#REF!,#REF!,#REF!,#REF!,$A29,#REF!,#REF!,#REF!,#REF!)</f>
        <v>0</v>
      </c>
      <c r="D29" s="131">
        <f ca="1">_xll.DBGET(#REF!,#REF!,#REF!,#REF!,#REF!,#REF!,$A29,#REF!,#REF!,#REF!,#REF!)</f>
        <v>0</v>
      </c>
      <c r="E29" s="132">
        <f ca="1">_xll.DBGET(#REF!,#REF!,#REF!,#REF!,#REF!,#REF!,$A29,#REF!,#REF!,#REF!,#REF!)</f>
        <v>0</v>
      </c>
      <c r="F29" s="131">
        <f ca="1">_xll.DBGET(#REF!,#REF!,#REF!,#REF!,#REF!,#REF!,$A29,#REF!,#REF!,#REF!,#REF!)</f>
        <v>0</v>
      </c>
      <c r="G29" s="132">
        <f ca="1">_xll.DBGET(#REF!,#REF!,#REF!,#REF!,#REF!,#REF!,$A29,#REF!,#REF!,#REF!,#REF!)</f>
        <v>0</v>
      </c>
      <c r="H29" s="131">
        <f ca="1">_xll.DBGET(#REF!,#REF!,#REF!,#REF!,#REF!,#REF!,$A29,#REF!,#REF!,#REF!,#REF!)</f>
        <v>0</v>
      </c>
      <c r="I29" s="132">
        <f ca="1">_xll.DBGET(#REF!,#REF!,#REF!,#REF!,#REF!,#REF!,$A29,#REF!,#REF!,#REF!,#REF!)</f>
        <v>0</v>
      </c>
      <c r="J29" s="131">
        <f ca="1">_xll.DBGET(#REF!,#REF!,#REF!,#REF!,#REF!,#REF!,$A29,#REF!,#REF!,#REF!,#REF!)</f>
        <v>0</v>
      </c>
      <c r="K29" s="132">
        <f ca="1">_xll.DBGET(#REF!,#REF!,#REF!,#REF!,#REF!,#REF!,$A29,#REF!,#REF!,#REF!,#REF!)</f>
        <v>0</v>
      </c>
      <c r="L29" s="131">
        <f ca="1">_xll.DBGET(#REF!,#REF!,#REF!,#REF!,#REF!,#REF!,$A29,#REF!,#REF!,#REF!,#REF!)-J29</f>
        <v>0</v>
      </c>
      <c r="M29" s="132">
        <f ca="1">IFERROR((_xll.DBGET(#REF!,#REF!,#REF!,#REF!,#REF!,#REF!,$A29,#REF!,#REF!,#REF!,#REF!)-(J29*K29))/L29,0)</f>
        <v>0</v>
      </c>
      <c r="N29" s="131">
        <f ca="1">_xll.DBGET(#REF!,#REF!,#REF!,#REF!,#REF!,#REF!,$A29,#REF!,#REF!,#REF!,#REF!)-J29-L29</f>
        <v>0</v>
      </c>
      <c r="O29" s="132">
        <f ca="1">IFERROR((_xll.DBGET(#REF!,#REF!,#REF!,#REF!,#REF!,#REF!,$A29,#REF!,#REF!,#REF!,#REF!)-(J29*K29)-(L29*M29))/N29,0)</f>
        <v>0</v>
      </c>
      <c r="P29" s="131">
        <f ca="1">_xll.DBGET(#REF!,#REF!,#REF!,#REF!,#REF!,#REF!,$A29,#REF!,#REF!,#REF!,#REF!)-J29-L29-N29</f>
        <v>0</v>
      </c>
      <c r="Q29" s="132">
        <f ca="1">IFERROR((_xll.DBGET(#REF!,#REF!,#REF!,#REF!,#REF!,#REF!,$A29,#REF!,#REF!,#REF!,#REF!)-(J29*K29)-(L29*M29)-(N29*O29))/P29,0)</f>
        <v>0</v>
      </c>
      <c r="R29" s="131">
        <f ca="1">_xll.DBGET(#REF!,#REF!,#REF!,#REF!,#REF!,#REF!,$A29,#REF!,#REF!,#REF!,#REF!)</f>
        <v>0</v>
      </c>
      <c r="S29" s="132">
        <f ca="1">_xll.DBGET(#REF!,#REF!,#REF!,#REF!,#REF!,#REF!,$A29,#REF!,#REF!,#REF!,#REF!)</f>
        <v>0</v>
      </c>
    </row>
    <row r="30" spans="1:19" hidden="1" outlineLevel="1" x14ac:dyDescent="0.35">
      <c r="A30" s="77" t="s">
        <v>54</v>
      </c>
      <c r="B30" s="131">
        <f ca="1">_xll.DBGET(#REF!,#REF!,#REF!,#REF!,#REF!,#REF!,$A30,#REF!,#REF!,#REF!,#REF!)</f>
        <v>0</v>
      </c>
      <c r="C30" s="132">
        <f ca="1">_xll.DBGET(#REF!,#REF!,#REF!,#REF!,#REF!,#REF!,$A30,#REF!,#REF!,#REF!,#REF!)</f>
        <v>0</v>
      </c>
      <c r="D30" s="131">
        <f ca="1">_xll.DBGET(#REF!,#REF!,#REF!,#REF!,#REF!,#REF!,$A30,#REF!,#REF!,#REF!,#REF!)</f>
        <v>0</v>
      </c>
      <c r="E30" s="132">
        <f ca="1">_xll.DBGET(#REF!,#REF!,#REF!,#REF!,#REF!,#REF!,$A30,#REF!,#REF!,#REF!,#REF!)</f>
        <v>0</v>
      </c>
      <c r="F30" s="131">
        <f ca="1">_xll.DBGET(#REF!,#REF!,#REF!,#REF!,#REF!,#REF!,$A30,#REF!,#REF!,#REF!,#REF!)</f>
        <v>0</v>
      </c>
      <c r="G30" s="132">
        <f ca="1">_xll.DBGET(#REF!,#REF!,#REF!,#REF!,#REF!,#REF!,$A30,#REF!,#REF!,#REF!,#REF!)</f>
        <v>0</v>
      </c>
      <c r="H30" s="131">
        <f ca="1">_xll.DBGET(#REF!,#REF!,#REF!,#REF!,#REF!,#REF!,$A30,#REF!,#REF!,#REF!,#REF!)</f>
        <v>0</v>
      </c>
      <c r="I30" s="132">
        <f ca="1">_xll.DBGET(#REF!,#REF!,#REF!,#REF!,#REF!,#REF!,$A30,#REF!,#REF!,#REF!,#REF!)</f>
        <v>0</v>
      </c>
      <c r="J30" s="131">
        <f ca="1">_xll.DBGET(#REF!,#REF!,#REF!,#REF!,#REF!,#REF!,$A30,#REF!,#REF!,#REF!,#REF!)</f>
        <v>0</v>
      </c>
      <c r="K30" s="132">
        <f ca="1">_xll.DBGET(#REF!,#REF!,#REF!,#REF!,#REF!,#REF!,$A30,#REF!,#REF!,#REF!,#REF!)</f>
        <v>0</v>
      </c>
      <c r="L30" s="131">
        <f ca="1">_xll.DBGET(#REF!,#REF!,#REF!,#REF!,#REF!,#REF!,$A30,#REF!,#REF!,#REF!,#REF!)-J30</f>
        <v>0</v>
      </c>
      <c r="M30" s="132">
        <f ca="1">IFERROR((_xll.DBGET(#REF!,#REF!,#REF!,#REF!,#REF!,#REF!,$A30,#REF!,#REF!,#REF!,#REF!)-(J30*K30))/L30,0)</f>
        <v>0</v>
      </c>
      <c r="N30" s="131">
        <f ca="1">_xll.DBGET(#REF!,#REF!,#REF!,#REF!,#REF!,#REF!,$A30,#REF!,#REF!,#REF!,#REF!)-J30-L30</f>
        <v>0</v>
      </c>
      <c r="O30" s="132">
        <f ca="1">IFERROR((_xll.DBGET(#REF!,#REF!,#REF!,#REF!,#REF!,#REF!,$A30,#REF!,#REF!,#REF!,#REF!)-(J30*K30)-(L30*M30))/N30,0)</f>
        <v>0</v>
      </c>
      <c r="P30" s="131">
        <f ca="1">_xll.DBGET(#REF!,#REF!,#REF!,#REF!,#REF!,#REF!,$A30,#REF!,#REF!,#REF!,#REF!)-J30-L30-N30</f>
        <v>0</v>
      </c>
      <c r="Q30" s="132">
        <f ca="1">IFERROR((_xll.DBGET(#REF!,#REF!,#REF!,#REF!,#REF!,#REF!,$A30,#REF!,#REF!,#REF!,#REF!)-(J30*K30)-(L30*M30)-(N30*O30))/P30,0)</f>
        <v>0</v>
      </c>
      <c r="R30" s="131">
        <f ca="1">_xll.DBGET(#REF!,#REF!,#REF!,#REF!,#REF!,#REF!,$A30,#REF!,#REF!,#REF!,#REF!)</f>
        <v>0</v>
      </c>
      <c r="S30" s="132">
        <f ca="1">_xll.DBGET(#REF!,#REF!,#REF!,#REF!,#REF!,#REF!,$A30,#REF!,#REF!,#REF!,#REF!)</f>
        <v>0</v>
      </c>
    </row>
    <row r="31" spans="1:19" hidden="1" outlineLevel="1" x14ac:dyDescent="0.35">
      <c r="A31" s="77" t="s">
        <v>55</v>
      </c>
      <c r="B31" s="131">
        <f ca="1">_xll.DBGET(#REF!,#REF!,#REF!,#REF!,#REF!,#REF!,$A31,#REF!,#REF!,#REF!,#REF!)</f>
        <v>0</v>
      </c>
      <c r="C31" s="132">
        <f ca="1">_xll.DBGET(#REF!,#REF!,#REF!,#REF!,#REF!,#REF!,$A31,#REF!,#REF!,#REF!,#REF!)</f>
        <v>0</v>
      </c>
      <c r="D31" s="131">
        <f ca="1">_xll.DBGET(#REF!,#REF!,#REF!,#REF!,#REF!,#REF!,$A31,#REF!,#REF!,#REF!,#REF!)</f>
        <v>0</v>
      </c>
      <c r="E31" s="132">
        <f ca="1">_xll.DBGET(#REF!,#REF!,#REF!,#REF!,#REF!,#REF!,$A31,#REF!,#REF!,#REF!,#REF!)</f>
        <v>0</v>
      </c>
      <c r="F31" s="131">
        <f ca="1">_xll.DBGET(#REF!,#REF!,#REF!,#REF!,#REF!,#REF!,$A31,#REF!,#REF!,#REF!,#REF!)</f>
        <v>0</v>
      </c>
      <c r="G31" s="132">
        <f ca="1">_xll.DBGET(#REF!,#REF!,#REF!,#REF!,#REF!,#REF!,$A31,#REF!,#REF!,#REF!,#REF!)</f>
        <v>0</v>
      </c>
      <c r="H31" s="131">
        <f ca="1">_xll.DBGET(#REF!,#REF!,#REF!,#REF!,#REF!,#REF!,$A31,#REF!,#REF!,#REF!,#REF!)</f>
        <v>0</v>
      </c>
      <c r="I31" s="132">
        <f ca="1">_xll.DBGET(#REF!,#REF!,#REF!,#REF!,#REF!,#REF!,$A31,#REF!,#REF!,#REF!,#REF!)</f>
        <v>0</v>
      </c>
      <c r="J31" s="131">
        <f ca="1">_xll.DBGET(#REF!,#REF!,#REF!,#REF!,#REF!,#REF!,$A31,#REF!,#REF!,#REF!,#REF!)</f>
        <v>0</v>
      </c>
      <c r="K31" s="132">
        <f ca="1">_xll.DBGET(#REF!,#REF!,#REF!,#REF!,#REF!,#REF!,$A31,#REF!,#REF!,#REF!,#REF!)</f>
        <v>0</v>
      </c>
      <c r="L31" s="131">
        <f ca="1">_xll.DBGET(#REF!,#REF!,#REF!,#REF!,#REF!,#REF!,$A31,#REF!,#REF!,#REF!,#REF!)-J31</f>
        <v>0</v>
      </c>
      <c r="M31" s="132">
        <f ca="1">IFERROR((_xll.DBGET(#REF!,#REF!,#REF!,#REF!,#REF!,#REF!,$A31,#REF!,#REF!,#REF!,#REF!)-(J31*K31))/L31,0)</f>
        <v>0</v>
      </c>
      <c r="N31" s="131">
        <f ca="1">_xll.DBGET(#REF!,#REF!,#REF!,#REF!,#REF!,#REF!,$A31,#REF!,#REF!,#REF!,#REF!)-J31-L31</f>
        <v>0</v>
      </c>
      <c r="O31" s="132">
        <f ca="1">IFERROR((_xll.DBGET(#REF!,#REF!,#REF!,#REF!,#REF!,#REF!,$A31,#REF!,#REF!,#REF!,#REF!)-(J31*K31)-(L31*M31))/N31,0)</f>
        <v>0</v>
      </c>
      <c r="P31" s="131">
        <f ca="1">_xll.DBGET(#REF!,#REF!,#REF!,#REF!,#REF!,#REF!,$A31,#REF!,#REF!,#REF!,#REF!)-J31-L31-N31</f>
        <v>0</v>
      </c>
      <c r="Q31" s="132">
        <f ca="1">IFERROR((_xll.DBGET(#REF!,#REF!,#REF!,#REF!,#REF!,#REF!,$A31,#REF!,#REF!,#REF!,#REF!)-(J31*K31)-(L31*M31)-(N31*O31))/P31,0)</f>
        <v>0</v>
      </c>
      <c r="R31" s="131">
        <f ca="1">_xll.DBGET(#REF!,#REF!,#REF!,#REF!,#REF!,#REF!,$A31,#REF!,#REF!,#REF!,#REF!)</f>
        <v>0</v>
      </c>
      <c r="S31" s="132">
        <f ca="1">_xll.DBGET(#REF!,#REF!,#REF!,#REF!,#REF!,#REF!,$A31,#REF!,#REF!,#REF!,#REF!)</f>
        <v>0</v>
      </c>
    </row>
    <row r="32" spans="1:19" hidden="1" outlineLevel="1" x14ac:dyDescent="0.35">
      <c r="A32" s="77" t="s">
        <v>56</v>
      </c>
      <c r="B32" s="131">
        <f ca="1">_xll.DBGET(#REF!,#REF!,#REF!,#REF!,#REF!,#REF!,$A32,#REF!,#REF!,#REF!,#REF!)</f>
        <v>0</v>
      </c>
      <c r="C32" s="132">
        <f ca="1">_xll.DBGET(#REF!,#REF!,#REF!,#REF!,#REF!,#REF!,$A32,#REF!,#REF!,#REF!,#REF!)</f>
        <v>0</v>
      </c>
      <c r="D32" s="131">
        <f ca="1">_xll.DBGET(#REF!,#REF!,#REF!,#REF!,#REF!,#REF!,$A32,#REF!,#REF!,#REF!,#REF!)</f>
        <v>0</v>
      </c>
      <c r="E32" s="132">
        <f ca="1">_xll.DBGET(#REF!,#REF!,#REF!,#REF!,#REF!,#REF!,$A32,#REF!,#REF!,#REF!,#REF!)</f>
        <v>0</v>
      </c>
      <c r="F32" s="131">
        <f ca="1">_xll.DBGET(#REF!,#REF!,#REF!,#REF!,#REF!,#REF!,$A32,#REF!,#REF!,#REF!,#REF!)</f>
        <v>0</v>
      </c>
      <c r="G32" s="132">
        <f ca="1">_xll.DBGET(#REF!,#REF!,#REF!,#REF!,#REF!,#REF!,$A32,#REF!,#REF!,#REF!,#REF!)</f>
        <v>0</v>
      </c>
      <c r="H32" s="131">
        <f ca="1">_xll.DBGET(#REF!,#REF!,#REF!,#REF!,#REF!,#REF!,$A32,#REF!,#REF!,#REF!,#REF!)</f>
        <v>0</v>
      </c>
      <c r="I32" s="132">
        <f ca="1">_xll.DBGET(#REF!,#REF!,#REF!,#REF!,#REF!,#REF!,$A32,#REF!,#REF!,#REF!,#REF!)</f>
        <v>0</v>
      </c>
      <c r="J32" s="131">
        <f ca="1">_xll.DBGET(#REF!,#REF!,#REF!,#REF!,#REF!,#REF!,$A32,#REF!,#REF!,#REF!,#REF!)</f>
        <v>0</v>
      </c>
      <c r="K32" s="132">
        <f ca="1">_xll.DBGET(#REF!,#REF!,#REF!,#REF!,#REF!,#REF!,$A32,#REF!,#REF!,#REF!,#REF!)</f>
        <v>0</v>
      </c>
      <c r="L32" s="131">
        <f ca="1">_xll.DBGET(#REF!,#REF!,#REF!,#REF!,#REF!,#REF!,$A32,#REF!,#REF!,#REF!,#REF!)-J32</f>
        <v>0</v>
      </c>
      <c r="M32" s="132">
        <f ca="1">IFERROR((_xll.DBGET(#REF!,#REF!,#REF!,#REF!,#REF!,#REF!,$A32,#REF!,#REF!,#REF!,#REF!)-(J32*K32))/L32,0)</f>
        <v>0</v>
      </c>
      <c r="N32" s="131">
        <f ca="1">_xll.DBGET(#REF!,#REF!,#REF!,#REF!,#REF!,#REF!,$A32,#REF!,#REF!,#REF!,#REF!)-J32-L32</f>
        <v>0</v>
      </c>
      <c r="O32" s="132">
        <f ca="1">IFERROR((_xll.DBGET(#REF!,#REF!,#REF!,#REF!,#REF!,#REF!,$A32,#REF!,#REF!,#REF!,#REF!)-(J32*K32)-(L32*M32))/N32,0)</f>
        <v>0</v>
      </c>
      <c r="P32" s="131">
        <f ca="1">_xll.DBGET(#REF!,#REF!,#REF!,#REF!,#REF!,#REF!,$A32,#REF!,#REF!,#REF!,#REF!)-J32-L32-N32</f>
        <v>0</v>
      </c>
      <c r="Q32" s="132">
        <f ca="1">IFERROR((_xll.DBGET(#REF!,#REF!,#REF!,#REF!,#REF!,#REF!,$A32,#REF!,#REF!,#REF!,#REF!)-(J32*K32)-(L32*M32)-(N32*O32))/P32,0)</f>
        <v>0</v>
      </c>
      <c r="R32" s="131">
        <f ca="1">_xll.DBGET(#REF!,#REF!,#REF!,#REF!,#REF!,#REF!,$A32,#REF!,#REF!,#REF!,#REF!)</f>
        <v>0</v>
      </c>
      <c r="S32" s="132">
        <f ca="1">_xll.DBGET(#REF!,#REF!,#REF!,#REF!,#REF!,#REF!,$A32,#REF!,#REF!,#REF!,#REF!)</f>
        <v>0</v>
      </c>
    </row>
    <row r="33" spans="1:19" collapsed="1" x14ac:dyDescent="0.35">
      <c r="A33" s="77" t="s">
        <v>25</v>
      </c>
      <c r="B33" s="131">
        <f ca="1">_xll.DBGET(#REF!,#REF!,#REF!,#REF!,#REF!,#REF!,$A33,#REF!,#REF!,#REF!,#REF!)</f>
        <v>445741</v>
      </c>
      <c r="C33" s="132">
        <f ca="1">_xll.DBGET(#REF!,#REF!,#REF!,#REF!,#REF!,#REF!,$A33,#REF!,#REF!,#REF!,#REF!)</f>
        <v>188.81924499362</v>
      </c>
      <c r="D33" s="131">
        <f ca="1">_xll.DBGET(#REF!,#REF!,#REF!,#REF!,#REF!,#REF!,$A33,#REF!,#REF!,#REF!,#REF!)</f>
        <v>43034</v>
      </c>
      <c r="E33" s="132">
        <f ca="1">_xll.DBGET(#REF!,#REF!,#REF!,#REF!,#REF!,#REF!,$A33,#REF!,#REF!,#REF!,#REF!)</f>
        <v>165.89873974669001</v>
      </c>
      <c r="F33" s="131">
        <f ca="1">_xll.DBGET(#REF!,#REF!,#REF!,#REF!,#REF!,#REF!,$A33,#REF!,#REF!,#REF!,#REF!)</f>
        <v>80969</v>
      </c>
      <c r="G33" s="132">
        <f ca="1">_xll.DBGET(#REF!,#REF!,#REF!,#REF!,#REF!,#REF!,$A33,#REF!,#REF!,#REF!,#REF!)</f>
        <v>162.44441443053</v>
      </c>
      <c r="H33" s="131">
        <f ca="1">_xll.DBGET(#REF!,#REF!,#REF!,#REF!,#REF!,#REF!,$A33,#REF!,#REF!,#REF!,#REF!)</f>
        <v>29500</v>
      </c>
      <c r="I33" s="132">
        <f ca="1">_xll.DBGET(#REF!,#REF!,#REF!,#REF!,#REF!,#REF!,$A33,#REF!,#REF!,#REF!,#REF!)</f>
        <v>187.82983512180999</v>
      </c>
      <c r="J33" s="131">
        <f ca="1">_xll.DBGET(#REF!,#REF!,#REF!,#REF!,#REF!,#REF!,$A33,#REF!,#REF!,#REF!,#REF!)</f>
        <v>0</v>
      </c>
      <c r="K33" s="132">
        <f ca="1">_xll.DBGET(#REF!,#REF!,#REF!,#REF!,#REF!,#REF!,$A33,#REF!,#REF!,#REF!,#REF!)</f>
        <v>0</v>
      </c>
      <c r="L33" s="131">
        <f ca="1">_xll.DBGET(#REF!,#REF!,#REF!,#REF!,#REF!,#REF!,$A33,#REF!,#REF!,#REF!,#REF!)</f>
        <v>0</v>
      </c>
      <c r="M33" s="132">
        <f ca="1">IFERROR((_xll.DBGET(#REF!,#REF!,#REF!,#REF!,#REF!,#REF!,$A33,#REF!,#REF!,#REF!,#REF!))/L33,0)</f>
        <v>0</v>
      </c>
      <c r="N33" s="131">
        <f ca="1">_xll.DBGET(#REF!,#REF!,#REF!,#REF!,#REF!,#REF!,$A33,#REF!,#REF!,#REF!,#REF!)</f>
        <v>0</v>
      </c>
      <c r="O33" s="132">
        <f ca="1">IFERROR((_xll.DBGET(#REF!,#REF!,#REF!,#REF!,#REF!,#REF!,$A33,#REF!,#REF!,#REF!,#REF!))/N33,0)</f>
        <v>0</v>
      </c>
      <c r="P33" s="131">
        <f ca="1">_xll.DBGET(#REF!,#REF!,#REF!,#REF!,#REF!,#REF!,$A33,#REF!,#REF!,#REF!,#REF!)</f>
        <v>0</v>
      </c>
      <c r="Q33" s="132">
        <f ca="1">IFERROR((_xll.DBGET(#REF!,#REF!,#REF!,#REF!,#REF!,#REF!,$A33,#REF!,#REF!,#REF!,#REF!))/P33,0)</f>
        <v>0</v>
      </c>
      <c r="R33" s="131">
        <f ca="1">_xll.DBGET(#REF!,#REF!,#REF!,#REF!,#REF!,#REF!,$A33,#REF!,#REF!,#REF!,#REF!)</f>
        <v>0</v>
      </c>
      <c r="S33" s="132">
        <f ca="1">_xll.DBGET(#REF!,#REF!,#REF!,#REF!,#REF!,#REF!,$A33,#REF!,#REF!,#REF!,#REF!)</f>
        <v>0</v>
      </c>
    </row>
    <row r="34" spans="1:19" x14ac:dyDescent="0.35">
      <c r="A34" s="77" t="s">
        <v>26</v>
      </c>
      <c r="B34" s="131">
        <f ca="1">_xll.DBGET(#REF!,#REF!,#REF!,#REF!,#REF!,#REF!,$A34,#REF!,#REF!,#REF!,#REF!)</f>
        <v>281921</v>
      </c>
      <c r="C34" s="132">
        <f ca="1">_xll.DBGET(#REF!,#REF!,#REF!,#REF!,#REF!,#REF!,$A34,#REF!,#REF!,#REF!,#REF!)</f>
        <v>126.52365519951</v>
      </c>
      <c r="D34" s="131">
        <f ca="1">_xll.DBGET(#REF!,#REF!,#REF!,#REF!,#REF!,#REF!,$A34,#REF!,#REF!,#REF!,#REF!)</f>
        <v>0</v>
      </c>
      <c r="E34" s="132">
        <f ca="1">_xll.DBGET(#REF!,#REF!,#REF!,#REF!,#REF!,#REF!,$A34,#REF!,#REF!,#REF!,#REF!)</f>
        <v>0</v>
      </c>
      <c r="F34" s="131">
        <f ca="1">_xll.DBGET(#REF!,#REF!,#REF!,#REF!,#REF!,#REF!,$A34,#REF!,#REF!,#REF!,#REF!)</f>
        <v>54838</v>
      </c>
      <c r="G34" s="132">
        <f ca="1">_xll.DBGET(#REF!,#REF!,#REF!,#REF!,#REF!,#REF!,$A34,#REF!,#REF!,#REF!,#REF!)</f>
        <v>152.63351803148001</v>
      </c>
      <c r="H34" s="131">
        <f ca="1">_xll.DBGET(#REF!,#REF!,#REF!,#REF!,#REF!,#REF!,$A34,#REF!,#REF!,#REF!,#REF!)</f>
        <v>42500</v>
      </c>
      <c r="I34" s="132">
        <f ca="1">_xll.DBGET(#REF!,#REF!,#REF!,#REF!,#REF!,#REF!,$A34,#REF!,#REF!,#REF!,#REF!)</f>
        <v>142.34431585121999</v>
      </c>
      <c r="J34" s="131">
        <f ca="1">_xll.DBGET(#REF!,#REF!,#REF!,#REF!,#REF!,#REF!,$A34,#REF!,#REF!,#REF!,#REF!)</f>
        <v>0</v>
      </c>
      <c r="K34" s="132">
        <f ca="1">_xll.DBGET(#REF!,#REF!,#REF!,#REF!,#REF!,#REF!,$A34,#REF!,#REF!,#REF!,#REF!)</f>
        <v>0</v>
      </c>
      <c r="L34" s="131">
        <f ca="1">_xll.DBGET(#REF!,#REF!,#REF!,#REF!,#REF!,#REF!,$A34,#REF!,#REF!,#REF!,#REF!)</f>
        <v>0</v>
      </c>
      <c r="M34" s="132">
        <f ca="1">IFERROR((_xll.DBGET(#REF!,#REF!,#REF!,#REF!,#REF!,#REF!,$A34,#REF!,#REF!,#REF!,#REF!))/L34,0)</f>
        <v>0</v>
      </c>
      <c r="N34" s="131">
        <f ca="1">_xll.DBGET(#REF!,#REF!,#REF!,#REF!,#REF!,#REF!,$A34,#REF!,#REF!,#REF!,#REF!)</f>
        <v>0</v>
      </c>
      <c r="O34" s="132">
        <f ca="1">IFERROR((_xll.DBGET(#REF!,#REF!,#REF!,#REF!,#REF!,#REF!,$A34,#REF!,#REF!,#REF!,#REF!))/N34,0)</f>
        <v>0</v>
      </c>
      <c r="P34" s="131">
        <f ca="1">_xll.DBGET(#REF!,#REF!,#REF!,#REF!,#REF!,#REF!,$A34,#REF!,#REF!,#REF!,#REF!)</f>
        <v>0</v>
      </c>
      <c r="Q34" s="132">
        <f ca="1">IFERROR((_xll.DBGET(#REF!,#REF!,#REF!,#REF!,#REF!,#REF!,$A34,#REF!,#REF!,#REF!,#REF!))/P34,0)</f>
        <v>0</v>
      </c>
      <c r="R34" s="131">
        <f ca="1">_xll.DBGET(#REF!,#REF!,#REF!,#REF!,#REF!,#REF!,$A34,#REF!,#REF!,#REF!,#REF!)</f>
        <v>0</v>
      </c>
      <c r="S34" s="132">
        <f ca="1">_xll.DBGET(#REF!,#REF!,#REF!,#REF!,#REF!,#REF!,$A34,#REF!,#REF!,#REF!,#REF!)</f>
        <v>0</v>
      </c>
    </row>
    <row r="35" spans="1:19" x14ac:dyDescent="0.35">
      <c r="A35" s="77" t="s">
        <v>27</v>
      </c>
      <c r="B35" s="131">
        <f ca="1">_xll.DBGET(#REF!,#REF!,#REF!,#REF!,#REF!,#REF!,$A35,#REF!,#REF!,#REF!,#REF!)</f>
        <v>12448</v>
      </c>
      <c r="C35" s="132">
        <f ca="1">_xll.DBGET(#REF!,#REF!,#REF!,#REF!,#REF!,#REF!,$A35,#REF!,#REF!,#REF!,#REF!)</f>
        <v>225.9229403599</v>
      </c>
      <c r="D35" s="131">
        <f ca="1">_xll.DBGET(#REF!,#REF!,#REF!,#REF!,#REF!,#REF!,$A35,#REF!,#REF!,#REF!,#REF!)</f>
        <v>4019</v>
      </c>
      <c r="E35" s="132">
        <f ca="1">_xll.DBGET(#REF!,#REF!,#REF!,#REF!,#REF!,#REF!,$A35,#REF!,#REF!,#REF!,#REF!)</f>
        <v>182.01496637963999</v>
      </c>
      <c r="F35" s="131">
        <f ca="1">_xll.DBGET(#REF!,#REF!,#REF!,#REF!,#REF!,#REF!,$A35,#REF!,#REF!,#REF!,#REF!)</f>
        <v>0</v>
      </c>
      <c r="G35" s="132">
        <f ca="1">_xll.DBGET(#REF!,#REF!,#REF!,#REF!,#REF!,#REF!,$A35,#REF!,#REF!,#REF!,#REF!)</f>
        <v>0</v>
      </c>
      <c r="H35" s="131">
        <f ca="1">_xll.DBGET(#REF!,#REF!,#REF!,#REF!,#REF!,#REF!,$A35,#REF!,#REF!,#REF!,#REF!)</f>
        <v>5000</v>
      </c>
      <c r="I35" s="132">
        <f ca="1">_xll.DBGET(#REF!,#REF!,#REF!,#REF!,#REF!,#REF!,$A35,#REF!,#REF!,#REF!,#REF!)</f>
        <v>168.30346007914</v>
      </c>
      <c r="J35" s="131">
        <f ca="1">_xll.DBGET(#REF!,#REF!,#REF!,#REF!,#REF!,#REF!,$A35,#REF!,#REF!,#REF!,#REF!)</f>
        <v>0</v>
      </c>
      <c r="K35" s="132">
        <f ca="1">_xll.DBGET(#REF!,#REF!,#REF!,#REF!,#REF!,#REF!,$A35,#REF!,#REF!,#REF!,#REF!)</f>
        <v>0</v>
      </c>
      <c r="L35" s="131">
        <f ca="1">_xll.DBGET(#REF!,#REF!,#REF!,#REF!,#REF!,#REF!,$A35,#REF!,#REF!,#REF!,#REF!)</f>
        <v>0</v>
      </c>
      <c r="M35" s="132">
        <f ca="1">IFERROR((_xll.DBGET(#REF!,#REF!,#REF!,#REF!,#REF!,#REF!,$A35,#REF!,#REF!,#REF!,#REF!))/L35,0)</f>
        <v>0</v>
      </c>
      <c r="N35" s="131">
        <f ca="1">_xll.DBGET(#REF!,#REF!,#REF!,#REF!,#REF!,#REF!,$A35,#REF!,#REF!,#REF!,#REF!)</f>
        <v>0</v>
      </c>
      <c r="O35" s="132">
        <f ca="1">IFERROR((_xll.DBGET(#REF!,#REF!,#REF!,#REF!,#REF!,#REF!,$A35,#REF!,#REF!,#REF!,#REF!))/N35,0)</f>
        <v>0</v>
      </c>
      <c r="P35" s="131">
        <f ca="1">_xll.DBGET(#REF!,#REF!,#REF!,#REF!,#REF!,#REF!,$A35,#REF!,#REF!,#REF!,#REF!)</f>
        <v>0</v>
      </c>
      <c r="Q35" s="132">
        <f ca="1">IFERROR((_xll.DBGET(#REF!,#REF!,#REF!,#REF!,#REF!,#REF!,$A35,#REF!,#REF!,#REF!,#REF!))/P35,0)</f>
        <v>0</v>
      </c>
      <c r="R35" s="131">
        <f ca="1">_xll.DBGET(#REF!,#REF!,#REF!,#REF!,#REF!,#REF!,$A35,#REF!,#REF!,#REF!,#REF!)</f>
        <v>0</v>
      </c>
      <c r="S35" s="132">
        <f ca="1">_xll.DBGET(#REF!,#REF!,#REF!,#REF!,#REF!,#REF!,$A35,#REF!,#REF!,#REF!,#REF!)</f>
        <v>0</v>
      </c>
    </row>
    <row r="36" spans="1:19" x14ac:dyDescent="0.35">
      <c r="A36" s="77" t="s">
        <v>28</v>
      </c>
      <c r="B36" s="131">
        <f ca="1">_xll.DBGET(#REF!,#REF!,#REF!,#REF!,#REF!,#REF!,$A36,#REF!,#REF!,#REF!,#REF!)</f>
        <v>36987</v>
      </c>
      <c r="C36" s="132">
        <f ca="1">_xll.DBGET(#REF!,#REF!,#REF!,#REF!,#REF!,#REF!,$A36,#REF!,#REF!,#REF!,#REF!)</f>
        <v>192.59702632816999</v>
      </c>
      <c r="D36" s="131">
        <f ca="1">_xll.DBGET(#REF!,#REF!,#REF!,#REF!,#REF!,#REF!,$A36,#REF!,#REF!,#REF!,#REF!)</f>
        <v>0</v>
      </c>
      <c r="E36" s="132">
        <f ca="1">_xll.DBGET(#REF!,#REF!,#REF!,#REF!,#REF!,#REF!,$A36,#REF!,#REF!,#REF!,#REF!)</f>
        <v>0</v>
      </c>
      <c r="F36" s="131">
        <f ca="1">_xll.DBGET(#REF!,#REF!,#REF!,#REF!,#REF!,#REF!,$A36,#REF!,#REF!,#REF!,#REF!)</f>
        <v>0</v>
      </c>
      <c r="G36" s="132">
        <f ca="1">_xll.DBGET(#REF!,#REF!,#REF!,#REF!,#REF!,#REF!,$A36,#REF!,#REF!,#REF!,#REF!)</f>
        <v>0</v>
      </c>
      <c r="H36" s="131">
        <f ca="1">_xll.DBGET(#REF!,#REF!,#REF!,#REF!,#REF!,#REF!,$A36,#REF!,#REF!,#REF!,#REF!)</f>
        <v>0</v>
      </c>
      <c r="I36" s="132">
        <f ca="1">_xll.DBGET(#REF!,#REF!,#REF!,#REF!,#REF!,#REF!,$A36,#REF!,#REF!,#REF!,#REF!)</f>
        <v>0</v>
      </c>
      <c r="J36" s="131">
        <f ca="1">_xll.DBGET(#REF!,#REF!,#REF!,#REF!,#REF!,#REF!,$A36,#REF!,#REF!,#REF!,#REF!)</f>
        <v>0</v>
      </c>
      <c r="K36" s="132">
        <f ca="1">_xll.DBGET(#REF!,#REF!,#REF!,#REF!,#REF!,#REF!,$A36,#REF!,#REF!,#REF!,#REF!)</f>
        <v>0</v>
      </c>
      <c r="L36" s="131">
        <f ca="1">_xll.DBGET(#REF!,#REF!,#REF!,#REF!,#REF!,#REF!,$A36,#REF!,#REF!,#REF!,#REF!)</f>
        <v>0</v>
      </c>
      <c r="M36" s="132">
        <f ca="1">IFERROR((_xll.DBGET(#REF!,#REF!,#REF!,#REF!,#REF!,#REF!,$A36,#REF!,#REF!,#REF!,#REF!))/L36,0)</f>
        <v>0</v>
      </c>
      <c r="N36" s="131">
        <f ca="1">_xll.DBGET(#REF!,#REF!,#REF!,#REF!,#REF!,#REF!,$A36,#REF!,#REF!,#REF!,#REF!)</f>
        <v>0</v>
      </c>
      <c r="O36" s="132">
        <f ca="1">IFERROR((_xll.DBGET(#REF!,#REF!,#REF!,#REF!,#REF!,#REF!,$A36,#REF!,#REF!,#REF!,#REF!))/N36,0)</f>
        <v>0</v>
      </c>
      <c r="P36" s="131">
        <f ca="1">_xll.DBGET(#REF!,#REF!,#REF!,#REF!,#REF!,#REF!,$A36,#REF!,#REF!,#REF!,#REF!)</f>
        <v>0</v>
      </c>
      <c r="Q36" s="132">
        <f ca="1">IFERROR((_xll.DBGET(#REF!,#REF!,#REF!,#REF!,#REF!,#REF!,$A36,#REF!,#REF!,#REF!,#REF!))/P36,0)</f>
        <v>0</v>
      </c>
      <c r="R36" s="131">
        <f ca="1">_xll.DBGET(#REF!,#REF!,#REF!,#REF!,#REF!,#REF!,$A36,#REF!,#REF!,#REF!,#REF!)</f>
        <v>0</v>
      </c>
      <c r="S36" s="132">
        <f ca="1">_xll.DBGET(#REF!,#REF!,#REF!,#REF!,#REF!,#REF!,$A36,#REF!,#REF!,#REF!,#REF!)</f>
        <v>0</v>
      </c>
    </row>
    <row r="37" spans="1:19" x14ac:dyDescent="0.35">
      <c r="A37" s="77" t="s">
        <v>29</v>
      </c>
      <c r="B37" s="131">
        <f ca="1">_xll.DBGET(#REF!,#REF!,#REF!,#REF!,#REF!,#REF!,$A37,#REF!,#REF!,#REF!,#REF!)</f>
        <v>3609674</v>
      </c>
      <c r="C37" s="132">
        <f ca="1">_xll.DBGET(#REF!,#REF!,#REF!,#REF!,#REF!,#REF!,$A37,#REF!,#REF!,#REF!,#REF!)</f>
        <v>153.32864197572999</v>
      </c>
      <c r="D37" s="131">
        <f ca="1">_xll.DBGET(#REF!,#REF!,#REF!,#REF!,#REF!,#REF!,$A37,#REF!,#REF!,#REF!,#REF!)</f>
        <v>460757</v>
      </c>
      <c r="E37" s="132">
        <f ca="1">_xll.DBGET(#REF!,#REF!,#REF!,#REF!,#REF!,#REF!,$A37,#REF!,#REF!,#REF!,#REF!)</f>
        <v>145.94633147107999</v>
      </c>
      <c r="F37" s="131">
        <f ca="1">_xll.DBGET(#REF!,#REF!,#REF!,#REF!,#REF!,#REF!,$A37,#REF!,#REF!,#REF!,#REF!)</f>
        <v>349943</v>
      </c>
      <c r="G37" s="132">
        <f ca="1">_xll.DBGET(#REF!,#REF!,#REF!,#REF!,#REF!,#REF!,$A37,#REF!,#REF!,#REF!,#REF!)</f>
        <v>155.35998562541999</v>
      </c>
      <c r="H37" s="131">
        <f ca="1">_xll.DBGET(#REF!,#REF!,#REF!,#REF!,#REF!,#REF!,$A37,#REF!,#REF!,#REF!,#REF!)</f>
        <v>245852</v>
      </c>
      <c r="I37" s="132">
        <f ca="1">_xll.DBGET(#REF!,#REF!,#REF!,#REF!,#REF!,#REF!,$A37,#REF!,#REF!,#REF!,#REF!)</f>
        <v>153.49823629074999</v>
      </c>
      <c r="J37" s="131">
        <f ca="1">_xll.DBGET(#REF!,#REF!,#REF!,#REF!,#REF!,#REF!,$A37,#REF!,#REF!,#REF!,#REF!)</f>
        <v>0</v>
      </c>
      <c r="K37" s="132">
        <f ca="1">_xll.DBGET(#REF!,#REF!,#REF!,#REF!,#REF!,#REF!,$A37,#REF!,#REF!,#REF!,#REF!)</f>
        <v>0</v>
      </c>
      <c r="L37" s="131">
        <f ca="1">_xll.DBGET(#REF!,#REF!,#REF!,#REF!,#REF!,#REF!,$A37,#REF!,#REF!,#REF!,#REF!)</f>
        <v>0</v>
      </c>
      <c r="M37" s="132">
        <f ca="1">IFERROR((_xll.DBGET(#REF!,#REF!,#REF!,#REF!,#REF!,#REF!,$A37,#REF!,#REF!,#REF!,#REF!))/L37,0)</f>
        <v>0</v>
      </c>
      <c r="N37" s="131">
        <f ca="1">_xll.DBGET(#REF!,#REF!,#REF!,#REF!,#REF!,#REF!,$A37,#REF!,#REF!,#REF!,#REF!)</f>
        <v>0</v>
      </c>
      <c r="O37" s="132">
        <f ca="1">IFERROR((_xll.DBGET(#REF!,#REF!,#REF!,#REF!,#REF!,#REF!,$A37,#REF!,#REF!,#REF!,#REF!))/N37,0)</f>
        <v>0</v>
      </c>
      <c r="P37" s="131">
        <f ca="1">_xll.DBGET(#REF!,#REF!,#REF!,#REF!,#REF!,#REF!,$A37,#REF!,#REF!,#REF!,#REF!)</f>
        <v>0</v>
      </c>
      <c r="Q37" s="132">
        <f ca="1">IFERROR((_xll.DBGET(#REF!,#REF!,#REF!,#REF!,#REF!,#REF!,$A37,#REF!,#REF!,#REF!,#REF!))/P37,0)</f>
        <v>0</v>
      </c>
      <c r="R37" s="131">
        <f ca="1">_xll.DBGET(#REF!,#REF!,#REF!,#REF!,#REF!,#REF!,$A37,#REF!,#REF!,#REF!,#REF!)</f>
        <v>0</v>
      </c>
      <c r="S37" s="132">
        <f ca="1">_xll.DBGET(#REF!,#REF!,#REF!,#REF!,#REF!,#REF!,$A37,#REF!,#REF!,#REF!,#REF!)</f>
        <v>0</v>
      </c>
    </row>
    <row r="38" spans="1:19" x14ac:dyDescent="0.35">
      <c r="A38" s="77" t="s">
        <v>30</v>
      </c>
      <c r="B38" s="131">
        <f ca="1">_xll.DBGET(#REF!,#REF!,#REF!,#REF!,#REF!,#REF!,$A38,#REF!,#REF!,#REF!,#REF!)</f>
        <v>19034</v>
      </c>
      <c r="C38" s="132">
        <f ca="1">_xll.DBGET(#REF!,#REF!,#REF!,#REF!,#REF!,#REF!,$A38,#REF!,#REF!,#REF!,#REF!)</f>
        <v>259.37811443731999</v>
      </c>
      <c r="D38" s="131">
        <f ca="1">_xll.DBGET(#REF!,#REF!,#REF!,#REF!,#REF!,#REF!,$A38,#REF!,#REF!,#REF!,#REF!)</f>
        <v>0</v>
      </c>
      <c r="E38" s="132">
        <f ca="1">_xll.DBGET(#REF!,#REF!,#REF!,#REF!,#REF!,#REF!,$A38,#REF!,#REF!,#REF!,#REF!)</f>
        <v>0</v>
      </c>
      <c r="F38" s="131">
        <f ca="1">_xll.DBGET(#REF!,#REF!,#REF!,#REF!,#REF!,#REF!,$A38,#REF!,#REF!,#REF!,#REF!)</f>
        <v>6500</v>
      </c>
      <c r="G38" s="132">
        <f ca="1">_xll.DBGET(#REF!,#REF!,#REF!,#REF!,#REF!,#REF!,$A38,#REF!,#REF!,#REF!,#REF!)</f>
        <v>233.89762743995001</v>
      </c>
      <c r="H38" s="131">
        <f ca="1">_xll.DBGET(#REF!,#REF!,#REF!,#REF!,#REF!,#REF!,$A38,#REF!,#REF!,#REF!,#REF!)</f>
        <v>0</v>
      </c>
      <c r="I38" s="132">
        <f ca="1">_xll.DBGET(#REF!,#REF!,#REF!,#REF!,#REF!,#REF!,$A38,#REF!,#REF!,#REF!,#REF!)</f>
        <v>0</v>
      </c>
      <c r="J38" s="131">
        <f ca="1">_xll.DBGET(#REF!,#REF!,#REF!,#REF!,#REF!,#REF!,$A38,#REF!,#REF!,#REF!,#REF!)</f>
        <v>0</v>
      </c>
      <c r="K38" s="132">
        <f ca="1">_xll.DBGET(#REF!,#REF!,#REF!,#REF!,#REF!,#REF!,$A38,#REF!,#REF!,#REF!,#REF!)</f>
        <v>0</v>
      </c>
      <c r="L38" s="131">
        <f ca="1">_xll.DBGET(#REF!,#REF!,#REF!,#REF!,#REF!,#REF!,$A38,#REF!,#REF!,#REF!,#REF!)</f>
        <v>0</v>
      </c>
      <c r="M38" s="132">
        <f ca="1">IFERROR((_xll.DBGET(#REF!,#REF!,#REF!,#REF!,#REF!,#REF!,$A38,#REF!,#REF!,#REF!,#REF!))/L38,0)</f>
        <v>0</v>
      </c>
      <c r="N38" s="131">
        <f ca="1">_xll.DBGET(#REF!,#REF!,#REF!,#REF!,#REF!,#REF!,$A38,#REF!,#REF!,#REF!,#REF!)</f>
        <v>0</v>
      </c>
      <c r="O38" s="132">
        <f ca="1">IFERROR((_xll.DBGET(#REF!,#REF!,#REF!,#REF!,#REF!,#REF!,$A38,#REF!,#REF!,#REF!,#REF!))/N38,0)</f>
        <v>0</v>
      </c>
      <c r="P38" s="131">
        <f ca="1">_xll.DBGET(#REF!,#REF!,#REF!,#REF!,#REF!,#REF!,$A38,#REF!,#REF!,#REF!,#REF!)</f>
        <v>0</v>
      </c>
      <c r="Q38" s="132">
        <f ca="1">IFERROR((_xll.DBGET(#REF!,#REF!,#REF!,#REF!,#REF!,#REF!,$A38,#REF!,#REF!,#REF!,#REF!))/P38,0)</f>
        <v>0</v>
      </c>
      <c r="R38" s="131">
        <f ca="1">_xll.DBGET(#REF!,#REF!,#REF!,#REF!,#REF!,#REF!,$A38,#REF!,#REF!,#REF!,#REF!)</f>
        <v>0</v>
      </c>
      <c r="S38" s="132">
        <f ca="1">_xll.DBGET(#REF!,#REF!,#REF!,#REF!,#REF!,#REF!,$A38,#REF!,#REF!,#REF!,#REF!)</f>
        <v>0</v>
      </c>
    </row>
    <row r="39" spans="1:19" hidden="1" outlineLevel="1" x14ac:dyDescent="0.35">
      <c r="A39" s="77" t="s">
        <v>57</v>
      </c>
      <c r="B39" s="131">
        <f ca="1">_xll.DBGET(#REF!,#REF!,#REF!,#REF!,#REF!,#REF!,$A39,#REF!,#REF!,#REF!,#REF!)</f>
        <v>0</v>
      </c>
      <c r="C39" s="132">
        <f ca="1">_xll.DBGET(#REF!,#REF!,#REF!,#REF!,#REF!,#REF!,$A39,#REF!,#REF!,#REF!,#REF!)</f>
        <v>0</v>
      </c>
      <c r="D39" s="131">
        <f ca="1">_xll.DBGET(#REF!,#REF!,#REF!,#REF!,#REF!,#REF!,$A39,#REF!,#REF!,#REF!,#REF!)</f>
        <v>0</v>
      </c>
      <c r="E39" s="132">
        <f ca="1">_xll.DBGET(#REF!,#REF!,#REF!,#REF!,#REF!,#REF!,$A39,#REF!,#REF!,#REF!,#REF!)</f>
        <v>0</v>
      </c>
      <c r="F39" s="131">
        <f ca="1">_xll.DBGET(#REF!,#REF!,#REF!,#REF!,#REF!,#REF!,$A39,#REF!,#REF!,#REF!,#REF!)</f>
        <v>0</v>
      </c>
      <c r="G39" s="132">
        <f ca="1">_xll.DBGET(#REF!,#REF!,#REF!,#REF!,#REF!,#REF!,$A39,#REF!,#REF!,#REF!,#REF!)</f>
        <v>0</v>
      </c>
      <c r="H39" s="131">
        <f ca="1">_xll.DBGET(#REF!,#REF!,#REF!,#REF!,#REF!,#REF!,$A39,#REF!,#REF!,#REF!,#REF!)</f>
        <v>0</v>
      </c>
      <c r="I39" s="132">
        <f ca="1">_xll.DBGET(#REF!,#REF!,#REF!,#REF!,#REF!,#REF!,$A39,#REF!,#REF!,#REF!,#REF!)</f>
        <v>0</v>
      </c>
      <c r="J39" s="131">
        <f ca="1">_xll.DBGET(#REF!,#REF!,#REF!,#REF!,#REF!,#REF!,$A39,#REF!,#REF!,#REF!,#REF!)</f>
        <v>0</v>
      </c>
      <c r="K39" s="132">
        <f ca="1">_xll.DBGET(#REF!,#REF!,#REF!,#REF!,#REF!,#REF!,$A39,#REF!,#REF!,#REF!,#REF!)</f>
        <v>0</v>
      </c>
      <c r="L39" s="131">
        <f ca="1">_xll.DBGET(#REF!,#REF!,#REF!,#REF!,#REF!,#REF!,$A39,#REF!,#REF!,#REF!,#REF!)</f>
        <v>0</v>
      </c>
      <c r="M39" s="132">
        <f ca="1">IFERROR((_xll.DBGET(#REF!,#REF!,#REF!,#REF!,#REF!,#REF!,$A39,#REF!,#REF!,#REF!,#REF!))/L39,0)</f>
        <v>0</v>
      </c>
      <c r="N39" s="131">
        <f ca="1">_xll.DBGET(#REF!,#REF!,#REF!,#REF!,#REF!,#REF!,$A39,#REF!,#REF!,#REF!,#REF!)</f>
        <v>0</v>
      </c>
      <c r="O39" s="132">
        <f ca="1">IFERROR((_xll.DBGET(#REF!,#REF!,#REF!,#REF!,#REF!,#REF!,$A39,#REF!,#REF!,#REF!,#REF!))/N39,0)</f>
        <v>0</v>
      </c>
      <c r="P39" s="131">
        <f ca="1">_xll.DBGET(#REF!,#REF!,#REF!,#REF!,#REF!,#REF!,$A39,#REF!,#REF!,#REF!,#REF!)</f>
        <v>0</v>
      </c>
      <c r="Q39" s="132">
        <f ca="1">IFERROR((_xll.DBGET(#REF!,#REF!,#REF!,#REF!,#REF!,#REF!,$A39,#REF!,#REF!,#REF!,#REF!))/P39,0)</f>
        <v>0</v>
      </c>
      <c r="R39" s="131">
        <f ca="1">_xll.DBGET(#REF!,#REF!,#REF!,#REF!,#REF!,#REF!,$A39,#REF!,#REF!,#REF!,#REF!)</f>
        <v>0</v>
      </c>
      <c r="S39" s="132">
        <f ca="1">_xll.DBGET(#REF!,#REF!,#REF!,#REF!,#REF!,#REF!,$A39,#REF!,#REF!,#REF!,#REF!)</f>
        <v>0</v>
      </c>
    </row>
    <row r="40" spans="1:19" collapsed="1" x14ac:dyDescent="0.35">
      <c r="A40" s="77" t="s">
        <v>31</v>
      </c>
      <c r="B40" s="131">
        <f ca="1">_xll.DBGET(#REF!,#REF!,#REF!,#REF!,#REF!,#REF!,$A40,#REF!,#REF!,#REF!,#REF!)</f>
        <v>203554</v>
      </c>
      <c r="C40" s="132">
        <f ca="1">_xll.DBGET(#REF!,#REF!,#REF!,#REF!,#REF!,#REF!,$A40,#REF!,#REF!,#REF!,#REF!)</f>
        <v>204.82144821276</v>
      </c>
      <c r="D40" s="131">
        <f ca="1">_xll.DBGET(#REF!,#REF!,#REF!,#REF!,#REF!,#REF!,$A40,#REF!,#REF!,#REF!,#REF!)</f>
        <v>7406</v>
      </c>
      <c r="E40" s="132">
        <f ca="1">_xll.DBGET(#REF!,#REF!,#REF!,#REF!,#REF!,#REF!,$A40,#REF!,#REF!,#REF!,#REF!)</f>
        <v>168.98500611761</v>
      </c>
      <c r="F40" s="131">
        <f ca="1">_xll.DBGET(#REF!,#REF!,#REF!,#REF!,#REF!,#REF!,$A40,#REF!,#REF!,#REF!,#REF!)</f>
        <v>23029</v>
      </c>
      <c r="G40" s="132">
        <f ca="1">_xll.DBGET(#REF!,#REF!,#REF!,#REF!,#REF!,#REF!,$A40,#REF!,#REF!,#REF!,#REF!)</f>
        <v>162.40910340420001</v>
      </c>
      <c r="H40" s="131">
        <f ca="1">_xll.DBGET(#REF!,#REF!,#REF!,#REF!,#REF!,#REF!,$A40,#REF!,#REF!,#REF!,#REF!)</f>
        <v>16350</v>
      </c>
      <c r="I40" s="132">
        <f ca="1">_xll.DBGET(#REF!,#REF!,#REF!,#REF!,#REF!,#REF!,$A40,#REF!,#REF!,#REF!,#REF!)</f>
        <v>178.83068882452</v>
      </c>
      <c r="J40" s="131">
        <f ca="1">_xll.DBGET(#REF!,#REF!,#REF!,#REF!,#REF!,#REF!,$A40,#REF!,#REF!,#REF!,#REF!)</f>
        <v>0</v>
      </c>
      <c r="K40" s="132">
        <f ca="1">_xll.DBGET(#REF!,#REF!,#REF!,#REF!,#REF!,#REF!,$A40,#REF!,#REF!,#REF!,#REF!)</f>
        <v>0</v>
      </c>
      <c r="L40" s="131">
        <f ca="1">_xll.DBGET(#REF!,#REF!,#REF!,#REF!,#REF!,#REF!,$A40,#REF!,#REF!,#REF!,#REF!)</f>
        <v>0</v>
      </c>
      <c r="M40" s="132">
        <f ca="1">IFERROR((_xll.DBGET(#REF!,#REF!,#REF!,#REF!,#REF!,#REF!,$A40,#REF!,#REF!,#REF!,#REF!))/L40,0)</f>
        <v>0</v>
      </c>
      <c r="N40" s="131">
        <f ca="1">_xll.DBGET(#REF!,#REF!,#REF!,#REF!,#REF!,#REF!,$A40,#REF!,#REF!,#REF!,#REF!)</f>
        <v>0</v>
      </c>
      <c r="O40" s="132">
        <f ca="1">IFERROR((_xll.DBGET(#REF!,#REF!,#REF!,#REF!,#REF!,#REF!,$A40,#REF!,#REF!,#REF!,#REF!))/N40,0)</f>
        <v>0</v>
      </c>
      <c r="P40" s="131">
        <f ca="1">_xll.DBGET(#REF!,#REF!,#REF!,#REF!,#REF!,#REF!,$A40,#REF!,#REF!,#REF!,#REF!)</f>
        <v>0</v>
      </c>
      <c r="Q40" s="132">
        <f ca="1">IFERROR((_xll.DBGET(#REF!,#REF!,#REF!,#REF!,#REF!,#REF!,$A40,#REF!,#REF!,#REF!,#REF!))/P40,0)</f>
        <v>0</v>
      </c>
      <c r="R40" s="131">
        <f ca="1">_xll.DBGET(#REF!,#REF!,#REF!,#REF!,#REF!,#REF!,$A40,#REF!,#REF!,#REF!,#REF!)</f>
        <v>0</v>
      </c>
      <c r="S40" s="132">
        <f ca="1">_xll.DBGET(#REF!,#REF!,#REF!,#REF!,#REF!,#REF!,$A40,#REF!,#REF!,#REF!,#REF!)</f>
        <v>0</v>
      </c>
    </row>
    <row r="41" spans="1:19" x14ac:dyDescent="0.35">
      <c r="A41" s="77" t="s">
        <v>32</v>
      </c>
      <c r="B41" s="131">
        <f ca="1">_xll.DBGET(#REF!,#REF!,#REF!,#REF!,#REF!,#REF!,$A41,#REF!,#REF!,#REF!,#REF!)</f>
        <v>84165</v>
      </c>
      <c r="C41" s="132">
        <f ca="1">_xll.DBGET(#REF!,#REF!,#REF!,#REF!,#REF!,#REF!,$A41,#REF!,#REF!,#REF!,#REF!)</f>
        <v>221.25419310996</v>
      </c>
      <c r="D41" s="131">
        <f ca="1">_xll.DBGET(#REF!,#REF!,#REF!,#REF!,#REF!,#REF!,$A41,#REF!,#REF!,#REF!,#REF!)</f>
        <v>4979</v>
      </c>
      <c r="E41" s="132">
        <f ca="1">_xll.DBGET(#REF!,#REF!,#REF!,#REF!,#REF!,#REF!,$A41,#REF!,#REF!,#REF!,#REF!)</f>
        <v>212.39042497983999</v>
      </c>
      <c r="F41" s="131">
        <f ca="1">_xll.DBGET(#REF!,#REF!,#REF!,#REF!,#REF!,#REF!,$A41,#REF!,#REF!,#REF!,#REF!)</f>
        <v>8827</v>
      </c>
      <c r="G41" s="132">
        <f ca="1">_xll.DBGET(#REF!,#REF!,#REF!,#REF!,#REF!,#REF!,$A41,#REF!,#REF!,#REF!,#REF!)</f>
        <v>205.59395924232001</v>
      </c>
      <c r="H41" s="131">
        <f ca="1">_xll.DBGET(#REF!,#REF!,#REF!,#REF!,#REF!,#REF!,$A41,#REF!,#REF!,#REF!,#REF!)</f>
        <v>24400</v>
      </c>
      <c r="I41" s="132">
        <f ca="1">_xll.DBGET(#REF!,#REF!,#REF!,#REF!,#REF!,#REF!,$A41,#REF!,#REF!,#REF!,#REF!)</f>
        <v>186.54005024013</v>
      </c>
      <c r="J41" s="131">
        <f ca="1">_xll.DBGET(#REF!,#REF!,#REF!,#REF!,#REF!,#REF!,$A41,#REF!,#REF!,#REF!,#REF!)</f>
        <v>0</v>
      </c>
      <c r="K41" s="132">
        <f ca="1">_xll.DBGET(#REF!,#REF!,#REF!,#REF!,#REF!,#REF!,$A41,#REF!,#REF!,#REF!,#REF!)</f>
        <v>0</v>
      </c>
      <c r="L41" s="131">
        <f ca="1">_xll.DBGET(#REF!,#REF!,#REF!,#REF!,#REF!,#REF!,$A41,#REF!,#REF!,#REF!,#REF!)</f>
        <v>0</v>
      </c>
      <c r="M41" s="132">
        <f ca="1">IFERROR((_xll.DBGET(#REF!,#REF!,#REF!,#REF!,#REF!,#REF!,$A41,#REF!,#REF!,#REF!,#REF!))/L41,0)</f>
        <v>0</v>
      </c>
      <c r="N41" s="131">
        <f ca="1">_xll.DBGET(#REF!,#REF!,#REF!,#REF!,#REF!,#REF!,$A41,#REF!,#REF!,#REF!,#REF!)</f>
        <v>0</v>
      </c>
      <c r="O41" s="132">
        <f ca="1">IFERROR((_xll.DBGET(#REF!,#REF!,#REF!,#REF!,#REF!,#REF!,$A41,#REF!,#REF!,#REF!,#REF!))/N41,0)</f>
        <v>0</v>
      </c>
      <c r="P41" s="131">
        <f ca="1">_xll.DBGET(#REF!,#REF!,#REF!,#REF!,#REF!,#REF!,$A41,#REF!,#REF!,#REF!,#REF!)</f>
        <v>0</v>
      </c>
      <c r="Q41" s="132">
        <f ca="1">IFERROR((_xll.DBGET(#REF!,#REF!,#REF!,#REF!,#REF!,#REF!,$A41,#REF!,#REF!,#REF!,#REF!))/P41,0)</f>
        <v>0</v>
      </c>
      <c r="R41" s="131">
        <f ca="1">_xll.DBGET(#REF!,#REF!,#REF!,#REF!,#REF!,#REF!,$A41,#REF!,#REF!,#REF!,#REF!)</f>
        <v>0</v>
      </c>
      <c r="S41" s="132">
        <f ca="1">_xll.DBGET(#REF!,#REF!,#REF!,#REF!,#REF!,#REF!,$A41,#REF!,#REF!,#REF!,#REF!)</f>
        <v>0</v>
      </c>
    </row>
    <row r="42" spans="1:19" x14ac:dyDescent="0.35">
      <c r="A42" s="77" t="s">
        <v>33</v>
      </c>
      <c r="B42" s="131">
        <f ca="1">_xll.DBGET(#REF!,#REF!,#REF!,#REF!,#REF!,#REF!,$A42,#REF!,#REF!,#REF!,#REF!)</f>
        <v>132588</v>
      </c>
      <c r="C42" s="132">
        <f ca="1">_xll.DBGET(#REF!,#REF!,#REF!,#REF!,#REF!,#REF!,$A42,#REF!,#REF!,#REF!,#REF!)</f>
        <v>214.85699933026001</v>
      </c>
      <c r="D42" s="131">
        <f ca="1">_xll.DBGET(#REF!,#REF!,#REF!,#REF!,#REF!,#REF!,$A42,#REF!,#REF!,#REF!,#REF!)</f>
        <v>12213</v>
      </c>
      <c r="E42" s="132">
        <f ca="1">_xll.DBGET(#REF!,#REF!,#REF!,#REF!,#REF!,#REF!,$A42,#REF!,#REF!,#REF!,#REF!)</f>
        <v>230.72181568708999</v>
      </c>
      <c r="F42" s="131">
        <f ca="1">_xll.DBGET(#REF!,#REF!,#REF!,#REF!,#REF!,#REF!,$A42,#REF!,#REF!,#REF!,#REF!)</f>
        <v>26483</v>
      </c>
      <c r="G42" s="132">
        <f ca="1">_xll.DBGET(#REF!,#REF!,#REF!,#REF!,#REF!,#REF!,$A42,#REF!,#REF!,#REF!,#REF!)</f>
        <v>182.11139452657</v>
      </c>
      <c r="H42" s="131">
        <f ca="1">_xll.DBGET(#REF!,#REF!,#REF!,#REF!,#REF!,#REF!,$A42,#REF!,#REF!,#REF!,#REF!)</f>
        <v>9650</v>
      </c>
      <c r="I42" s="132">
        <f ca="1">_xll.DBGET(#REF!,#REF!,#REF!,#REF!,#REF!,#REF!,$A42,#REF!,#REF!,#REF!,#REF!)</f>
        <v>143.50368517064001</v>
      </c>
      <c r="J42" s="131">
        <f ca="1">_xll.DBGET(#REF!,#REF!,#REF!,#REF!,#REF!,#REF!,$A42,#REF!,#REF!,#REF!,#REF!)</f>
        <v>0</v>
      </c>
      <c r="K42" s="132">
        <f ca="1">_xll.DBGET(#REF!,#REF!,#REF!,#REF!,#REF!,#REF!,$A42,#REF!,#REF!,#REF!,#REF!)</f>
        <v>0</v>
      </c>
      <c r="L42" s="131">
        <f ca="1">_xll.DBGET(#REF!,#REF!,#REF!,#REF!,#REF!,#REF!,$A42,#REF!,#REF!,#REF!,#REF!)</f>
        <v>0</v>
      </c>
      <c r="M42" s="132">
        <f ca="1">IFERROR((_xll.DBGET(#REF!,#REF!,#REF!,#REF!,#REF!,#REF!,$A42,#REF!,#REF!,#REF!,#REF!))/L42,0)</f>
        <v>0</v>
      </c>
      <c r="N42" s="131">
        <f ca="1">_xll.DBGET(#REF!,#REF!,#REF!,#REF!,#REF!,#REF!,$A42,#REF!,#REF!,#REF!,#REF!)</f>
        <v>0</v>
      </c>
      <c r="O42" s="132">
        <f ca="1">IFERROR((_xll.DBGET(#REF!,#REF!,#REF!,#REF!,#REF!,#REF!,$A42,#REF!,#REF!,#REF!,#REF!))/N42,0)</f>
        <v>0</v>
      </c>
      <c r="P42" s="131">
        <f ca="1">_xll.DBGET(#REF!,#REF!,#REF!,#REF!,#REF!,#REF!,$A42,#REF!,#REF!,#REF!,#REF!)</f>
        <v>0</v>
      </c>
      <c r="Q42" s="132">
        <f ca="1">IFERROR((_xll.DBGET(#REF!,#REF!,#REF!,#REF!,#REF!,#REF!,$A42,#REF!,#REF!,#REF!,#REF!))/P42,0)</f>
        <v>0</v>
      </c>
      <c r="R42" s="131">
        <f ca="1">_xll.DBGET(#REF!,#REF!,#REF!,#REF!,#REF!,#REF!,$A42,#REF!,#REF!,#REF!,#REF!)</f>
        <v>0</v>
      </c>
      <c r="S42" s="132">
        <f ca="1">_xll.DBGET(#REF!,#REF!,#REF!,#REF!,#REF!,#REF!,$A42,#REF!,#REF!,#REF!,#REF!)</f>
        <v>0</v>
      </c>
    </row>
    <row r="43" spans="1:19" x14ac:dyDescent="0.35">
      <c r="A43" s="77" t="s">
        <v>34</v>
      </c>
      <c r="B43" s="131">
        <f ca="1">_xll.DBGET(#REF!,#REF!,#REF!,#REF!,#REF!,#REF!,$A43,#REF!,#REF!,#REF!,#REF!)</f>
        <v>306959.18</v>
      </c>
      <c r="C43" s="132">
        <f ca="1">_xll.DBGET(#REF!,#REF!,#REF!,#REF!,#REF!,#REF!,$A43,#REF!,#REF!,#REF!,#REF!)</f>
        <v>202.75851607761001</v>
      </c>
      <c r="D43" s="131">
        <f ca="1">_xll.DBGET(#REF!,#REF!,#REF!,#REF!,#REF!,#REF!,$A43,#REF!,#REF!,#REF!,#REF!)</f>
        <v>73291.197</v>
      </c>
      <c r="E43" s="132">
        <f ca="1">_xll.DBGET(#REF!,#REF!,#REF!,#REF!,#REF!,#REF!,$A43,#REF!,#REF!,#REF!,#REF!)</f>
        <v>193.06227965150001</v>
      </c>
      <c r="F43" s="131">
        <f ca="1">_xll.DBGET(#REF!,#REF!,#REF!,#REF!,#REF!,#REF!,$A43,#REF!,#REF!,#REF!,#REF!)</f>
        <v>18500</v>
      </c>
      <c r="G43" s="132">
        <f ca="1">_xll.DBGET(#REF!,#REF!,#REF!,#REF!,#REF!,#REF!,$A43,#REF!,#REF!,#REF!,#REF!)</f>
        <v>212.30553738199001</v>
      </c>
      <c r="H43" s="131">
        <f ca="1">_xll.DBGET(#REF!,#REF!,#REF!,#REF!,#REF!,#REF!,$A43,#REF!,#REF!,#REF!,#REF!)</f>
        <v>37000</v>
      </c>
      <c r="I43" s="132">
        <f ca="1">_xll.DBGET(#REF!,#REF!,#REF!,#REF!,#REF!,#REF!,$A43,#REF!,#REF!,#REF!,#REF!)</f>
        <v>175.49770981404001</v>
      </c>
      <c r="J43" s="131">
        <f ca="1">_xll.DBGET(#REF!,#REF!,#REF!,#REF!,#REF!,#REF!,$A43,#REF!,#REF!,#REF!,#REF!)</f>
        <v>0</v>
      </c>
      <c r="K43" s="132">
        <f ca="1">_xll.DBGET(#REF!,#REF!,#REF!,#REF!,#REF!,#REF!,$A43,#REF!,#REF!,#REF!,#REF!)</f>
        <v>0</v>
      </c>
      <c r="L43" s="131">
        <f ca="1">_xll.DBGET(#REF!,#REF!,#REF!,#REF!,#REF!,#REF!,$A43,#REF!,#REF!,#REF!,#REF!)</f>
        <v>0</v>
      </c>
      <c r="M43" s="132">
        <f ca="1">IFERROR((_xll.DBGET(#REF!,#REF!,#REF!,#REF!,#REF!,#REF!,$A43,#REF!,#REF!,#REF!,#REF!))/L43,0)</f>
        <v>0</v>
      </c>
      <c r="N43" s="131">
        <f ca="1">_xll.DBGET(#REF!,#REF!,#REF!,#REF!,#REF!,#REF!,$A43,#REF!,#REF!,#REF!,#REF!)</f>
        <v>0</v>
      </c>
      <c r="O43" s="132">
        <f ca="1">IFERROR((_xll.DBGET(#REF!,#REF!,#REF!,#REF!,#REF!,#REF!,$A43,#REF!,#REF!,#REF!,#REF!))/N43,0)</f>
        <v>0</v>
      </c>
      <c r="P43" s="131">
        <f ca="1">_xll.DBGET(#REF!,#REF!,#REF!,#REF!,#REF!,#REF!,$A43,#REF!,#REF!,#REF!,#REF!)</f>
        <v>0</v>
      </c>
      <c r="Q43" s="132">
        <f ca="1">IFERROR((_xll.DBGET(#REF!,#REF!,#REF!,#REF!,#REF!,#REF!,$A43,#REF!,#REF!,#REF!,#REF!))/P43,0)</f>
        <v>0</v>
      </c>
      <c r="R43" s="131">
        <f ca="1">_xll.DBGET(#REF!,#REF!,#REF!,#REF!,#REF!,#REF!,$A43,#REF!,#REF!,#REF!,#REF!)</f>
        <v>0</v>
      </c>
      <c r="S43" s="132">
        <f ca="1">_xll.DBGET(#REF!,#REF!,#REF!,#REF!,#REF!,#REF!,$A43,#REF!,#REF!,#REF!,#REF!)</f>
        <v>0</v>
      </c>
    </row>
    <row r="44" spans="1:19" hidden="1" outlineLevel="1" x14ac:dyDescent="0.35">
      <c r="A44" s="77" t="s">
        <v>58</v>
      </c>
      <c r="B44" s="131">
        <f ca="1">_xll.DBGET(#REF!,#REF!,#REF!,#REF!,#REF!,#REF!,$A44,#REF!,#REF!,#REF!,#REF!)</f>
        <v>0</v>
      </c>
      <c r="C44" s="132">
        <f ca="1">_xll.DBGET(#REF!,#REF!,#REF!,#REF!,#REF!,#REF!,$A44,#REF!,#REF!,#REF!,#REF!)</f>
        <v>0</v>
      </c>
      <c r="D44" s="131">
        <f ca="1">_xll.DBGET(#REF!,#REF!,#REF!,#REF!,#REF!,#REF!,$A44,#REF!,#REF!,#REF!,#REF!)</f>
        <v>0</v>
      </c>
      <c r="E44" s="132">
        <f ca="1">_xll.DBGET(#REF!,#REF!,#REF!,#REF!,#REF!,#REF!,$A44,#REF!,#REF!,#REF!,#REF!)</f>
        <v>0</v>
      </c>
      <c r="F44" s="131">
        <f ca="1">_xll.DBGET(#REF!,#REF!,#REF!,#REF!,#REF!,#REF!,$A44,#REF!,#REF!,#REF!,#REF!)</f>
        <v>0</v>
      </c>
      <c r="G44" s="132">
        <f ca="1">_xll.DBGET(#REF!,#REF!,#REF!,#REF!,#REF!,#REF!,$A44,#REF!,#REF!,#REF!,#REF!)</f>
        <v>0</v>
      </c>
      <c r="H44" s="131">
        <f ca="1">_xll.DBGET(#REF!,#REF!,#REF!,#REF!,#REF!,#REF!,$A44,#REF!,#REF!,#REF!,#REF!)</f>
        <v>0</v>
      </c>
      <c r="I44" s="132">
        <f ca="1">_xll.DBGET(#REF!,#REF!,#REF!,#REF!,#REF!,#REF!,$A44,#REF!,#REF!,#REF!,#REF!)</f>
        <v>0</v>
      </c>
      <c r="J44" s="131">
        <f ca="1">_xll.DBGET(#REF!,#REF!,#REF!,#REF!,#REF!,#REF!,$A44,#REF!,#REF!,#REF!,#REF!)</f>
        <v>0</v>
      </c>
      <c r="K44" s="132">
        <f ca="1">_xll.DBGET(#REF!,#REF!,#REF!,#REF!,#REF!,#REF!,$A44,#REF!,#REF!,#REF!,#REF!)</f>
        <v>0</v>
      </c>
      <c r="L44" s="131">
        <f ca="1">_xll.DBGET(#REF!,#REF!,#REF!,#REF!,#REF!,#REF!,$A44,#REF!,#REF!,#REF!,#REF!)-J44</f>
        <v>0</v>
      </c>
      <c r="M44" s="132">
        <f ca="1">IFERROR((_xll.DBGET(#REF!,#REF!,#REF!,#REF!,#REF!,#REF!,$A44,#REF!,#REF!,#REF!,#REF!)-(J44*K44))/L44,0)</f>
        <v>0</v>
      </c>
      <c r="N44" s="131">
        <f ca="1">_xll.DBGET(#REF!,#REF!,#REF!,#REF!,#REF!,#REF!,$A44,#REF!,#REF!,#REF!,#REF!)-J44-L44</f>
        <v>0</v>
      </c>
      <c r="O44" s="132">
        <f ca="1">IFERROR((_xll.DBGET(#REF!,#REF!,#REF!,#REF!,#REF!,#REF!,$A44,#REF!,#REF!,#REF!,#REF!)-(J44*K44)-(L44*M44))/N44,0)</f>
        <v>0</v>
      </c>
      <c r="P44" s="131">
        <f ca="1">_xll.DBGET(#REF!,#REF!,#REF!,#REF!,#REF!,#REF!,$A44,#REF!,#REF!,#REF!,#REF!)-J44-L44-N44</f>
        <v>0</v>
      </c>
      <c r="Q44" s="132">
        <f ca="1">IFERROR((_xll.DBGET(#REF!,#REF!,#REF!,#REF!,#REF!,#REF!,$A44,#REF!,#REF!,#REF!,#REF!)-(J44*K44)-(L44*M44)-(N44*O44))/P44,0)</f>
        <v>0</v>
      </c>
      <c r="R44" s="131">
        <f ca="1">_xll.DBGET(#REF!,#REF!,#REF!,#REF!,#REF!,#REF!,$A44,#REF!,#REF!,#REF!,#REF!)</f>
        <v>0</v>
      </c>
      <c r="S44" s="132">
        <f ca="1">_xll.DBGET(#REF!,#REF!,#REF!,#REF!,#REF!,#REF!,$A44,#REF!,#REF!,#REF!,#REF!)</f>
        <v>0</v>
      </c>
    </row>
    <row r="45" spans="1:19" collapsed="1" x14ac:dyDescent="0.35">
      <c r="A45" s="77" t="s">
        <v>35</v>
      </c>
      <c r="B45" s="131">
        <f ca="1">_xll.DBGET(#REF!,#REF!,#REF!,#REF!,#REF!,#REF!,$A45,#REF!,#REF!,#REF!,#REF!)</f>
        <v>108</v>
      </c>
      <c r="C45" s="132">
        <f ca="1">_xll.DBGET(#REF!,#REF!,#REF!,#REF!,#REF!,#REF!,$A45,#REF!,#REF!,#REF!,#REF!)</f>
        <v>771.13332037037003</v>
      </c>
      <c r="D45" s="131">
        <f ca="1">_xll.DBGET(#REF!,#REF!,#REF!,#REF!,#REF!,#REF!,$A45,#REF!,#REF!,#REF!,#REF!)</f>
        <v>0</v>
      </c>
      <c r="E45" s="132">
        <f ca="1">_xll.DBGET(#REF!,#REF!,#REF!,#REF!,#REF!,#REF!,$A45,#REF!,#REF!,#REF!,#REF!)</f>
        <v>0</v>
      </c>
      <c r="F45" s="131">
        <f ca="1">_xll.DBGET(#REF!,#REF!,#REF!,#REF!,#REF!,#REF!,$A45,#REF!,#REF!,#REF!,#REF!)</f>
        <v>36</v>
      </c>
      <c r="G45" s="132">
        <f ca="1">_xll.DBGET(#REF!,#REF!,#REF!,#REF!,#REF!,#REF!,$A45,#REF!,#REF!,#REF!,#REF!)</f>
        <v>751.56427788224005</v>
      </c>
      <c r="H45" s="131">
        <f ca="1">_xll.DBGET(#REF!,#REF!,#REF!,#REF!,#REF!,#REF!,$A45,#REF!,#REF!,#REF!,#REF!)</f>
        <v>0</v>
      </c>
      <c r="I45" s="132">
        <f ca="1">_xll.DBGET(#REF!,#REF!,#REF!,#REF!,#REF!,#REF!,$A45,#REF!,#REF!,#REF!,#REF!)</f>
        <v>0</v>
      </c>
      <c r="J45" s="131">
        <f ca="1">_xll.DBGET(#REF!,#REF!,#REF!,#REF!,#REF!,#REF!,$A45,#REF!,#REF!,#REF!,#REF!)</f>
        <v>0</v>
      </c>
      <c r="K45" s="132">
        <f ca="1">_xll.DBGET(#REF!,#REF!,#REF!,#REF!,#REF!,#REF!,$A45,#REF!,#REF!,#REF!,#REF!)</f>
        <v>0</v>
      </c>
      <c r="L45" s="131">
        <f ca="1">_xll.DBGET(#REF!,#REF!,#REF!,#REF!,#REF!,#REF!,$A45,#REF!,#REF!,#REF!,#REF!)</f>
        <v>0</v>
      </c>
      <c r="M45" s="132">
        <f ca="1">IFERROR((_xll.DBGET(#REF!,#REF!,#REF!,#REF!,#REF!,#REF!,$A45,#REF!,#REF!,#REF!,#REF!))/L45,0)</f>
        <v>0</v>
      </c>
      <c r="N45" s="131">
        <f ca="1">_xll.DBGET(#REF!,#REF!,#REF!,#REF!,#REF!,#REF!,$A45,#REF!,#REF!,#REF!,#REF!)</f>
        <v>0</v>
      </c>
      <c r="O45" s="132">
        <f ca="1">IFERROR((_xll.DBGET(#REF!,#REF!,#REF!,#REF!,#REF!,#REF!,$A45,#REF!,#REF!,#REF!,#REF!))/N45,0)</f>
        <v>0</v>
      </c>
      <c r="P45" s="131">
        <f ca="1">_xll.DBGET(#REF!,#REF!,#REF!,#REF!,#REF!,#REF!,$A45,#REF!,#REF!,#REF!,#REF!)</f>
        <v>0</v>
      </c>
      <c r="Q45" s="132">
        <f ca="1">IFERROR((_xll.DBGET(#REF!,#REF!,#REF!,#REF!,#REF!,#REF!,$A45,#REF!,#REF!,#REF!,#REF!))/P45,0)</f>
        <v>0</v>
      </c>
      <c r="R45" s="131">
        <f ca="1">_xll.DBGET(#REF!,#REF!,#REF!,#REF!,#REF!,#REF!,$A45,#REF!,#REF!,#REF!,#REF!)</f>
        <v>0</v>
      </c>
      <c r="S45" s="132">
        <f ca="1">_xll.DBGET(#REF!,#REF!,#REF!,#REF!,#REF!,#REF!,$A45,#REF!,#REF!,#REF!,#REF!)</f>
        <v>0</v>
      </c>
    </row>
    <row r="46" spans="1:19" hidden="1" outlineLevel="1" x14ac:dyDescent="0.35">
      <c r="A46" s="77" t="s">
        <v>59</v>
      </c>
      <c r="B46" s="79">
        <f ca="1">_xll.DBGET(#REF!,#REF!,#REF!,#REF!,#REF!,#REF!,$A46,#REF!,#REF!,#REF!,#REF!)</f>
        <v>0</v>
      </c>
      <c r="C46" s="78">
        <f ca="1">_xll.DBGET(#REF!,#REF!,#REF!,#REF!,#REF!,#REF!,$A46,#REF!,#REF!,#REF!,#REF!)</f>
        <v>0</v>
      </c>
      <c r="D46" s="79">
        <f ca="1">_xll.DBGET(#REF!,#REF!,#REF!,#REF!,#REF!,#REF!,$A46,#REF!,#REF!,#REF!,#REF!)</f>
        <v>0</v>
      </c>
      <c r="E46" s="78">
        <f ca="1">_xll.DBGET(#REF!,#REF!,#REF!,#REF!,#REF!,#REF!,$A46,#REF!,#REF!,#REF!,#REF!)</f>
        <v>0</v>
      </c>
      <c r="F46" s="79">
        <f ca="1">_xll.DBGET(#REF!,#REF!,#REF!,#REF!,#REF!,#REF!,$A46,#REF!,#REF!,#REF!,#REF!)</f>
        <v>0</v>
      </c>
      <c r="G46" s="78">
        <f ca="1">_xll.DBGET(#REF!,#REF!,#REF!,#REF!,#REF!,#REF!,$A46,#REF!,#REF!,#REF!,#REF!)</f>
        <v>0</v>
      </c>
      <c r="H46" s="79">
        <f ca="1">_xll.DBGET(#REF!,#REF!,#REF!,#REF!,#REF!,#REF!,$A46,#REF!,#REF!,#REF!,#REF!)</f>
        <v>0</v>
      </c>
      <c r="I46" s="78">
        <f ca="1">_xll.DBGET(#REF!,#REF!,#REF!,#REF!,#REF!,#REF!,$A46,#REF!,#REF!,#REF!,#REF!)</f>
        <v>0</v>
      </c>
      <c r="J46" s="79">
        <f ca="1">_xll.DBGET(#REF!,#REF!,#REF!,#REF!,#REF!,#REF!,$A46,#REF!,#REF!,#REF!,#REF!)</f>
        <v>0</v>
      </c>
      <c r="K46" s="78">
        <f ca="1">_xll.DBGET(#REF!,#REF!,#REF!,#REF!,#REF!,#REF!,$A46,#REF!,#REF!,#REF!,#REF!)</f>
        <v>0</v>
      </c>
      <c r="L46" s="79">
        <f ca="1">_xll.DBGET(#REF!,#REF!,#REF!,#REF!,#REF!,#REF!,$A46,#REF!,#REF!,#REF!,#REF!)-J46</f>
        <v>0</v>
      </c>
      <c r="M46" s="78">
        <f ca="1">IFERROR((_xll.DBGET(#REF!,#REF!,#REF!,#REF!,#REF!,#REF!,$A46,#REF!,#REF!,#REF!,#REF!)-(J46*K46))/L46,0)</f>
        <v>0</v>
      </c>
      <c r="N46" s="79">
        <f ca="1">_xll.DBGET(#REF!,#REF!,#REF!,#REF!,#REF!,#REF!,$A46,#REF!,#REF!,#REF!,#REF!)-J46-L46</f>
        <v>0</v>
      </c>
      <c r="O46" s="78">
        <f ca="1">IFERROR((_xll.DBGET(#REF!,#REF!,#REF!,#REF!,#REF!,#REF!,$A46,#REF!,#REF!,#REF!,#REF!)-(J46*K46)-(L46*M46))/N46,0)</f>
        <v>0</v>
      </c>
      <c r="P46" s="79">
        <f ca="1">_xll.DBGET(#REF!,#REF!,#REF!,#REF!,#REF!,#REF!,$A46,#REF!,#REF!,#REF!,#REF!)-J46-L46-N46</f>
        <v>0</v>
      </c>
      <c r="Q46" s="78">
        <f ca="1">IFERROR((_xll.DBGET(#REF!,#REF!,#REF!,#REF!,#REF!,#REF!,$A46,#REF!,#REF!,#REF!,#REF!)-(J46*K46)-(L46*M46)-(N46*O46))/P46,0)</f>
        <v>0</v>
      </c>
      <c r="R46" s="79">
        <f ca="1">_xll.DBGET(#REF!,#REF!,#REF!,#REF!,#REF!,#REF!,$A46,#REF!,#REF!,#REF!,#REF!)</f>
        <v>0</v>
      </c>
      <c r="S46" s="76">
        <f ca="1">_xll.DBGET(#REF!,#REF!,#REF!,#REF!,#REF!,#REF!,$A46,#REF!,#REF!,#REF!,#REF!)</f>
        <v>0</v>
      </c>
    </row>
    <row r="47" spans="1:19" collapsed="1" x14ac:dyDescent="0.35">
      <c r="B47" s="80"/>
      <c r="C47" s="81"/>
      <c r="D47" s="80"/>
      <c r="E47" s="81"/>
      <c r="F47" s="80"/>
      <c r="G47" s="81"/>
      <c r="H47" s="80"/>
      <c r="I47" s="81"/>
      <c r="J47" s="80"/>
      <c r="K47" s="81"/>
      <c r="L47" s="80"/>
      <c r="M47" s="81"/>
      <c r="N47" s="80"/>
      <c r="O47" s="81"/>
      <c r="P47" s="80"/>
      <c r="Q47" s="81"/>
      <c r="R47" s="80"/>
      <c r="S47" s="81"/>
    </row>
    <row r="48" spans="1:19" ht="37.5" customHeight="1" x14ac:dyDescent="0.5">
      <c r="A48" s="110"/>
      <c r="B48" s="171" t="str">
        <f ca="1">CONCATENATE(#REF!,"
 Forecast")</f>
        <v>Jan-21
 Forecast</v>
      </c>
      <c r="C48" s="171"/>
    </row>
    <row r="49" spans="1:3" ht="16" x14ac:dyDescent="0.5">
      <c r="A49" s="111"/>
      <c r="B49" s="112" t="s">
        <v>0</v>
      </c>
      <c r="C49" s="113" t="s">
        <v>61</v>
      </c>
    </row>
    <row r="50" spans="1:3" x14ac:dyDescent="0.35">
      <c r="A50" s="11" t="s">
        <v>7</v>
      </c>
      <c r="B50" s="129">
        <f ca="1">_xll.DBGET(#REF!,#REF!,#REF!,#REF!,#REF!,#REF!,$A50,#REF!,#REF!,#REF!,#REF!)</f>
        <v>775636</v>
      </c>
      <c r="C50" s="130">
        <f ca="1">_xll.DBGET(#REF!,#REF!,#REF!,#REF!,#REF!,#REF!,$A50,#REF!,#REF!,#REF!,#REF!)</f>
        <v>148.15077426902999</v>
      </c>
    </row>
    <row r="51" spans="1:3" x14ac:dyDescent="0.35">
      <c r="A51" s="13" t="s">
        <v>8</v>
      </c>
      <c r="B51" s="124">
        <f ca="1">_xll.DBGET(#REF!,#REF!,#REF!,#REF!,#REF!,#REF!,$A51,#REF!,#REF!,#REF!,#REF!)</f>
        <v>317650</v>
      </c>
      <c r="C51" s="125">
        <f ca="1">_xll.DBGET(#REF!,#REF!,#REF!,#REF!,#REF!,#REF!,$A51,#REF!,#REF!,#REF!,#REF!)</f>
        <v>131.17070038475001</v>
      </c>
    </row>
    <row r="52" spans="1:3" hidden="1" outlineLevel="1" x14ac:dyDescent="0.35">
      <c r="A52" s="77" t="s">
        <v>36</v>
      </c>
      <c r="B52" s="131">
        <f ca="1">_xll.DBGET(#REF!,#REF!,#REF!,#REF!,#REF!,#REF!,$A52,#REF!,#REF!,#REF!,#REF!)</f>
        <v>0</v>
      </c>
      <c r="C52" s="132">
        <f ca="1">_xll.DBGET(#REF!,#REF!,#REF!,#REF!,#REF!,#REF!,$A52,#REF!,#REF!,#REF!,#REF!)</f>
        <v>0</v>
      </c>
    </row>
    <row r="53" spans="1:3" hidden="1" outlineLevel="1" x14ac:dyDescent="0.35">
      <c r="A53" s="77" t="s">
        <v>37</v>
      </c>
      <c r="B53" s="131">
        <f ca="1">_xll.DBGET(#REF!,#REF!,#REF!,#REF!,#REF!,#REF!,$A53,#REF!,#REF!,#REF!,#REF!)</f>
        <v>0</v>
      </c>
      <c r="C53" s="132">
        <f ca="1">_xll.DBGET(#REF!,#REF!,#REF!,#REF!,#REF!,#REF!,$A53,#REF!,#REF!,#REF!,#REF!)</f>
        <v>0</v>
      </c>
    </row>
    <row r="54" spans="1:3" hidden="1" outlineLevel="1" x14ac:dyDescent="0.35">
      <c r="A54" s="77" t="s">
        <v>38</v>
      </c>
      <c r="B54" s="131">
        <f ca="1">_xll.DBGET(#REF!,#REF!,#REF!,#REF!,#REF!,#REF!,$A54,#REF!,#REF!,#REF!,#REF!)</f>
        <v>0</v>
      </c>
      <c r="C54" s="132">
        <f ca="1">_xll.DBGET(#REF!,#REF!,#REF!,#REF!,#REF!,#REF!,$A54,#REF!,#REF!,#REF!,#REF!)</f>
        <v>0</v>
      </c>
    </row>
    <row r="55" spans="1:3" hidden="1" outlineLevel="1" x14ac:dyDescent="0.35">
      <c r="A55" s="77" t="s">
        <v>39</v>
      </c>
      <c r="B55" s="131">
        <f ca="1">_xll.DBGET(#REF!,#REF!,#REF!,#REF!,#REF!,#REF!,$A55,#REF!,#REF!,#REF!,#REF!)</f>
        <v>0</v>
      </c>
      <c r="C55" s="132">
        <f ca="1">_xll.DBGET(#REF!,#REF!,#REF!,#REF!,#REF!,#REF!,$A55,#REF!,#REF!,#REF!,#REF!)</f>
        <v>0</v>
      </c>
    </row>
    <row r="56" spans="1:3" collapsed="1" x14ac:dyDescent="0.35">
      <c r="A56" s="77" t="s">
        <v>40</v>
      </c>
      <c r="B56" s="131">
        <f ca="1">_xll.DBGET(#REF!,#REF!,#REF!,#REF!,#REF!,#REF!,$A56,#REF!,#REF!,#REF!,#REF!)</f>
        <v>153500</v>
      </c>
      <c r="C56" s="132">
        <f ca="1">_xll.DBGET(#REF!,#REF!,#REF!,#REF!,#REF!,#REF!,$A56,#REF!,#REF!,#REF!,#REF!)</f>
        <v>131.18157605164001</v>
      </c>
    </row>
    <row r="57" spans="1:3" hidden="1" outlineLevel="1" x14ac:dyDescent="0.35">
      <c r="A57" s="77" t="s">
        <v>41</v>
      </c>
      <c r="B57" s="131">
        <f ca="1">_xll.DBGET(#REF!,#REF!,#REF!,#REF!,#REF!,#REF!,$A57,#REF!,#REF!,#REF!,#REF!)</f>
        <v>20150</v>
      </c>
      <c r="C57" s="132">
        <f ca="1">_xll.DBGET(#REF!,#REF!,#REF!,#REF!,#REF!,#REF!,$A57,#REF!,#REF!,#REF!,#REF!)</f>
        <v>131.81343610523001</v>
      </c>
    </row>
    <row r="58" spans="1:3" collapsed="1" x14ac:dyDescent="0.35">
      <c r="A58" s="77" t="s">
        <v>20</v>
      </c>
      <c r="B58" s="131">
        <f ca="1">_xll.DBGET(#REF!,#REF!,#REF!,#REF!,#REF!,#REF!,$A58,#REF!,#REF!,#REF!,#REF!)</f>
        <v>41500</v>
      </c>
      <c r="C58" s="132">
        <f ca="1">_xll.DBGET(#REF!,#REF!,#REF!,#REF!,#REF!,#REF!,$A58,#REF!,#REF!,#REF!,#REF!)</f>
        <v>125.07039883953</v>
      </c>
    </row>
    <row r="59" spans="1:3" x14ac:dyDescent="0.35">
      <c r="A59" s="77" t="s">
        <v>21</v>
      </c>
      <c r="B59" s="131">
        <f ca="1">_xll.DBGET(#REF!,#REF!,#REF!,#REF!,#REF!,#REF!,$A59,#REF!,#REF!,#REF!,#REF!)</f>
        <v>10000</v>
      </c>
      <c r="C59" s="132">
        <f ca="1">_xll.DBGET(#REF!,#REF!,#REF!,#REF!,#REF!,#REF!,$A59,#REF!,#REF!,#REF!,#REF!)</f>
        <v>145.8431150591</v>
      </c>
    </row>
    <row r="60" spans="1:3" x14ac:dyDescent="0.35">
      <c r="A60" s="77" t="s">
        <v>22</v>
      </c>
      <c r="B60" s="131">
        <f ca="1">_xll.DBGET(#REF!,#REF!,#REF!,#REF!,#REF!,#REF!,$A60,#REF!,#REF!,#REF!,#REF!)</f>
        <v>36500</v>
      </c>
      <c r="C60" s="132">
        <f ca="1">_xll.DBGET(#REF!,#REF!,#REF!,#REF!,#REF!,#REF!,$A60,#REF!,#REF!,#REF!,#REF!)</f>
        <v>132.25676208242001</v>
      </c>
    </row>
    <row r="61" spans="1:3" x14ac:dyDescent="0.35">
      <c r="A61" s="77" t="s">
        <v>23</v>
      </c>
      <c r="B61" s="131">
        <f ca="1">_xll.DBGET(#REF!,#REF!,#REF!,#REF!,#REF!,#REF!,$A61,#REF!,#REF!,#REF!,#REF!)</f>
        <v>56000</v>
      </c>
      <c r="C61" s="132">
        <f ca="1">_xll.DBGET(#REF!,#REF!,#REF!,#REF!,#REF!,#REF!,$A61,#REF!,#REF!,#REF!,#REF!)</f>
        <v>132.1024249523</v>
      </c>
    </row>
    <row r="62" spans="1:3" x14ac:dyDescent="0.35">
      <c r="A62" s="77" t="s">
        <v>24</v>
      </c>
      <c r="B62" s="131">
        <f ca="1">_xll.DBGET(#REF!,#REF!,#REF!,#REF!,#REF!,#REF!,$A62,#REF!,#REF!,#REF!,#REF!)</f>
        <v>0</v>
      </c>
      <c r="C62" s="132">
        <f ca="1">_xll.DBGET(#REF!,#REF!,#REF!,#REF!,#REF!,#REF!,$A62,#REF!,#REF!,#REF!,#REF!)</f>
        <v>0</v>
      </c>
    </row>
    <row r="63" spans="1:3" x14ac:dyDescent="0.35">
      <c r="A63" s="13" t="s">
        <v>9</v>
      </c>
      <c r="B63" s="124">
        <f ca="1">_xll.DBGET(#REF!,#REF!,#REF!,#REF!,#REF!,#REF!,$A63,#REF!,#REF!,#REF!,#REF!)</f>
        <v>457986</v>
      </c>
      <c r="C63" s="125">
        <f ca="1">_xll.DBGET(#REF!,#REF!,#REF!,#REF!,#REF!,#REF!,$A63,#REF!,#REF!,#REF!,#REF!)</f>
        <v>159.92781651342</v>
      </c>
    </row>
    <row r="64" spans="1:3" x14ac:dyDescent="0.35">
      <c r="A64" s="77" t="s">
        <v>42</v>
      </c>
      <c r="B64" s="131">
        <f ca="1">_xll.DBGET(#REF!,#REF!,#REF!,#REF!,#REF!,#REF!,$A64,#REF!,#REF!,#REF!,#REF!)</f>
        <v>6500</v>
      </c>
      <c r="C64" s="132">
        <f ca="1">_xll.DBGET(#REF!,#REF!,#REF!,#REF!,#REF!,#REF!,$A64,#REF!,#REF!,#REF!,#REF!)</f>
        <v>157.84245626602001</v>
      </c>
    </row>
    <row r="65" spans="1:3" hidden="1" outlineLevel="1" x14ac:dyDescent="0.35">
      <c r="A65" s="77" t="s">
        <v>43</v>
      </c>
      <c r="B65" s="131">
        <f ca="1">_xll.DBGET(#REF!,#REF!,#REF!,#REF!,#REF!,#REF!,$A65,#REF!,#REF!,#REF!,#REF!)</f>
        <v>0</v>
      </c>
      <c r="C65" s="132">
        <f ca="1">_xll.DBGET(#REF!,#REF!,#REF!,#REF!,#REF!,#REF!,$A65,#REF!,#REF!,#REF!,#REF!)</f>
        <v>0</v>
      </c>
    </row>
    <row r="66" spans="1:3" hidden="1" outlineLevel="1" x14ac:dyDescent="0.35">
      <c r="A66" s="77" t="s">
        <v>44</v>
      </c>
      <c r="B66" s="131">
        <f ca="1">_xll.DBGET(#REF!,#REF!,#REF!,#REF!,#REF!,#REF!,$A66,#REF!,#REF!,#REF!,#REF!)</f>
        <v>0</v>
      </c>
      <c r="C66" s="132">
        <f ca="1">_xll.DBGET(#REF!,#REF!,#REF!,#REF!,#REF!,#REF!,$A66,#REF!,#REF!,#REF!,#REF!)</f>
        <v>0</v>
      </c>
    </row>
    <row r="67" spans="1:3" hidden="1" outlineLevel="1" x14ac:dyDescent="0.35">
      <c r="A67" s="77" t="s">
        <v>45</v>
      </c>
      <c r="B67" s="131">
        <f ca="1">_xll.DBGET(#REF!,#REF!,#REF!,#REF!,#REF!,#REF!,$A67,#REF!,#REF!,#REF!,#REF!)</f>
        <v>0</v>
      </c>
      <c r="C67" s="132">
        <f ca="1">_xll.DBGET(#REF!,#REF!,#REF!,#REF!,#REF!,#REF!,$A67,#REF!,#REF!,#REF!,#REF!)</f>
        <v>0</v>
      </c>
    </row>
    <row r="68" spans="1:3" hidden="1" outlineLevel="1" x14ac:dyDescent="0.35">
      <c r="A68" s="77" t="s">
        <v>46</v>
      </c>
      <c r="B68" s="131">
        <f ca="1">_xll.DBGET(#REF!,#REF!,#REF!,#REF!,#REF!,#REF!,$A68,#REF!,#REF!,#REF!,#REF!)</f>
        <v>0</v>
      </c>
      <c r="C68" s="132">
        <f ca="1">_xll.DBGET(#REF!,#REF!,#REF!,#REF!,#REF!,#REF!,$A68,#REF!,#REF!,#REF!,#REF!)</f>
        <v>0</v>
      </c>
    </row>
    <row r="69" spans="1:3" hidden="1" outlineLevel="1" x14ac:dyDescent="0.35">
      <c r="A69" s="77" t="s">
        <v>47</v>
      </c>
      <c r="B69" s="131">
        <f ca="1">_xll.DBGET(#REF!,#REF!,#REF!,#REF!,#REF!,#REF!,$A69,#REF!,#REF!,#REF!,#REF!)</f>
        <v>0</v>
      </c>
      <c r="C69" s="132">
        <f ca="1">_xll.DBGET(#REF!,#REF!,#REF!,#REF!,#REF!,#REF!,$A69,#REF!,#REF!,#REF!,#REF!)</f>
        <v>0</v>
      </c>
    </row>
    <row r="70" spans="1:3" hidden="1" outlineLevel="1" x14ac:dyDescent="0.35">
      <c r="A70" s="77" t="s">
        <v>48</v>
      </c>
      <c r="B70" s="131">
        <f ca="1">_xll.DBGET(#REF!,#REF!,#REF!,#REF!,#REF!,#REF!,$A70,#REF!,#REF!,#REF!,#REF!)</f>
        <v>0</v>
      </c>
      <c r="C70" s="132">
        <f ca="1">_xll.DBGET(#REF!,#REF!,#REF!,#REF!,#REF!,#REF!,$A70,#REF!,#REF!,#REF!,#REF!)</f>
        <v>0</v>
      </c>
    </row>
    <row r="71" spans="1:3" hidden="1" outlineLevel="1" x14ac:dyDescent="0.35">
      <c r="A71" s="77" t="s">
        <v>49</v>
      </c>
      <c r="B71" s="131">
        <f ca="1">_xll.DBGET(#REF!,#REF!,#REF!,#REF!,#REF!,#REF!,$A71,#REF!,#REF!,#REF!,#REF!)</f>
        <v>0</v>
      </c>
      <c r="C71" s="132">
        <f ca="1">_xll.DBGET(#REF!,#REF!,#REF!,#REF!,#REF!,#REF!,$A71,#REF!,#REF!,#REF!,#REF!)</f>
        <v>0</v>
      </c>
    </row>
    <row r="72" spans="1:3" hidden="1" outlineLevel="1" x14ac:dyDescent="0.35">
      <c r="A72" s="77" t="s">
        <v>50</v>
      </c>
      <c r="B72" s="131">
        <f ca="1">_xll.DBGET(#REF!,#REF!,#REF!,#REF!,#REF!,#REF!,$A72,#REF!,#REF!,#REF!,#REF!)</f>
        <v>0</v>
      </c>
      <c r="C72" s="132">
        <f ca="1">_xll.DBGET(#REF!,#REF!,#REF!,#REF!,#REF!,#REF!,$A72,#REF!,#REF!,#REF!,#REF!)</f>
        <v>0</v>
      </c>
    </row>
    <row r="73" spans="1:3" hidden="1" outlineLevel="1" x14ac:dyDescent="0.35">
      <c r="A73" s="77" t="s">
        <v>51</v>
      </c>
      <c r="B73" s="131">
        <f ca="1">_xll.DBGET(#REF!,#REF!,#REF!,#REF!,#REF!,#REF!,$A73,#REF!,#REF!,#REF!,#REF!)</f>
        <v>0</v>
      </c>
      <c r="C73" s="132">
        <f ca="1">_xll.DBGET(#REF!,#REF!,#REF!,#REF!,#REF!,#REF!,$A73,#REF!,#REF!,#REF!,#REF!)</f>
        <v>0</v>
      </c>
    </row>
    <row r="74" spans="1:3" hidden="1" outlineLevel="1" x14ac:dyDescent="0.35">
      <c r="A74" s="77" t="s">
        <v>52</v>
      </c>
      <c r="B74" s="131">
        <f ca="1">_xll.DBGET(#REF!,#REF!,#REF!,#REF!,#REF!,#REF!,$A74,#REF!,#REF!,#REF!,#REF!)</f>
        <v>0</v>
      </c>
      <c r="C74" s="132">
        <f ca="1">_xll.DBGET(#REF!,#REF!,#REF!,#REF!,#REF!,#REF!,$A74,#REF!,#REF!,#REF!,#REF!)</f>
        <v>0</v>
      </c>
    </row>
    <row r="75" spans="1:3" hidden="1" outlineLevel="1" x14ac:dyDescent="0.35">
      <c r="A75" s="77" t="s">
        <v>53</v>
      </c>
      <c r="B75" s="131">
        <f ca="1">_xll.DBGET(#REF!,#REF!,#REF!,#REF!,#REF!,#REF!,$A75,#REF!,#REF!,#REF!,#REF!)</f>
        <v>0</v>
      </c>
      <c r="C75" s="132">
        <f ca="1">_xll.DBGET(#REF!,#REF!,#REF!,#REF!,#REF!,#REF!,$A75,#REF!,#REF!,#REF!,#REF!)</f>
        <v>0</v>
      </c>
    </row>
    <row r="76" spans="1:3" hidden="1" outlineLevel="1" x14ac:dyDescent="0.35">
      <c r="A76" s="77" t="s">
        <v>54</v>
      </c>
      <c r="B76" s="131">
        <f ca="1">_xll.DBGET(#REF!,#REF!,#REF!,#REF!,#REF!,#REF!,$A76,#REF!,#REF!,#REF!,#REF!)</f>
        <v>0</v>
      </c>
      <c r="C76" s="132">
        <f ca="1">_xll.DBGET(#REF!,#REF!,#REF!,#REF!,#REF!,#REF!,$A76,#REF!,#REF!,#REF!,#REF!)</f>
        <v>0</v>
      </c>
    </row>
    <row r="77" spans="1:3" hidden="1" outlineLevel="1" x14ac:dyDescent="0.35">
      <c r="A77" s="77" t="s">
        <v>55</v>
      </c>
      <c r="B77" s="131">
        <f ca="1">_xll.DBGET(#REF!,#REF!,#REF!,#REF!,#REF!,#REF!,$A77,#REF!,#REF!,#REF!,#REF!)</f>
        <v>0</v>
      </c>
      <c r="C77" s="132">
        <f ca="1">_xll.DBGET(#REF!,#REF!,#REF!,#REF!,#REF!,#REF!,$A77,#REF!,#REF!,#REF!,#REF!)</f>
        <v>0</v>
      </c>
    </row>
    <row r="78" spans="1:3" hidden="1" outlineLevel="1" x14ac:dyDescent="0.35">
      <c r="A78" s="77" t="s">
        <v>56</v>
      </c>
      <c r="B78" s="131">
        <f ca="1">_xll.DBGET(#REF!,#REF!,#REF!,#REF!,#REF!,#REF!,$A78,#REF!,#REF!,#REF!,#REF!)</f>
        <v>0</v>
      </c>
      <c r="C78" s="132">
        <f ca="1">_xll.DBGET(#REF!,#REF!,#REF!,#REF!,#REF!,#REF!,$A78,#REF!,#REF!,#REF!,#REF!)</f>
        <v>0</v>
      </c>
    </row>
    <row r="79" spans="1:3" collapsed="1" x14ac:dyDescent="0.35">
      <c r="A79" s="77" t="s">
        <v>25</v>
      </c>
      <c r="B79" s="131">
        <f ca="1">_xll.DBGET(#REF!,#REF!,#REF!,#REF!,#REF!,#REF!,$A79,#REF!,#REF!,#REF!,#REF!)</f>
        <v>168300</v>
      </c>
      <c r="C79" s="132">
        <f ca="1">_xll.DBGET(#REF!,#REF!,#REF!,#REF!,#REF!,#REF!,$A79,#REF!,#REF!,#REF!,#REF!)</f>
        <v>159.32361360350001</v>
      </c>
    </row>
    <row r="80" spans="1:3" x14ac:dyDescent="0.35">
      <c r="A80" s="77" t="s">
        <v>26</v>
      </c>
      <c r="B80" s="131">
        <f ca="1">_xll.DBGET(#REF!,#REF!,#REF!,#REF!,#REF!,#REF!,$A80,#REF!,#REF!,#REF!,#REF!)</f>
        <v>52500</v>
      </c>
      <c r="C80" s="132">
        <f ca="1">_xll.DBGET(#REF!,#REF!,#REF!,#REF!,#REF!,#REF!,$A80,#REF!,#REF!,#REF!,#REF!)</f>
        <v>144.33311505958</v>
      </c>
    </row>
    <row r="81" spans="1:3" x14ac:dyDescent="0.35">
      <c r="A81" s="77" t="s">
        <v>27</v>
      </c>
      <c r="B81" s="131">
        <f ca="1">_xll.DBGET(#REF!,#REF!,#REF!,#REF!,#REF!,#REF!,$A81,#REF!,#REF!,#REF!,#REF!)</f>
        <v>0</v>
      </c>
      <c r="C81" s="132">
        <f ca="1">_xll.DBGET(#REF!,#REF!,#REF!,#REF!,#REF!,#REF!,$A81,#REF!,#REF!,#REF!,#REF!)</f>
        <v>0</v>
      </c>
    </row>
    <row r="82" spans="1:3" x14ac:dyDescent="0.35">
      <c r="A82" s="77" t="s">
        <v>28</v>
      </c>
      <c r="B82" s="131">
        <f ca="1">_xll.DBGET(#REF!,#REF!,#REF!,#REF!,#REF!,#REF!,$A82,#REF!,#REF!,#REF!,#REF!)</f>
        <v>6000</v>
      </c>
      <c r="C82" s="132">
        <f ca="1">_xll.DBGET(#REF!,#REF!,#REF!,#REF!,#REF!,#REF!,$A82,#REF!,#REF!,#REF!,#REF!)</f>
        <v>188.25029985577001</v>
      </c>
    </row>
    <row r="83" spans="1:3" x14ac:dyDescent="0.35">
      <c r="A83" s="77" t="s">
        <v>29</v>
      </c>
      <c r="B83" s="131">
        <f ca="1">_xll.DBGET(#REF!,#REF!,#REF!,#REF!,#REF!,#REF!,$A83,#REF!,#REF!,#REF!,#REF!)</f>
        <v>174400</v>
      </c>
      <c r="C83" s="132">
        <f ca="1">_xll.DBGET(#REF!,#REF!,#REF!,#REF!,#REF!,#REF!,$A83,#REF!,#REF!,#REF!,#REF!)</f>
        <v>160.27983575548001</v>
      </c>
    </row>
    <row r="84" spans="1:3" x14ac:dyDescent="0.35">
      <c r="A84" s="77" t="s">
        <v>30</v>
      </c>
      <c r="B84" s="131">
        <f ca="1">_xll.DBGET(#REF!,#REF!,#REF!,#REF!,#REF!,#REF!,$A84,#REF!,#REF!,#REF!,#REF!)</f>
        <v>0</v>
      </c>
      <c r="C84" s="132">
        <f ca="1">_xll.DBGET(#REF!,#REF!,#REF!,#REF!,#REF!,#REF!,$A84,#REF!,#REF!,#REF!,#REF!)</f>
        <v>0</v>
      </c>
    </row>
    <row r="85" spans="1:3" hidden="1" outlineLevel="1" x14ac:dyDescent="0.35">
      <c r="A85" s="77" t="s">
        <v>57</v>
      </c>
      <c r="B85" s="131">
        <f ca="1">_xll.DBGET(#REF!,#REF!,#REF!,#REF!,#REF!,#REF!,$A85,#REF!,#REF!,#REF!,#REF!)</f>
        <v>0</v>
      </c>
      <c r="C85" s="132">
        <f ca="1">_xll.DBGET(#REF!,#REF!,#REF!,#REF!,#REF!,#REF!,$A85,#REF!,#REF!,#REF!,#REF!)</f>
        <v>0</v>
      </c>
    </row>
    <row r="86" spans="1:3" collapsed="1" x14ac:dyDescent="0.35">
      <c r="A86" s="77" t="s">
        <v>31</v>
      </c>
      <c r="B86" s="131">
        <f ca="1">_xll.DBGET(#REF!,#REF!,#REF!,#REF!,#REF!,#REF!,$A86,#REF!,#REF!,#REF!,#REF!)</f>
        <v>15000</v>
      </c>
      <c r="C86" s="132">
        <f ca="1">_xll.DBGET(#REF!,#REF!,#REF!,#REF!,#REF!,#REF!,$A86,#REF!,#REF!,#REF!,#REF!)</f>
        <v>142.67019570105001</v>
      </c>
    </row>
    <row r="87" spans="1:3" x14ac:dyDescent="0.35">
      <c r="A87" s="77" t="s">
        <v>32</v>
      </c>
      <c r="B87" s="131">
        <f ca="1">_xll.DBGET(#REF!,#REF!,#REF!,#REF!,#REF!,#REF!,$A87,#REF!,#REF!,#REF!,#REF!)</f>
        <v>0</v>
      </c>
      <c r="C87" s="132">
        <f ca="1">_xll.DBGET(#REF!,#REF!,#REF!,#REF!,#REF!,#REF!,$A87,#REF!,#REF!,#REF!,#REF!)</f>
        <v>0</v>
      </c>
    </row>
    <row r="88" spans="1:3" x14ac:dyDescent="0.35">
      <c r="A88" s="77" t="s">
        <v>33</v>
      </c>
      <c r="B88" s="131">
        <f ca="1">_xll.DBGET(#REF!,#REF!,#REF!,#REF!,#REF!,#REF!,$A88,#REF!,#REF!,#REF!,#REF!)</f>
        <v>10250</v>
      </c>
      <c r="C88" s="132">
        <f ca="1">_xll.DBGET(#REF!,#REF!,#REF!,#REF!,#REF!,#REF!,$A88,#REF!,#REF!,#REF!,#REF!)</f>
        <v>201.47486991105001</v>
      </c>
    </row>
    <row r="89" spans="1:3" x14ac:dyDescent="0.35">
      <c r="A89" s="77" t="s">
        <v>34</v>
      </c>
      <c r="B89" s="131">
        <f ca="1">_xll.DBGET(#REF!,#REF!,#REF!,#REF!,#REF!,#REF!,$A89,#REF!,#REF!,#REF!,#REF!)</f>
        <v>25000</v>
      </c>
      <c r="C89" s="132">
        <f ca="1">_xll.DBGET(#REF!,#REF!,#REF!,#REF!,#REF!,#REF!,$A89,#REF!,#REF!,#REF!,#REF!)</f>
        <v>180.50671462073001</v>
      </c>
    </row>
    <row r="90" spans="1:3" hidden="1" outlineLevel="1" x14ac:dyDescent="0.35">
      <c r="A90" s="77" t="s">
        <v>58</v>
      </c>
      <c r="B90" s="131">
        <f ca="1">_xll.DBGET(#REF!,#REF!,#REF!,#REF!,#REF!,#REF!,$A90,#REF!,#REF!,#REF!,#REF!)</f>
        <v>0</v>
      </c>
      <c r="C90" s="132">
        <f ca="1">_xll.DBGET(#REF!,#REF!,#REF!,#REF!,#REF!,#REF!,$A90,#REF!,#REF!,#REF!,#REF!)</f>
        <v>0</v>
      </c>
    </row>
    <row r="91" spans="1:3" collapsed="1" x14ac:dyDescent="0.35">
      <c r="A91" s="77" t="s">
        <v>35</v>
      </c>
      <c r="B91" s="131">
        <f ca="1">_xll.DBGET(#REF!,#REF!,#REF!,#REF!,#REF!,#REF!,$A91,#REF!,#REF!,#REF!,#REF!)</f>
        <v>36</v>
      </c>
      <c r="C91" s="132">
        <f ca="1">_xll.DBGET(#REF!,#REF!,#REF!,#REF!,#REF!,#REF!,$A91,#REF!,#REF!,#REF!,#REF!)</f>
        <v>748.02570495884004</v>
      </c>
    </row>
  </sheetData>
  <mergeCells count="11">
    <mergeCell ref="R2:S2"/>
    <mergeCell ref="B48:C48"/>
    <mergeCell ref="A1:S1"/>
    <mergeCell ref="B2:C2"/>
    <mergeCell ref="D2:E2"/>
    <mergeCell ref="F2:G2"/>
    <mergeCell ref="H2:I2"/>
    <mergeCell ref="J2:K2"/>
    <mergeCell ref="L2:M2"/>
    <mergeCell ref="N2:O2"/>
    <mergeCell ref="P2:Q2"/>
  </mergeCells>
  <pageMargins left="0.70866141732283472" right="0.70866141732283472" top="0.74803149606299213" bottom="0.74803149606299213" header="0.31496062992125984" footer="0.31496062992125984"/>
  <pageSetup scale="48" orientation="landscape" r:id="rId1"/>
  <customProperties>
    <customPr name="IbpWorksheetKeyString_GU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5" tint="0.39997558519241921"/>
    <pageSetUpPr fitToPage="1"/>
  </sheetPr>
  <dimension ref="A1:AP24"/>
  <sheetViews>
    <sheetView zoomScaleNormal="100" workbookViewId="0">
      <selection sqref="A1:N1"/>
    </sheetView>
  </sheetViews>
  <sheetFormatPr defaultColWidth="9.1796875" defaultRowHeight="14.5" x14ac:dyDescent="0.35"/>
  <cols>
    <col min="1" max="1" width="10.26953125" style="22" customWidth="1"/>
    <col min="2" max="14" width="13.54296875" style="22" customWidth="1"/>
    <col min="15" max="15" width="10.26953125" style="22" customWidth="1"/>
    <col min="16" max="28" width="13.54296875" style="22" customWidth="1"/>
    <col min="29" max="29" width="10.26953125" style="22" customWidth="1"/>
    <col min="30" max="42" width="13.54296875" style="22" customWidth="1"/>
    <col min="43" max="16384" width="9.1796875" style="22"/>
  </cols>
  <sheetData>
    <row r="1" spans="1:42" ht="26.5" x14ac:dyDescent="0.85">
      <c r="A1" s="167" t="s">
        <v>109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 t="str">
        <f>A1</f>
        <v>Two Year Rail Billings Forecast, by Grade - Nutrien</v>
      </c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 t="str">
        <f>A1</f>
        <v>Two Year Rail Billings Forecast, by Grade - Nutrien</v>
      </c>
      <c r="AD1" s="167"/>
      <c r="AE1" s="167"/>
      <c r="AF1" s="167"/>
      <c r="AG1" s="167"/>
      <c r="AH1" s="167"/>
      <c r="AI1" s="167"/>
      <c r="AJ1" s="167"/>
      <c r="AK1" s="167"/>
      <c r="AL1" s="167"/>
      <c r="AM1" s="167"/>
      <c r="AN1" s="167"/>
      <c r="AO1" s="167"/>
      <c r="AP1" s="167"/>
    </row>
    <row r="2" spans="1:42" s="8" customFormat="1" ht="21.75" customHeight="1" x14ac:dyDescent="0.5">
      <c r="A2" s="115"/>
      <c r="B2" s="177" t="s">
        <v>107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15"/>
      <c r="P2" s="177" t="s">
        <v>108</v>
      </c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15"/>
      <c r="AD2" s="177" t="s">
        <v>130</v>
      </c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</row>
    <row r="3" spans="1:42" ht="34.5" customHeight="1" x14ac:dyDescent="0.35">
      <c r="A3" s="111"/>
      <c r="B3" s="116">
        <v>43831</v>
      </c>
      <c r="C3" s="116">
        <v>43862</v>
      </c>
      <c r="D3" s="116">
        <v>43891</v>
      </c>
      <c r="E3" s="116">
        <v>43922</v>
      </c>
      <c r="F3" s="116">
        <v>43952</v>
      </c>
      <c r="G3" s="116">
        <v>43983</v>
      </c>
      <c r="H3" s="116">
        <v>44013</v>
      </c>
      <c r="I3" s="116">
        <v>44044</v>
      </c>
      <c r="J3" s="116">
        <v>44075</v>
      </c>
      <c r="K3" s="116">
        <v>44105</v>
      </c>
      <c r="L3" s="116">
        <v>44136</v>
      </c>
      <c r="M3" s="116">
        <v>44166</v>
      </c>
      <c r="N3" s="176" t="s">
        <v>67</v>
      </c>
      <c r="O3" s="111"/>
      <c r="P3" s="116">
        <v>44197</v>
      </c>
      <c r="Q3" s="116">
        <v>44228</v>
      </c>
      <c r="R3" s="116">
        <v>44256</v>
      </c>
      <c r="S3" s="116">
        <v>44287</v>
      </c>
      <c r="T3" s="116">
        <v>44317</v>
      </c>
      <c r="U3" s="116">
        <v>44348</v>
      </c>
      <c r="V3" s="116">
        <v>44378</v>
      </c>
      <c r="W3" s="116">
        <v>44409</v>
      </c>
      <c r="X3" s="116">
        <v>44440</v>
      </c>
      <c r="Y3" s="116">
        <v>44470</v>
      </c>
      <c r="Z3" s="116">
        <v>44501</v>
      </c>
      <c r="AA3" s="116">
        <v>44531</v>
      </c>
      <c r="AB3" s="176" t="s">
        <v>68</v>
      </c>
      <c r="AC3" s="111"/>
      <c r="AD3" s="116">
        <v>44562</v>
      </c>
      <c r="AE3" s="116">
        <v>44593</v>
      </c>
      <c r="AF3" s="116">
        <v>44621</v>
      </c>
      <c r="AG3" s="116">
        <v>44652</v>
      </c>
      <c r="AH3" s="116">
        <v>44682</v>
      </c>
      <c r="AI3" s="116">
        <v>44713</v>
      </c>
      <c r="AJ3" s="116">
        <v>44743</v>
      </c>
      <c r="AK3" s="116">
        <v>44774</v>
      </c>
      <c r="AL3" s="116">
        <v>44805</v>
      </c>
      <c r="AM3" s="116">
        <v>44835</v>
      </c>
      <c r="AN3" s="162">
        <v>44866</v>
      </c>
      <c r="AO3" s="162">
        <v>44896</v>
      </c>
      <c r="AP3" s="176" t="s">
        <v>131</v>
      </c>
    </row>
    <row r="4" spans="1:42" ht="16" x14ac:dyDescent="0.5">
      <c r="A4" s="111"/>
      <c r="B4" s="114" t="s">
        <v>134</v>
      </c>
      <c r="C4" s="114" t="s">
        <v>134</v>
      </c>
      <c r="D4" s="114" t="s">
        <v>134</v>
      </c>
      <c r="E4" s="114" t="s">
        <v>134</v>
      </c>
      <c r="F4" s="114" t="s">
        <v>134</v>
      </c>
      <c r="G4" s="114" t="s">
        <v>134</v>
      </c>
      <c r="H4" s="114" t="s">
        <v>134</v>
      </c>
      <c r="I4" s="114" t="s">
        <v>134</v>
      </c>
      <c r="J4" s="114" t="s">
        <v>134</v>
      </c>
      <c r="K4" s="114" t="s">
        <v>102</v>
      </c>
      <c r="L4" s="114" t="s">
        <v>102</v>
      </c>
      <c r="M4" s="114" t="s">
        <v>102</v>
      </c>
      <c r="N4" s="176"/>
      <c r="O4" s="111"/>
      <c r="P4" s="114" t="s">
        <v>102</v>
      </c>
      <c r="Q4" s="114" t="s">
        <v>102</v>
      </c>
      <c r="R4" s="114" t="s">
        <v>102</v>
      </c>
      <c r="S4" s="114" t="s">
        <v>102</v>
      </c>
      <c r="T4" s="114" t="s">
        <v>102</v>
      </c>
      <c r="U4" s="114" t="s">
        <v>102</v>
      </c>
      <c r="V4" s="114" t="s">
        <v>102</v>
      </c>
      <c r="W4" s="114" t="s">
        <v>102</v>
      </c>
      <c r="X4" s="114" t="s">
        <v>102</v>
      </c>
      <c r="Y4" s="114" t="s">
        <v>102</v>
      </c>
      <c r="Z4" s="114" t="s">
        <v>102</v>
      </c>
      <c r="AA4" s="114" t="s">
        <v>102</v>
      </c>
      <c r="AB4" s="176"/>
      <c r="AC4" s="111"/>
      <c r="AD4" s="114" t="s">
        <v>102</v>
      </c>
      <c r="AE4" s="114" t="s">
        <v>102</v>
      </c>
      <c r="AF4" s="114" t="s">
        <v>102</v>
      </c>
      <c r="AG4" s="114" t="s">
        <v>102</v>
      </c>
      <c r="AH4" s="114" t="s">
        <v>102</v>
      </c>
      <c r="AI4" s="114" t="s">
        <v>102</v>
      </c>
      <c r="AJ4" s="114" t="s">
        <v>102</v>
      </c>
      <c r="AK4" s="114" t="s">
        <v>102</v>
      </c>
      <c r="AL4" s="114" t="s">
        <v>102</v>
      </c>
      <c r="AM4" s="114" t="s">
        <v>102</v>
      </c>
      <c r="AN4" s="163" t="s">
        <v>102</v>
      </c>
      <c r="AO4" s="163" t="s">
        <v>102</v>
      </c>
      <c r="AP4" s="176"/>
    </row>
    <row r="5" spans="1:42" x14ac:dyDescent="0.35">
      <c r="A5" s="11" t="s">
        <v>7</v>
      </c>
      <c r="B5" s="12">
        <f t="shared" ref="B5:M5" si="0">SUM(B6,B13)</f>
        <v>416568.60800000007</v>
      </c>
      <c r="C5" s="12">
        <f t="shared" si="0"/>
        <v>520513.74699999997</v>
      </c>
      <c r="D5" s="12">
        <f t="shared" si="0"/>
        <v>793224.90800000005</v>
      </c>
      <c r="E5" s="12">
        <f t="shared" si="0"/>
        <v>831974.22399999993</v>
      </c>
      <c r="F5" s="12">
        <f t="shared" si="0"/>
        <v>732608.152</v>
      </c>
      <c r="G5" s="12">
        <f t="shared" si="0"/>
        <v>849668.79200000002</v>
      </c>
      <c r="H5" s="12">
        <f t="shared" si="0"/>
        <v>752839.18500000006</v>
      </c>
      <c r="I5" s="12">
        <f t="shared" si="0"/>
        <v>692653.13399999996</v>
      </c>
      <c r="J5" s="12">
        <f t="shared" si="0"/>
        <v>806766.70600000001</v>
      </c>
      <c r="K5" s="12">
        <f t="shared" si="0"/>
        <v>542590.03500000003</v>
      </c>
      <c r="L5" s="12">
        <f t="shared" si="0"/>
        <v>627514.5</v>
      </c>
      <c r="M5" s="12">
        <f t="shared" si="0"/>
        <v>442321.5</v>
      </c>
      <c r="N5" s="25">
        <f>SUM(B5:M5)</f>
        <v>8009243.4909999995</v>
      </c>
      <c r="O5" s="11" t="s">
        <v>7</v>
      </c>
      <c r="P5" s="12">
        <f t="shared" ref="P5:AA5" si="1">SUM(P6,P13)</f>
        <v>574943</v>
      </c>
      <c r="Q5" s="12">
        <f t="shared" si="1"/>
        <v>643561.45799999998</v>
      </c>
      <c r="R5" s="12">
        <f t="shared" si="1"/>
        <v>761183.73699999996</v>
      </c>
      <c r="S5" s="12">
        <f t="shared" si="1"/>
        <v>749029.5</v>
      </c>
      <c r="T5" s="12">
        <f t="shared" si="1"/>
        <v>726777</v>
      </c>
      <c r="U5" s="12">
        <f t="shared" si="1"/>
        <v>729352.28200000001</v>
      </c>
      <c r="V5" s="12">
        <f t="shared" si="1"/>
        <v>767763</v>
      </c>
      <c r="W5" s="12">
        <f t="shared" si="1"/>
        <v>780597.5</v>
      </c>
      <c r="X5" s="12">
        <f t="shared" si="1"/>
        <v>674095.5</v>
      </c>
      <c r="Y5" s="12">
        <f t="shared" si="1"/>
        <v>687431.66500000004</v>
      </c>
      <c r="Z5" s="12">
        <f t="shared" si="1"/>
        <v>664588</v>
      </c>
      <c r="AA5" s="12">
        <f t="shared" si="1"/>
        <v>538029</v>
      </c>
      <c r="AB5" s="25">
        <f t="shared" ref="AB5:AB13" si="2">SUM(P5:AA5)</f>
        <v>8297351.642</v>
      </c>
      <c r="AC5" s="11" t="s">
        <v>7</v>
      </c>
      <c r="AD5" s="12">
        <f>SUM(AD6,AD13)</f>
        <v>509058.44990727573</v>
      </c>
      <c r="AE5" s="12">
        <f>SUM(AE6,AE13)</f>
        <v>631642.83984863781</v>
      </c>
      <c r="AF5" s="12">
        <f>SUM(AF6,AF13)</f>
        <v>778250.71221548389</v>
      </c>
      <c r="AG5" s="12">
        <f t="shared" ref="AG5:AO5" si="3">SUM(AG6,AG13)</f>
        <v>747904.87398730195</v>
      </c>
      <c r="AH5" s="12">
        <f t="shared" si="3"/>
        <v>774472.83992592129</v>
      </c>
      <c r="AI5" s="12">
        <f t="shared" si="3"/>
        <v>741183.85548571707</v>
      </c>
      <c r="AJ5" s="12">
        <f t="shared" si="3"/>
        <v>871499.9803311876</v>
      </c>
      <c r="AK5" s="12">
        <f t="shared" si="3"/>
        <v>747979.47080956097</v>
      </c>
      <c r="AL5" s="12">
        <f t="shared" si="3"/>
        <v>718576.52032695699</v>
      </c>
      <c r="AM5" s="12">
        <f t="shared" si="3"/>
        <v>679379.87391710631</v>
      </c>
      <c r="AN5" s="164">
        <f t="shared" si="3"/>
        <v>0</v>
      </c>
      <c r="AO5" s="164">
        <f t="shared" si="3"/>
        <v>0</v>
      </c>
      <c r="AP5" s="25">
        <f>SUM(AD5:AO5)</f>
        <v>7199949.4167551501</v>
      </c>
    </row>
    <row r="6" spans="1:42" x14ac:dyDescent="0.35">
      <c r="A6" s="13" t="s">
        <v>8</v>
      </c>
      <c r="B6" s="14">
        <f>SUM(B7:B12)</f>
        <v>139635.86800000002</v>
      </c>
      <c r="C6" s="14">
        <f t="shared" ref="C6:M6" si="4">SUM(C7:C12)</f>
        <v>256068.11</v>
      </c>
      <c r="D6" s="14">
        <f t="shared" si="4"/>
        <v>307081.35100000002</v>
      </c>
      <c r="E6" s="14">
        <f t="shared" si="4"/>
        <v>296875.30499999999</v>
      </c>
      <c r="F6" s="14">
        <f t="shared" si="4"/>
        <v>251847.44500000001</v>
      </c>
      <c r="G6" s="14">
        <f t="shared" si="4"/>
        <v>295698.799</v>
      </c>
      <c r="H6" s="14">
        <f t="shared" si="4"/>
        <v>311763.84399999998</v>
      </c>
      <c r="I6" s="14">
        <f t="shared" si="4"/>
        <v>302643.00699999998</v>
      </c>
      <c r="J6" s="14">
        <f t="shared" si="4"/>
        <v>333313.58199999999</v>
      </c>
      <c r="K6" s="14">
        <f t="shared" si="4"/>
        <v>198162.72500000003</v>
      </c>
      <c r="L6" s="14">
        <f t="shared" si="4"/>
        <v>284832</v>
      </c>
      <c r="M6" s="14">
        <f t="shared" si="4"/>
        <v>206053</v>
      </c>
      <c r="N6" s="26">
        <f>SUM(B6:M6)</f>
        <v>3183975.0360000003</v>
      </c>
      <c r="O6" s="13" t="s">
        <v>8</v>
      </c>
      <c r="P6" s="14">
        <f>SUM(P7:P12)</f>
        <v>238671</v>
      </c>
      <c r="Q6" s="14">
        <f>SUM(Q7:Q12)</f>
        <v>294147</v>
      </c>
      <c r="R6" s="14">
        <f>SUM(R7:R12)</f>
        <v>335237</v>
      </c>
      <c r="S6" s="14">
        <f t="shared" ref="S6:AA6" si="5">SUM(S7:S12)</f>
        <v>364941</v>
      </c>
      <c r="T6" s="14">
        <f t="shared" si="5"/>
        <v>311328</v>
      </c>
      <c r="U6" s="14">
        <f t="shared" si="5"/>
        <v>331303.5</v>
      </c>
      <c r="V6" s="14">
        <f t="shared" si="5"/>
        <v>314743.5</v>
      </c>
      <c r="W6" s="14">
        <f t="shared" si="5"/>
        <v>344241.5</v>
      </c>
      <c r="X6" s="14">
        <f t="shared" si="5"/>
        <v>299943</v>
      </c>
      <c r="Y6" s="14">
        <f t="shared" si="5"/>
        <v>331303.5</v>
      </c>
      <c r="Z6" s="14">
        <f t="shared" si="5"/>
        <v>348070.5</v>
      </c>
      <c r="AA6" s="14">
        <f t="shared" si="5"/>
        <v>264640.5</v>
      </c>
      <c r="AB6" s="26">
        <f t="shared" si="2"/>
        <v>3778570</v>
      </c>
      <c r="AC6" s="13" t="s">
        <v>8</v>
      </c>
      <c r="AD6" s="14">
        <f>SUM(AD7:AD12)</f>
        <v>167001.81277552899</v>
      </c>
      <c r="AE6" s="14">
        <f>SUM(AE7:AE12)</f>
        <v>187618.38736585053</v>
      </c>
      <c r="AF6" s="14">
        <f>SUM(AF7:AF12)</f>
        <v>360284.80462052597</v>
      </c>
      <c r="AG6" s="14">
        <f>SUM(AG7:AG12)</f>
        <v>298562.96261165739</v>
      </c>
      <c r="AH6" s="14">
        <f>SUM(AH7:AH12)</f>
        <v>319802.51701690129</v>
      </c>
      <c r="AI6" s="14">
        <f t="shared" ref="AI6:AO6" si="6">SUM(AI7:AI12)</f>
        <v>296125.98977572098</v>
      </c>
      <c r="AJ6" s="14">
        <f t="shared" si="6"/>
        <v>409419.27317653102</v>
      </c>
      <c r="AK6" s="14">
        <f t="shared" si="6"/>
        <v>384811.51701690099</v>
      </c>
      <c r="AL6" s="14">
        <f t="shared" si="6"/>
        <v>324672.48418482102</v>
      </c>
      <c r="AM6" s="14">
        <f t="shared" si="6"/>
        <v>253006.06049097099</v>
      </c>
      <c r="AN6" s="165">
        <f t="shared" si="6"/>
        <v>0</v>
      </c>
      <c r="AO6" s="165">
        <f t="shared" si="6"/>
        <v>0</v>
      </c>
      <c r="AP6" s="26">
        <f t="shared" ref="AP6:AP21" si="7">SUM(AD6:AO6)</f>
        <v>3001305.8090354092</v>
      </c>
    </row>
    <row r="7" spans="1:42" x14ac:dyDescent="0.35">
      <c r="A7" s="74" t="s">
        <v>21</v>
      </c>
      <c r="B7" s="75">
        <v>0</v>
      </c>
      <c r="C7" s="75">
        <v>0</v>
      </c>
      <c r="D7" s="75">
        <v>0</v>
      </c>
      <c r="E7" s="75">
        <v>0</v>
      </c>
      <c r="F7" s="75">
        <v>20066.749</v>
      </c>
      <c r="G7" s="75">
        <v>30528.97</v>
      </c>
      <c r="H7" s="75">
        <v>40677.797999999995</v>
      </c>
      <c r="I7" s="75">
        <v>10358.156999999999</v>
      </c>
      <c r="J7" s="75">
        <v>0</v>
      </c>
      <c r="K7" s="75">
        <v>0</v>
      </c>
      <c r="L7" s="75">
        <v>0</v>
      </c>
      <c r="M7" s="75">
        <v>0</v>
      </c>
      <c r="N7" s="82">
        <f>SUM(B7:M7)</f>
        <v>101631.674</v>
      </c>
      <c r="O7" s="74" t="s">
        <v>21</v>
      </c>
      <c r="P7" s="75">
        <v>17595</v>
      </c>
      <c r="Q7" s="75">
        <v>0</v>
      </c>
      <c r="R7" s="75">
        <v>3830</v>
      </c>
      <c r="S7" s="75">
        <v>0</v>
      </c>
      <c r="T7" s="75">
        <v>0</v>
      </c>
      <c r="U7" s="75">
        <v>23080.5</v>
      </c>
      <c r="V7" s="75">
        <v>20700</v>
      </c>
      <c r="W7" s="75">
        <v>0</v>
      </c>
      <c r="X7" s="75">
        <v>20700</v>
      </c>
      <c r="Y7" s="75">
        <v>0</v>
      </c>
      <c r="Z7" s="75">
        <v>34258.5</v>
      </c>
      <c r="AA7" s="75">
        <v>20079</v>
      </c>
      <c r="AB7" s="82">
        <f t="shared" si="2"/>
        <v>140243</v>
      </c>
      <c r="AC7" s="74" t="s">
        <v>21</v>
      </c>
      <c r="AD7" s="75">
        <v>11168.5</v>
      </c>
      <c r="AE7" s="75">
        <v>20741.5</v>
      </c>
      <c r="AF7" s="75">
        <v>6382</v>
      </c>
      <c r="AG7" s="75">
        <v>33505.5</v>
      </c>
      <c r="AH7" s="75">
        <v>9573</v>
      </c>
      <c r="AI7" s="75">
        <v>0</v>
      </c>
      <c r="AJ7" s="75">
        <v>0</v>
      </c>
      <c r="AK7" s="75">
        <v>6382</v>
      </c>
      <c r="AL7" s="75">
        <v>27123.5</v>
      </c>
      <c r="AM7" s="75">
        <v>0</v>
      </c>
      <c r="AN7" s="166">
        <v>0</v>
      </c>
      <c r="AO7" s="166">
        <v>0</v>
      </c>
      <c r="AP7" s="82">
        <f>SUM(AD7:AO7)</f>
        <v>114876</v>
      </c>
    </row>
    <row r="8" spans="1:42" x14ac:dyDescent="0.35">
      <c r="A8" s="74" t="s">
        <v>24</v>
      </c>
      <c r="B8" s="75">
        <v>13983.191999999999</v>
      </c>
      <c r="C8" s="75">
        <v>9742.8009999999995</v>
      </c>
      <c r="D8" s="75">
        <v>31838.498</v>
      </c>
      <c r="E8" s="75">
        <v>0</v>
      </c>
      <c r="F8" s="75">
        <v>2801.252</v>
      </c>
      <c r="G8" s="75">
        <v>32762.351000000002</v>
      </c>
      <c r="H8" s="75">
        <v>0</v>
      </c>
      <c r="I8" s="75">
        <v>4467.9769999999999</v>
      </c>
      <c r="J8" s="75">
        <v>37030.686000000002</v>
      </c>
      <c r="K8" s="75">
        <v>35374.720999999998</v>
      </c>
      <c r="L8" s="75">
        <v>5485.5</v>
      </c>
      <c r="M8" s="75">
        <v>0</v>
      </c>
      <c r="N8" s="82">
        <f>SUM(B8:M8)</f>
        <v>173486.97799999997</v>
      </c>
      <c r="O8" s="74" t="s">
        <v>24</v>
      </c>
      <c r="P8" s="75">
        <v>0</v>
      </c>
      <c r="Q8" s="75">
        <v>32913</v>
      </c>
      <c r="R8" s="75">
        <v>25047</v>
      </c>
      <c r="S8" s="75">
        <v>19458</v>
      </c>
      <c r="T8" s="75">
        <v>0</v>
      </c>
      <c r="U8" s="75">
        <v>26910</v>
      </c>
      <c r="V8" s="75">
        <v>0</v>
      </c>
      <c r="W8" s="75">
        <v>0</v>
      </c>
      <c r="X8" s="75">
        <v>29911.5</v>
      </c>
      <c r="Y8" s="75">
        <v>17077.5</v>
      </c>
      <c r="Z8" s="75">
        <v>15007.5</v>
      </c>
      <c r="AA8" s="75">
        <v>4959</v>
      </c>
      <c r="AB8" s="82">
        <f t="shared" si="2"/>
        <v>171283.5</v>
      </c>
      <c r="AC8" s="74" t="s">
        <v>24</v>
      </c>
      <c r="AD8" s="75">
        <v>10000</v>
      </c>
      <c r="AE8" s="75">
        <v>24900</v>
      </c>
      <c r="AF8" s="75">
        <v>7000</v>
      </c>
      <c r="AG8" s="75">
        <v>6000</v>
      </c>
      <c r="AH8" s="75">
        <v>12800</v>
      </c>
      <c r="AI8" s="75">
        <v>6000</v>
      </c>
      <c r="AJ8" s="75">
        <v>0</v>
      </c>
      <c r="AK8" s="75">
        <v>24000</v>
      </c>
      <c r="AL8" s="75">
        <v>7000</v>
      </c>
      <c r="AM8" s="75">
        <v>0</v>
      </c>
      <c r="AN8" s="166">
        <v>0</v>
      </c>
      <c r="AO8" s="166">
        <v>0</v>
      </c>
      <c r="AP8" s="82">
        <f>SUM(AD8:AO8)</f>
        <v>97700</v>
      </c>
    </row>
    <row r="9" spans="1:42" x14ac:dyDescent="0.35">
      <c r="A9" s="74" t="s">
        <v>41</v>
      </c>
      <c r="B9" s="75">
        <v>0</v>
      </c>
      <c r="C9" s="75">
        <v>0</v>
      </c>
      <c r="D9" s="75">
        <v>42511.017000000007</v>
      </c>
      <c r="E9" s="75">
        <v>0</v>
      </c>
      <c r="F9" s="75">
        <v>21251.172999999999</v>
      </c>
      <c r="G9" s="75">
        <v>11413.026</v>
      </c>
      <c r="H9" s="75">
        <v>9345.5130000000008</v>
      </c>
      <c r="I9" s="75">
        <v>42001.411</v>
      </c>
      <c r="J9" s="75">
        <v>20729.825000000001</v>
      </c>
      <c r="K9" s="75">
        <v>20700</v>
      </c>
      <c r="L9" s="75">
        <v>21217.5</v>
      </c>
      <c r="M9" s="75">
        <v>0</v>
      </c>
      <c r="N9" s="82">
        <f t="shared" ref="N9:N21" si="8">SUM(B9:M9)</f>
        <v>189169.46500000003</v>
      </c>
      <c r="O9" s="74" t="s">
        <v>41</v>
      </c>
      <c r="P9" s="75">
        <v>0</v>
      </c>
      <c r="Q9" s="75">
        <v>21217.5</v>
      </c>
      <c r="R9" s="75">
        <v>0</v>
      </c>
      <c r="S9" s="75">
        <v>21217.5</v>
      </c>
      <c r="T9" s="75">
        <v>21217.5</v>
      </c>
      <c r="U9" s="75">
        <v>21217.5</v>
      </c>
      <c r="V9" s="75">
        <v>42435</v>
      </c>
      <c r="W9" s="75">
        <v>0</v>
      </c>
      <c r="X9" s="75">
        <v>21217.5</v>
      </c>
      <c r="Y9" s="75">
        <v>21217.5</v>
      </c>
      <c r="Z9" s="75">
        <v>0</v>
      </c>
      <c r="AA9" s="75">
        <v>21217.5</v>
      </c>
      <c r="AB9" s="82">
        <f t="shared" si="2"/>
        <v>190957.5</v>
      </c>
      <c r="AC9" s="74" t="s">
        <v>41</v>
      </c>
      <c r="AD9" s="75">
        <v>21000</v>
      </c>
      <c r="AE9" s="75">
        <v>0</v>
      </c>
      <c r="AF9" s="75">
        <v>21000</v>
      </c>
      <c r="AG9" s="75">
        <v>0</v>
      </c>
      <c r="AH9" s="75">
        <v>21000</v>
      </c>
      <c r="AI9" s="75">
        <v>0</v>
      </c>
      <c r="AJ9" s="75">
        <v>21000</v>
      </c>
      <c r="AK9" s="75">
        <v>21000</v>
      </c>
      <c r="AL9" s="75">
        <v>21000</v>
      </c>
      <c r="AM9" s="75">
        <v>0</v>
      </c>
      <c r="AN9" s="166">
        <v>0</v>
      </c>
      <c r="AO9" s="166">
        <v>0</v>
      </c>
      <c r="AP9" s="82">
        <f t="shared" si="7"/>
        <v>126000</v>
      </c>
    </row>
    <row r="10" spans="1:42" x14ac:dyDescent="0.35">
      <c r="A10" s="74" t="s">
        <v>37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32966.034</v>
      </c>
      <c r="J10" s="75">
        <v>0</v>
      </c>
      <c r="K10" s="75">
        <v>0</v>
      </c>
      <c r="L10" s="75">
        <v>34051.5</v>
      </c>
      <c r="M10" s="75">
        <v>0</v>
      </c>
      <c r="N10" s="82">
        <f>SUM(B10:M10)</f>
        <v>67017.534</v>
      </c>
      <c r="O10" s="74" t="s">
        <v>37</v>
      </c>
      <c r="P10" s="75">
        <v>0</v>
      </c>
      <c r="Q10" s="75">
        <v>0</v>
      </c>
      <c r="R10" s="75">
        <v>0</v>
      </c>
      <c r="S10" s="75">
        <v>33637.5</v>
      </c>
      <c r="T10" s="75">
        <v>0</v>
      </c>
      <c r="U10" s="75">
        <v>0</v>
      </c>
      <c r="V10" s="75">
        <v>11799</v>
      </c>
      <c r="W10" s="75">
        <v>54234.5</v>
      </c>
      <c r="X10" s="75">
        <v>0</v>
      </c>
      <c r="Y10" s="75">
        <v>33016.5</v>
      </c>
      <c r="Z10" s="75">
        <v>33016.5</v>
      </c>
      <c r="AA10" s="75">
        <v>0</v>
      </c>
      <c r="AB10" s="82">
        <f t="shared" si="2"/>
        <v>165704</v>
      </c>
      <c r="AC10" s="74" t="s">
        <v>37</v>
      </c>
      <c r="AD10" s="75">
        <v>0</v>
      </c>
      <c r="AE10" s="75">
        <v>0</v>
      </c>
      <c r="AF10" s="75">
        <v>0</v>
      </c>
      <c r="AG10" s="75">
        <v>0</v>
      </c>
      <c r="AH10" s="75">
        <v>0</v>
      </c>
      <c r="AI10" s="75">
        <v>0</v>
      </c>
      <c r="AJ10" s="75">
        <v>0</v>
      </c>
      <c r="AK10" s="75">
        <v>0</v>
      </c>
      <c r="AL10" s="75">
        <v>0</v>
      </c>
      <c r="AM10" s="75">
        <v>0</v>
      </c>
      <c r="AN10" s="166">
        <v>0</v>
      </c>
      <c r="AO10" s="166">
        <v>0</v>
      </c>
      <c r="AP10" s="82">
        <f>SUM(AD10:AO10)</f>
        <v>0</v>
      </c>
    </row>
    <row r="11" spans="1:42" x14ac:dyDescent="0.35">
      <c r="A11" s="74" t="s">
        <v>20</v>
      </c>
      <c r="B11" s="75">
        <v>51673.218000000008</v>
      </c>
      <c r="C11" s="75">
        <v>151147.59299999999</v>
      </c>
      <c r="D11" s="75">
        <v>165613.07100000003</v>
      </c>
      <c r="E11" s="75">
        <v>125368.38900000001</v>
      </c>
      <c r="F11" s="75">
        <v>165727.17199999999</v>
      </c>
      <c r="G11" s="75">
        <v>158861.49599999998</v>
      </c>
      <c r="H11" s="75">
        <v>220260.16999999998</v>
      </c>
      <c r="I11" s="75">
        <v>108816.897</v>
      </c>
      <c r="J11" s="75">
        <v>197099.44100000002</v>
      </c>
      <c r="K11" s="75">
        <v>98357.810000000012</v>
      </c>
      <c r="L11" s="75">
        <v>108157.5</v>
      </c>
      <c r="M11" s="75">
        <v>162654</v>
      </c>
      <c r="N11" s="82">
        <f>SUM(B11:M11)</f>
        <v>1713736.7570000002</v>
      </c>
      <c r="O11" s="74" t="s">
        <v>20</v>
      </c>
      <c r="P11" s="75">
        <v>161046</v>
      </c>
      <c r="Q11" s="75">
        <v>179986.5</v>
      </c>
      <c r="R11" s="75">
        <v>235773</v>
      </c>
      <c r="S11" s="75">
        <v>240430.5</v>
      </c>
      <c r="T11" s="75">
        <v>220041</v>
      </c>
      <c r="U11" s="75">
        <v>200065.5</v>
      </c>
      <c r="V11" s="75">
        <v>169222.5</v>
      </c>
      <c r="W11" s="75">
        <v>219937.5</v>
      </c>
      <c r="X11" s="75">
        <v>159597</v>
      </c>
      <c r="Y11" s="75">
        <v>199962</v>
      </c>
      <c r="Z11" s="75">
        <v>195718.5</v>
      </c>
      <c r="AA11" s="75">
        <v>158872.5</v>
      </c>
      <c r="AB11" s="82">
        <f t="shared" si="2"/>
        <v>2340652.5</v>
      </c>
      <c r="AC11" s="74" t="s">
        <v>20</v>
      </c>
      <c r="AD11" s="75">
        <v>62467.912775528996</v>
      </c>
      <c r="AE11" s="75">
        <v>98579.287365850527</v>
      </c>
      <c r="AF11" s="75">
        <v>248249.00462052599</v>
      </c>
      <c r="AG11" s="75">
        <v>159498.26261165738</v>
      </c>
      <c r="AH11" s="75">
        <v>196654.51701690126</v>
      </c>
      <c r="AI11" s="75">
        <v>200346.38977572101</v>
      </c>
      <c r="AJ11" s="75">
        <v>350127.27317653102</v>
      </c>
      <c r="AK11" s="75">
        <v>268654.51701690099</v>
      </c>
      <c r="AL11" s="75">
        <v>233171.584184821</v>
      </c>
      <c r="AM11" s="75">
        <v>203226.46049097099</v>
      </c>
      <c r="AN11" s="166">
        <v>0</v>
      </c>
      <c r="AO11" s="166">
        <v>0</v>
      </c>
      <c r="AP11" s="82">
        <f>SUM(AD11:AO11)</f>
        <v>2020975.2090354091</v>
      </c>
    </row>
    <row r="12" spans="1:42" x14ac:dyDescent="0.35">
      <c r="A12" s="74" t="s">
        <v>40</v>
      </c>
      <c r="B12" s="75">
        <v>73979.457999999999</v>
      </c>
      <c r="C12" s="75">
        <v>95177.716</v>
      </c>
      <c r="D12" s="75">
        <v>67118.764999999999</v>
      </c>
      <c r="E12" s="75">
        <v>171506.916</v>
      </c>
      <c r="F12" s="75">
        <v>42001.099000000002</v>
      </c>
      <c r="G12" s="75">
        <v>62132.955999999998</v>
      </c>
      <c r="H12" s="75">
        <v>41480.362999999998</v>
      </c>
      <c r="I12" s="75">
        <v>104032.531</v>
      </c>
      <c r="J12" s="75">
        <v>78453.62999999999</v>
      </c>
      <c r="K12" s="75">
        <v>43730.194000000003</v>
      </c>
      <c r="L12" s="75">
        <v>115920</v>
      </c>
      <c r="M12" s="75">
        <v>43399</v>
      </c>
      <c r="N12" s="82">
        <f t="shared" si="8"/>
        <v>938932.62799999991</v>
      </c>
      <c r="O12" s="74" t="s">
        <v>40</v>
      </c>
      <c r="P12" s="75">
        <v>60030</v>
      </c>
      <c r="Q12" s="75">
        <v>60030</v>
      </c>
      <c r="R12" s="75">
        <v>70587</v>
      </c>
      <c r="S12" s="75">
        <v>50197.5</v>
      </c>
      <c r="T12" s="75">
        <v>70069.5</v>
      </c>
      <c r="U12" s="75">
        <v>60030</v>
      </c>
      <c r="V12" s="75">
        <v>70587</v>
      </c>
      <c r="W12" s="75">
        <v>70069.5</v>
      </c>
      <c r="X12" s="75">
        <v>68517</v>
      </c>
      <c r="Y12" s="75">
        <v>60030</v>
      </c>
      <c r="Z12" s="75">
        <v>70069.5</v>
      </c>
      <c r="AA12" s="75">
        <v>59512.5</v>
      </c>
      <c r="AB12" s="82">
        <f t="shared" si="2"/>
        <v>769729.5</v>
      </c>
      <c r="AC12" s="74" t="s">
        <v>40</v>
      </c>
      <c r="AD12" s="75">
        <v>62365.4</v>
      </c>
      <c r="AE12" s="75">
        <v>43397.599999999999</v>
      </c>
      <c r="AF12" s="75">
        <v>77653.8</v>
      </c>
      <c r="AG12" s="75">
        <v>99559.2</v>
      </c>
      <c r="AH12" s="75">
        <v>79775</v>
      </c>
      <c r="AI12" s="75">
        <v>89779.6</v>
      </c>
      <c r="AJ12" s="75">
        <v>38292</v>
      </c>
      <c r="AK12" s="75">
        <v>64775</v>
      </c>
      <c r="AL12" s="75">
        <v>36377.4</v>
      </c>
      <c r="AM12" s="75">
        <v>49779.6</v>
      </c>
      <c r="AN12" s="166">
        <v>0</v>
      </c>
      <c r="AO12" s="166">
        <v>0</v>
      </c>
      <c r="AP12" s="82">
        <f t="shared" si="7"/>
        <v>641754.6</v>
      </c>
    </row>
    <row r="13" spans="1:42" x14ac:dyDescent="0.35">
      <c r="A13" s="13" t="s">
        <v>9</v>
      </c>
      <c r="B13" s="14">
        <f t="shared" ref="B13:M13" si="9">SUM(B14:B21)</f>
        <v>276932.74000000005</v>
      </c>
      <c r="C13" s="14">
        <f t="shared" si="9"/>
        <v>264445.63699999999</v>
      </c>
      <c r="D13" s="14">
        <f t="shared" si="9"/>
        <v>486143.55700000003</v>
      </c>
      <c r="E13" s="14">
        <f t="shared" si="9"/>
        <v>535098.91899999999</v>
      </c>
      <c r="F13" s="14">
        <f t="shared" si="9"/>
        <v>480760.70699999994</v>
      </c>
      <c r="G13" s="14">
        <f t="shared" si="9"/>
        <v>553969.99300000002</v>
      </c>
      <c r="H13" s="14">
        <f t="shared" si="9"/>
        <v>441075.34100000001</v>
      </c>
      <c r="I13" s="14">
        <f t="shared" si="9"/>
        <v>390010.12699999998</v>
      </c>
      <c r="J13" s="14">
        <f t="shared" si="9"/>
        <v>473453.12400000001</v>
      </c>
      <c r="K13" s="14">
        <f t="shared" si="9"/>
        <v>344427.31</v>
      </c>
      <c r="L13" s="14">
        <f t="shared" si="9"/>
        <v>342682.5</v>
      </c>
      <c r="M13" s="14">
        <f t="shared" si="9"/>
        <v>236268.5</v>
      </c>
      <c r="N13" s="26">
        <f t="shared" si="8"/>
        <v>4825268.4550000001</v>
      </c>
      <c r="O13" s="13" t="s">
        <v>9</v>
      </c>
      <c r="P13" s="14">
        <f t="shared" ref="P13:AA13" si="10">SUM(P14:P21)</f>
        <v>336272</v>
      </c>
      <c r="Q13" s="14">
        <f t="shared" si="10"/>
        <v>349414.45799999998</v>
      </c>
      <c r="R13" s="14">
        <f t="shared" si="10"/>
        <v>425946.73699999996</v>
      </c>
      <c r="S13" s="14">
        <f t="shared" si="10"/>
        <v>384088.5</v>
      </c>
      <c r="T13" s="14">
        <f t="shared" si="10"/>
        <v>415449</v>
      </c>
      <c r="U13" s="14">
        <f t="shared" si="10"/>
        <v>398048.78200000001</v>
      </c>
      <c r="V13" s="14">
        <f t="shared" si="10"/>
        <v>453019.5</v>
      </c>
      <c r="W13" s="14">
        <f t="shared" si="10"/>
        <v>436356</v>
      </c>
      <c r="X13" s="14">
        <f t="shared" si="10"/>
        <v>374152.5</v>
      </c>
      <c r="Y13" s="14">
        <f t="shared" si="10"/>
        <v>356128.16500000004</v>
      </c>
      <c r="Z13" s="14">
        <f t="shared" si="10"/>
        <v>316517.5</v>
      </c>
      <c r="AA13" s="14">
        <f t="shared" si="10"/>
        <v>273388.5</v>
      </c>
      <c r="AB13" s="26">
        <f t="shared" si="2"/>
        <v>4518781.642</v>
      </c>
      <c r="AC13" s="13" t="s">
        <v>9</v>
      </c>
      <c r="AD13" s="14">
        <f t="shared" ref="AD13:AJ13" si="11">SUM(AD14:AD21)</f>
        <v>342056.63713174674</v>
      </c>
      <c r="AE13" s="14">
        <f t="shared" si="11"/>
        <v>444024.45248278731</v>
      </c>
      <c r="AF13" s="14">
        <f t="shared" si="11"/>
        <v>417965.90759495785</v>
      </c>
      <c r="AG13" s="14">
        <f t="shared" si="11"/>
        <v>449341.91137564462</v>
      </c>
      <c r="AH13" s="14">
        <f t="shared" si="11"/>
        <v>454670.32290902006</v>
      </c>
      <c r="AI13" s="14">
        <f t="shared" si="11"/>
        <v>445057.86570999603</v>
      </c>
      <c r="AJ13" s="14">
        <f t="shared" si="11"/>
        <v>462080.70715465664</v>
      </c>
      <c r="AK13" s="14">
        <f>SUM(AK14:AK21)</f>
        <v>363167.95379266003</v>
      </c>
      <c r="AL13" s="14">
        <f>SUM(AL14:AL21)</f>
        <v>393904.03614213597</v>
      </c>
      <c r="AM13" s="14">
        <f>SUM(AM14:AM21)</f>
        <v>426373.81342613534</v>
      </c>
      <c r="AN13" s="165">
        <f>SUM(AN14:AN21)</f>
        <v>0</v>
      </c>
      <c r="AO13" s="165">
        <f>SUM(AO14:AO21)</f>
        <v>0</v>
      </c>
      <c r="AP13" s="26">
        <f t="shared" si="7"/>
        <v>4198643.6077197408</v>
      </c>
    </row>
    <row r="14" spans="1:42" x14ac:dyDescent="0.35">
      <c r="A14" s="74" t="s">
        <v>27</v>
      </c>
      <c r="B14" s="75">
        <v>0</v>
      </c>
      <c r="C14" s="75">
        <v>4965.9579999999996</v>
      </c>
      <c r="D14" s="75">
        <v>3459.7370000000001</v>
      </c>
      <c r="E14" s="75">
        <v>0</v>
      </c>
      <c r="F14" s="75">
        <v>0</v>
      </c>
      <c r="G14" s="75">
        <v>4024.2820000000002</v>
      </c>
      <c r="H14" s="75">
        <v>0</v>
      </c>
      <c r="I14" s="75">
        <v>0</v>
      </c>
      <c r="J14" s="75">
        <v>0</v>
      </c>
      <c r="K14" s="75">
        <v>4021.165</v>
      </c>
      <c r="L14" s="75">
        <v>5500</v>
      </c>
      <c r="M14" s="75">
        <v>0</v>
      </c>
      <c r="N14" s="82">
        <f t="shared" si="8"/>
        <v>21971.142</v>
      </c>
      <c r="O14" s="74" t="s">
        <v>27</v>
      </c>
      <c r="P14" s="75">
        <v>0</v>
      </c>
      <c r="Q14" s="75">
        <v>4965.9579999999996</v>
      </c>
      <c r="R14" s="75">
        <v>3459.7370000000001</v>
      </c>
      <c r="S14" s="75">
        <v>0</v>
      </c>
      <c r="T14" s="75">
        <v>0</v>
      </c>
      <c r="U14" s="75">
        <v>4024.2820000000002</v>
      </c>
      <c r="V14" s="75">
        <v>0</v>
      </c>
      <c r="W14" s="75">
        <v>0</v>
      </c>
      <c r="X14" s="75">
        <v>0</v>
      </c>
      <c r="Y14" s="75">
        <v>4021.165</v>
      </c>
      <c r="Z14" s="75">
        <v>5500</v>
      </c>
      <c r="AA14" s="75">
        <v>0</v>
      </c>
      <c r="AB14" s="82">
        <v>25500</v>
      </c>
      <c r="AC14" s="74" t="s">
        <v>27</v>
      </c>
      <c r="AD14" s="75">
        <v>0</v>
      </c>
      <c r="AE14" s="75">
        <v>5000</v>
      </c>
      <c r="AF14" s="75">
        <v>0</v>
      </c>
      <c r="AG14" s="75">
        <v>5000</v>
      </c>
      <c r="AH14" s="75">
        <v>0</v>
      </c>
      <c r="AI14" s="75">
        <v>5000</v>
      </c>
      <c r="AJ14" s="75">
        <v>0</v>
      </c>
      <c r="AK14" s="75">
        <v>5500</v>
      </c>
      <c r="AL14" s="75">
        <v>0</v>
      </c>
      <c r="AM14" s="75">
        <v>0</v>
      </c>
      <c r="AN14" s="166">
        <v>0</v>
      </c>
      <c r="AO14" s="166">
        <v>0</v>
      </c>
      <c r="AP14" s="82">
        <f t="shared" si="7"/>
        <v>20500</v>
      </c>
    </row>
    <row r="15" spans="1:42" x14ac:dyDescent="0.35">
      <c r="A15" s="74" t="s">
        <v>29</v>
      </c>
      <c r="B15" s="75">
        <v>163211.27900000001</v>
      </c>
      <c r="C15" s="75">
        <v>164563.37</v>
      </c>
      <c r="D15" s="75">
        <v>254909.97900000002</v>
      </c>
      <c r="E15" s="75">
        <v>303980.13999999996</v>
      </c>
      <c r="F15" s="75">
        <v>225465.49</v>
      </c>
      <c r="G15" s="75">
        <v>282238.78800000006</v>
      </c>
      <c r="H15" s="75">
        <v>292979.39299999998</v>
      </c>
      <c r="I15" s="75">
        <v>209045.057</v>
      </c>
      <c r="J15" s="75">
        <v>285709.11199999996</v>
      </c>
      <c r="K15" s="75">
        <v>268048.00300000003</v>
      </c>
      <c r="L15" s="75">
        <v>180383</v>
      </c>
      <c r="M15" s="75">
        <v>71963</v>
      </c>
      <c r="N15" s="82">
        <f t="shared" si="8"/>
        <v>2702496.611</v>
      </c>
      <c r="O15" s="74" t="s">
        <v>29</v>
      </c>
      <c r="P15" s="75">
        <v>138794</v>
      </c>
      <c r="Q15" s="75">
        <v>221801</v>
      </c>
      <c r="R15" s="75">
        <v>224284.5</v>
      </c>
      <c r="S15" s="75">
        <v>194994</v>
      </c>
      <c r="T15" s="75">
        <v>225009</v>
      </c>
      <c r="U15" s="75">
        <v>229977</v>
      </c>
      <c r="V15" s="75">
        <v>259681.5</v>
      </c>
      <c r="W15" s="75">
        <v>260199</v>
      </c>
      <c r="X15" s="75">
        <v>210001.5</v>
      </c>
      <c r="Y15" s="75">
        <v>210001.5</v>
      </c>
      <c r="Z15" s="75">
        <v>170050.5</v>
      </c>
      <c r="AA15" s="75">
        <v>145462.5</v>
      </c>
      <c r="AB15" s="82">
        <v>2272758.9648492574</v>
      </c>
      <c r="AC15" s="74" t="s">
        <v>29</v>
      </c>
      <c r="AD15" s="75">
        <v>147149.0141559694</v>
      </c>
      <c r="AE15" s="75">
        <v>221134.615696894</v>
      </c>
      <c r="AF15" s="75">
        <v>207055.11367282353</v>
      </c>
      <c r="AG15" s="75">
        <v>256781.68127389692</v>
      </c>
      <c r="AH15" s="75">
        <v>308688.22105943004</v>
      </c>
      <c r="AI15" s="75">
        <v>310670.78620936198</v>
      </c>
      <c r="AJ15" s="75">
        <v>265648.44920149364</v>
      </c>
      <c r="AK15" s="75">
        <v>215389.21435058801</v>
      </c>
      <c r="AL15" s="75">
        <v>184929.57371918199</v>
      </c>
      <c r="AM15" s="75">
        <v>170018.04918956899</v>
      </c>
      <c r="AN15" s="166">
        <v>0</v>
      </c>
      <c r="AO15" s="166">
        <v>0</v>
      </c>
      <c r="AP15" s="82">
        <f t="shared" si="7"/>
        <v>2287464.7185292081</v>
      </c>
    </row>
    <row r="16" spans="1:42" x14ac:dyDescent="0.35">
      <c r="A16" s="74" t="s">
        <v>35</v>
      </c>
      <c r="B16" s="75">
        <v>0</v>
      </c>
      <c r="C16" s="75">
        <v>0</v>
      </c>
      <c r="D16" s="75">
        <v>0</v>
      </c>
      <c r="E16" s="75">
        <v>36</v>
      </c>
      <c r="F16" s="75">
        <v>0</v>
      </c>
      <c r="G16" s="75">
        <v>36</v>
      </c>
      <c r="H16" s="75">
        <v>0</v>
      </c>
      <c r="I16" s="75">
        <v>0</v>
      </c>
      <c r="J16" s="75">
        <v>0</v>
      </c>
      <c r="K16" s="75">
        <v>144</v>
      </c>
      <c r="L16" s="75">
        <v>0</v>
      </c>
      <c r="M16" s="75">
        <v>36</v>
      </c>
      <c r="N16" s="82">
        <f t="shared" si="8"/>
        <v>252</v>
      </c>
      <c r="O16" s="74" t="s">
        <v>35</v>
      </c>
      <c r="P16" s="75">
        <v>0</v>
      </c>
      <c r="Q16" s="75">
        <v>0</v>
      </c>
      <c r="R16" s="75">
        <v>0</v>
      </c>
      <c r="S16" s="75">
        <v>0</v>
      </c>
      <c r="T16" s="75">
        <v>0</v>
      </c>
      <c r="U16" s="75">
        <v>0</v>
      </c>
      <c r="V16" s="75">
        <v>0</v>
      </c>
      <c r="W16" s="75">
        <v>0</v>
      </c>
      <c r="X16" s="75">
        <v>0</v>
      </c>
      <c r="Y16" s="75">
        <v>0</v>
      </c>
      <c r="Z16" s="75">
        <v>0</v>
      </c>
      <c r="AA16" s="75">
        <v>0</v>
      </c>
      <c r="AB16" s="82">
        <v>144</v>
      </c>
      <c r="AC16" s="74" t="s">
        <v>35</v>
      </c>
      <c r="AD16" s="75">
        <v>0</v>
      </c>
      <c r="AE16" s="75">
        <v>0</v>
      </c>
      <c r="AF16" s="75">
        <v>36</v>
      </c>
      <c r="AG16" s="75">
        <v>0</v>
      </c>
      <c r="AH16" s="75">
        <v>0</v>
      </c>
      <c r="AI16" s="75">
        <v>36</v>
      </c>
      <c r="AJ16" s="75">
        <v>0</v>
      </c>
      <c r="AK16" s="75">
        <v>0</v>
      </c>
      <c r="AL16" s="75">
        <v>36</v>
      </c>
      <c r="AM16" s="75">
        <v>0</v>
      </c>
      <c r="AN16" s="166">
        <v>0</v>
      </c>
      <c r="AO16" s="166">
        <v>0</v>
      </c>
      <c r="AP16" s="82">
        <f t="shared" si="7"/>
        <v>108</v>
      </c>
    </row>
    <row r="17" spans="1:42" x14ac:dyDescent="0.35">
      <c r="A17" s="74" t="s">
        <v>33</v>
      </c>
      <c r="B17" s="75">
        <v>14562.477999999999</v>
      </c>
      <c r="C17" s="75">
        <v>19140.883000000002</v>
      </c>
      <c r="D17" s="75">
        <v>22586.215</v>
      </c>
      <c r="E17" s="75">
        <v>36119.077000000005</v>
      </c>
      <c r="F17" s="75">
        <v>40590.413</v>
      </c>
      <c r="G17" s="75">
        <v>43188.218000000001</v>
      </c>
      <c r="H17" s="75">
        <v>35906.038</v>
      </c>
      <c r="I17" s="75">
        <v>8833.7909999999993</v>
      </c>
      <c r="J17" s="75">
        <v>19569.351999999999</v>
      </c>
      <c r="K17" s="75">
        <v>15453.374</v>
      </c>
      <c r="L17" s="75">
        <v>13144.5</v>
      </c>
      <c r="M17" s="75">
        <v>33342</v>
      </c>
      <c r="N17" s="82">
        <f t="shared" si="8"/>
        <v>302436.33899999998</v>
      </c>
      <c r="O17" s="74" t="s">
        <v>33</v>
      </c>
      <c r="P17" s="75">
        <v>22045.5</v>
      </c>
      <c r="Q17" s="75">
        <v>22045.5</v>
      </c>
      <c r="R17" s="75">
        <v>21942</v>
      </c>
      <c r="S17" s="75">
        <v>22045.5</v>
      </c>
      <c r="T17" s="75">
        <v>23494.5</v>
      </c>
      <c r="U17" s="75">
        <v>22045.5</v>
      </c>
      <c r="V17" s="75">
        <v>22045.5</v>
      </c>
      <c r="W17" s="75">
        <v>22045.5</v>
      </c>
      <c r="X17" s="75">
        <v>22045.5</v>
      </c>
      <c r="Y17" s="75">
        <v>22045.5</v>
      </c>
      <c r="Z17" s="75">
        <v>21942</v>
      </c>
      <c r="AA17" s="75">
        <v>22045.5</v>
      </c>
      <c r="AB17" s="82">
        <v>296800</v>
      </c>
      <c r="AC17" s="74" t="s">
        <v>33</v>
      </c>
      <c r="AD17" s="75">
        <v>20000</v>
      </c>
      <c r="AE17" s="75">
        <v>35300</v>
      </c>
      <c r="AF17" s="75">
        <v>30500</v>
      </c>
      <c r="AG17" s="75">
        <v>36000</v>
      </c>
      <c r="AH17" s="75">
        <v>18600</v>
      </c>
      <c r="AI17" s="75">
        <v>10000</v>
      </c>
      <c r="AJ17" s="75">
        <v>20000</v>
      </c>
      <c r="AK17" s="75">
        <v>27700</v>
      </c>
      <c r="AL17" s="75">
        <v>38000</v>
      </c>
      <c r="AM17" s="75">
        <v>21000</v>
      </c>
      <c r="AN17" s="166">
        <v>0</v>
      </c>
      <c r="AO17" s="166">
        <v>0</v>
      </c>
      <c r="AP17" s="82">
        <f t="shared" si="7"/>
        <v>257100</v>
      </c>
    </row>
    <row r="18" spans="1:42" x14ac:dyDescent="0.35">
      <c r="A18" s="74" t="s">
        <v>31</v>
      </c>
      <c r="B18" s="75">
        <v>22934.787</v>
      </c>
      <c r="C18" s="75">
        <v>17645.205999999998</v>
      </c>
      <c r="D18" s="75">
        <v>28845.774999999998</v>
      </c>
      <c r="E18" s="75">
        <v>24800.032999999999</v>
      </c>
      <c r="F18" s="75">
        <v>29053.535000000003</v>
      </c>
      <c r="G18" s="75">
        <v>34036.922000000006</v>
      </c>
      <c r="H18" s="75">
        <v>15045.065000000001</v>
      </c>
      <c r="I18" s="75">
        <v>35080.013999999996</v>
      </c>
      <c r="J18" s="75">
        <v>31859.866999999998</v>
      </c>
      <c r="K18" s="75">
        <v>22624.627</v>
      </c>
      <c r="L18" s="75">
        <v>6000</v>
      </c>
      <c r="M18" s="75">
        <v>17905.5</v>
      </c>
      <c r="N18" s="82">
        <f t="shared" si="8"/>
        <v>285831.33100000001</v>
      </c>
      <c r="O18" s="74" t="s">
        <v>31</v>
      </c>
      <c r="P18" s="75">
        <v>20079</v>
      </c>
      <c r="Q18" s="75">
        <v>20079</v>
      </c>
      <c r="R18" s="75">
        <v>22977</v>
      </c>
      <c r="S18" s="75">
        <v>22045.5</v>
      </c>
      <c r="T18" s="75">
        <v>22045.5</v>
      </c>
      <c r="U18" s="75">
        <v>22045.5</v>
      </c>
      <c r="V18" s="75">
        <v>22045.5</v>
      </c>
      <c r="W18" s="75">
        <v>22977</v>
      </c>
      <c r="X18" s="75">
        <v>22977</v>
      </c>
      <c r="Y18" s="75">
        <v>24012</v>
      </c>
      <c r="Z18" s="75">
        <v>24012</v>
      </c>
      <c r="AA18" s="75">
        <v>22045.5</v>
      </c>
      <c r="AB18" s="82">
        <v>283200</v>
      </c>
      <c r="AC18" s="74" t="s">
        <v>31</v>
      </c>
      <c r="AD18" s="75">
        <v>30000</v>
      </c>
      <c r="AE18" s="75">
        <v>28300</v>
      </c>
      <c r="AF18" s="75">
        <v>23700</v>
      </c>
      <c r="AG18" s="75">
        <v>30000</v>
      </c>
      <c r="AH18" s="75">
        <v>35500</v>
      </c>
      <c r="AI18" s="75">
        <v>20000</v>
      </c>
      <c r="AJ18" s="75">
        <v>20000</v>
      </c>
      <c r="AK18" s="75">
        <v>19200</v>
      </c>
      <c r="AL18" s="75">
        <v>10000</v>
      </c>
      <c r="AM18" s="75">
        <v>31000</v>
      </c>
      <c r="AN18" s="166">
        <v>0</v>
      </c>
      <c r="AO18" s="166">
        <v>0</v>
      </c>
      <c r="AP18" s="82">
        <f t="shared" si="7"/>
        <v>247700</v>
      </c>
    </row>
    <row r="19" spans="1:42" x14ac:dyDescent="0.35">
      <c r="A19" s="74" t="s">
        <v>28</v>
      </c>
      <c r="B19" s="75">
        <v>0</v>
      </c>
      <c r="C19" s="75">
        <v>0</v>
      </c>
      <c r="D19" s="75">
        <v>0</v>
      </c>
      <c r="E19" s="75">
        <v>0</v>
      </c>
      <c r="F19" s="75">
        <v>0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82">
        <f>SUM(B19:M19)</f>
        <v>0</v>
      </c>
      <c r="O19" s="74" t="s">
        <v>28</v>
      </c>
      <c r="P19" s="75">
        <v>0</v>
      </c>
      <c r="Q19" s="75">
        <v>0</v>
      </c>
      <c r="R19" s="75">
        <v>0</v>
      </c>
      <c r="S19" s="75">
        <v>0</v>
      </c>
      <c r="T19" s="75">
        <v>0</v>
      </c>
      <c r="U19" s="75">
        <v>0</v>
      </c>
      <c r="V19" s="75">
        <v>0</v>
      </c>
      <c r="W19" s="75">
        <v>0</v>
      </c>
      <c r="X19" s="75">
        <v>0</v>
      </c>
      <c r="Y19" s="75">
        <v>0</v>
      </c>
      <c r="Z19" s="75">
        <v>0</v>
      </c>
      <c r="AA19" s="75">
        <v>0</v>
      </c>
      <c r="AB19" s="82">
        <v>0</v>
      </c>
      <c r="AC19" s="74" t="s">
        <v>28</v>
      </c>
      <c r="AD19" s="75">
        <v>0</v>
      </c>
      <c r="AE19" s="75">
        <v>0</v>
      </c>
      <c r="AF19" s="75">
        <v>0</v>
      </c>
      <c r="AG19" s="75">
        <v>0</v>
      </c>
      <c r="AH19" s="75">
        <v>0</v>
      </c>
      <c r="AI19" s="75">
        <v>0</v>
      </c>
      <c r="AJ19" s="75">
        <v>0</v>
      </c>
      <c r="AK19" s="75">
        <v>0</v>
      </c>
      <c r="AL19" s="75">
        <v>0</v>
      </c>
      <c r="AM19" s="75">
        <v>0</v>
      </c>
      <c r="AN19" s="166">
        <v>0</v>
      </c>
      <c r="AO19" s="166">
        <v>0</v>
      </c>
      <c r="AP19" s="82">
        <f>SUM(AD19:AO19)</f>
        <v>0</v>
      </c>
    </row>
    <row r="20" spans="1:42" x14ac:dyDescent="0.35">
      <c r="A20" s="74" t="s">
        <v>56</v>
      </c>
      <c r="B20" s="75">
        <v>9208.4670000000006</v>
      </c>
      <c r="C20" s="75">
        <v>0</v>
      </c>
      <c r="D20" s="75">
        <v>0</v>
      </c>
      <c r="E20" s="75">
        <v>0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82">
        <f t="shared" si="8"/>
        <v>9208.4670000000006</v>
      </c>
      <c r="O20" s="74" t="s">
        <v>56</v>
      </c>
      <c r="P20" s="75">
        <v>0</v>
      </c>
      <c r="Q20" s="75">
        <v>0</v>
      </c>
      <c r="R20" s="75">
        <v>0</v>
      </c>
      <c r="S20" s="75">
        <v>0</v>
      </c>
      <c r="T20" s="75">
        <v>0</v>
      </c>
      <c r="U20" s="75">
        <v>0</v>
      </c>
      <c r="V20" s="75">
        <v>0</v>
      </c>
      <c r="W20" s="75">
        <v>0</v>
      </c>
      <c r="X20" s="75">
        <v>0</v>
      </c>
      <c r="Y20" s="75">
        <v>0</v>
      </c>
      <c r="Z20" s="75">
        <v>0</v>
      </c>
      <c r="AA20" s="75">
        <v>0</v>
      </c>
      <c r="AB20" s="82">
        <v>0</v>
      </c>
      <c r="AC20" s="74" t="s">
        <v>56</v>
      </c>
      <c r="AD20" s="75">
        <v>0</v>
      </c>
      <c r="AE20" s="75">
        <v>0</v>
      </c>
      <c r="AF20" s="75">
        <v>0</v>
      </c>
      <c r="AG20" s="75">
        <v>0</v>
      </c>
      <c r="AH20" s="75">
        <v>0</v>
      </c>
      <c r="AI20" s="75">
        <v>0</v>
      </c>
      <c r="AJ20" s="75">
        <v>0</v>
      </c>
      <c r="AK20" s="75">
        <v>0</v>
      </c>
      <c r="AL20" s="75">
        <v>0</v>
      </c>
      <c r="AM20" s="75">
        <v>0</v>
      </c>
      <c r="AN20" s="166">
        <v>0</v>
      </c>
      <c r="AO20" s="166">
        <v>0</v>
      </c>
      <c r="AP20" s="82">
        <f t="shared" si="7"/>
        <v>0</v>
      </c>
    </row>
    <row r="21" spans="1:42" x14ac:dyDescent="0.35">
      <c r="A21" s="74" t="s">
        <v>25</v>
      </c>
      <c r="B21" s="75">
        <v>67015.729000000007</v>
      </c>
      <c r="C21" s="75">
        <v>58130.22</v>
      </c>
      <c r="D21" s="75">
        <v>176341.851</v>
      </c>
      <c r="E21" s="75">
        <v>170163.66899999999</v>
      </c>
      <c r="F21" s="75">
        <v>185651.26899999997</v>
      </c>
      <c r="G21" s="75">
        <v>190445.783</v>
      </c>
      <c r="H21" s="75">
        <v>97144.845000000001</v>
      </c>
      <c r="I21" s="75">
        <v>137051.26500000001</v>
      </c>
      <c r="J21" s="75">
        <v>136314.79300000001</v>
      </c>
      <c r="K21" s="75">
        <v>34136.141000000003</v>
      </c>
      <c r="L21" s="75">
        <v>137655</v>
      </c>
      <c r="M21" s="75">
        <v>113022</v>
      </c>
      <c r="N21" s="82">
        <f t="shared" si="8"/>
        <v>1503072.5650000002</v>
      </c>
      <c r="O21" s="74" t="s">
        <v>25</v>
      </c>
      <c r="P21" s="75">
        <v>155353.5</v>
      </c>
      <c r="Q21" s="75">
        <v>80523</v>
      </c>
      <c r="R21" s="75">
        <v>153283.5</v>
      </c>
      <c r="S21" s="75">
        <v>145003.5</v>
      </c>
      <c r="T21" s="75">
        <v>144900</v>
      </c>
      <c r="U21" s="75">
        <v>119956.5</v>
      </c>
      <c r="V21" s="75">
        <v>149247</v>
      </c>
      <c r="W21" s="75">
        <v>131134.5</v>
      </c>
      <c r="X21" s="75">
        <v>119128.5</v>
      </c>
      <c r="Y21" s="75">
        <v>96048</v>
      </c>
      <c r="Z21" s="75">
        <v>95013</v>
      </c>
      <c r="AA21" s="75">
        <v>83835</v>
      </c>
      <c r="AB21" s="82">
        <v>1873810.451017539</v>
      </c>
      <c r="AC21" s="74" t="s">
        <v>25</v>
      </c>
      <c r="AD21" s="75">
        <v>144907.62297577734</v>
      </c>
      <c r="AE21" s="75">
        <v>154289.83678589333</v>
      </c>
      <c r="AF21" s="75">
        <v>156674.79392213433</v>
      </c>
      <c r="AG21" s="75">
        <v>121560.2301017477</v>
      </c>
      <c r="AH21" s="75">
        <v>91882.101849590006</v>
      </c>
      <c r="AI21" s="75">
        <v>99351.079500634034</v>
      </c>
      <c r="AJ21" s="75">
        <v>156432.257953163</v>
      </c>
      <c r="AK21" s="75">
        <v>95378.739442071994</v>
      </c>
      <c r="AL21" s="75">
        <v>160938.46242295401</v>
      </c>
      <c r="AM21" s="75">
        <v>204355.76423656635</v>
      </c>
      <c r="AN21" s="166">
        <v>0</v>
      </c>
      <c r="AO21" s="166">
        <v>0</v>
      </c>
      <c r="AP21" s="82">
        <f t="shared" si="7"/>
        <v>1385770.889190532</v>
      </c>
    </row>
    <row r="24" spans="1:42" x14ac:dyDescent="0.35">
      <c r="AK24" s="89"/>
    </row>
  </sheetData>
  <mergeCells count="9">
    <mergeCell ref="N3:N4"/>
    <mergeCell ref="AP3:AP4"/>
    <mergeCell ref="AB3:AB4"/>
    <mergeCell ref="A1:N1"/>
    <mergeCell ref="O1:AB1"/>
    <mergeCell ref="AC1:AP1"/>
    <mergeCell ref="B2:N2"/>
    <mergeCell ref="P2:AB2"/>
    <mergeCell ref="AD2:AP2"/>
  </mergeCells>
  <pageMargins left="0.70866141732283472" right="0.70866141732283472" top="0.74803149606299213" bottom="0.74803149606299213" header="0.31496062992125984" footer="0.31496062992125984"/>
  <pageSetup scale="64" fitToWidth="3" orientation="landscape" r:id="rId1"/>
  <colBreaks count="1" manualBreakCount="1">
    <brk id="14" max="1048575" man="1"/>
  </colBreaks>
  <customProperties>
    <customPr name="Ibp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B2F2C4BDC43241B713830B591D0982" ma:contentTypeVersion="12" ma:contentTypeDescription="Create a new document." ma:contentTypeScope="" ma:versionID="dcca2534df89f660edbabe0c325f0c16">
  <xsd:schema xmlns:xsd="http://www.w3.org/2001/XMLSchema" xmlns:xs="http://www.w3.org/2001/XMLSchema" xmlns:p="http://schemas.microsoft.com/office/2006/metadata/properties" xmlns:ns2="3a50a144-d77b-4747-b2dc-a6f6391df5a9" xmlns:ns3="2b0687b9-64c9-4187-a173-a9a026029f2d" targetNamespace="http://schemas.microsoft.com/office/2006/metadata/properties" ma:root="true" ma:fieldsID="d1e23fd31d2856da218abdbc7e2443d3" ns2:_="" ns3:_="">
    <xsd:import namespace="3a50a144-d77b-4747-b2dc-a6f6391df5a9"/>
    <xsd:import namespace="2b0687b9-64c9-4187-a173-a9a026029f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50a144-d77b-4747-b2dc-a6f6391df5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687b9-64c9-4187-a173-a9a026029f2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EEB7BA-2FD3-4EC7-ACD9-9EE4FFAC1B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50a144-d77b-4747-b2dc-a6f6391df5a9"/>
    <ds:schemaRef ds:uri="2b0687b9-64c9-4187-a173-a9a026029f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708E09-DA07-4FC6-9F94-B4DE9CDC27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26258F-C49E-4607-900D-CB8F7B8C102F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86188036-7031-439f-b338-c45e1e3624d8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Var Rpt (Q1)-CHIN</vt:lpstr>
      <vt:lpstr>Region</vt:lpstr>
      <vt:lpstr>Country</vt:lpstr>
      <vt:lpstr>Grade</vt:lpstr>
      <vt:lpstr>Region (2 yr)</vt:lpstr>
      <vt:lpstr>Country (2 yr)</vt:lpstr>
      <vt:lpstr>Grade (2 yr)</vt:lpstr>
      <vt:lpstr>Rail Billings - Nutrien</vt:lpstr>
      <vt:lpstr>Country!Print_Area</vt:lpstr>
      <vt:lpstr>'Country (2 yr)'!Print_Area</vt:lpstr>
      <vt:lpstr>Grade!Print_Area</vt:lpstr>
      <vt:lpstr>Region!Print_Area</vt:lpstr>
      <vt:lpstr>'Region (2 yr)'!Print_Area</vt:lpstr>
      <vt:lpstr>'Var Rpt (Q1)-CHIN'!Print_Area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Dion</dc:creator>
  <cp:lastModifiedBy>Meesam Ali</cp:lastModifiedBy>
  <cp:lastPrinted>2020-11-03T04:27:16Z</cp:lastPrinted>
  <dcterms:created xsi:type="dcterms:W3CDTF">2018-09-24T16:54:01Z</dcterms:created>
  <dcterms:modified xsi:type="dcterms:W3CDTF">2022-06-28T16:25:39Z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0x0101005AB2F2C4BDC43241B713830B591D0982</vt:lpwstr>
  </property>
</Properties>
</file>