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Q36" i="18" l="1"/>
  <c r="AP24" i="18"/>
  <c r="Q40" i="18"/>
  <c r="S34" i="18" l="1"/>
  <c r="S33" i="18"/>
  <c r="P36" i="18"/>
  <c r="N36" i="18" s="1"/>
  <c r="AV68" i="18"/>
  <c r="C9" i="33"/>
  <c r="D9" i="33"/>
  <c r="E9" i="33"/>
  <c r="F9" i="33"/>
  <c r="G9" i="33"/>
  <c r="H9" i="33"/>
  <c r="I9" i="33"/>
  <c r="J9" i="33"/>
  <c r="K9" i="33"/>
  <c r="L9" i="33"/>
  <c r="H3" i="33"/>
  <c r="I3" i="33"/>
  <c r="J3" i="33"/>
  <c r="K3" i="33"/>
  <c r="L3" i="33"/>
  <c r="G3" i="33"/>
  <c r="F3" i="33"/>
  <c r="E3" i="33"/>
  <c r="D3" i="33"/>
  <c r="C3" i="33"/>
  <c r="B9" i="33"/>
  <c r="B3" i="33"/>
  <c r="R9" i="33"/>
  <c r="R17" i="33"/>
  <c r="R18" i="33"/>
  <c r="R19" i="33"/>
  <c r="R20" i="33"/>
  <c r="R21" i="33"/>
  <c r="R22" i="33"/>
  <c r="R23" i="33"/>
  <c r="B23" i="33"/>
  <c r="C23" i="33"/>
  <c r="D23" i="33"/>
  <c r="E23" i="33"/>
  <c r="F23" i="33"/>
  <c r="G23" i="33"/>
  <c r="H23" i="33"/>
  <c r="I23" i="33"/>
  <c r="J23" i="33"/>
  <c r="K23" i="33"/>
  <c r="L23" i="33"/>
  <c r="B22" i="33"/>
  <c r="C22" i="33"/>
  <c r="D22" i="33"/>
  <c r="E22" i="33"/>
  <c r="F22" i="33"/>
  <c r="G22" i="33"/>
  <c r="H22" i="33"/>
  <c r="I22" i="33"/>
  <c r="J22" i="33"/>
  <c r="K22" i="33"/>
  <c r="L22" i="33"/>
  <c r="B21" i="33"/>
  <c r="C21" i="33"/>
  <c r="D21" i="33"/>
  <c r="E21" i="33"/>
  <c r="F21" i="33"/>
  <c r="G21" i="33"/>
  <c r="H21" i="33"/>
  <c r="I21" i="33"/>
  <c r="J21" i="33"/>
  <c r="K21" i="33"/>
  <c r="L21" i="33"/>
  <c r="B20" i="33"/>
  <c r="C20" i="33"/>
  <c r="D20" i="33"/>
  <c r="E20" i="33"/>
  <c r="F20" i="33"/>
  <c r="G20" i="33"/>
  <c r="H20" i="33"/>
  <c r="I20" i="33"/>
  <c r="J20" i="33"/>
  <c r="K20" i="33"/>
  <c r="L20" i="33"/>
  <c r="B19" i="33"/>
  <c r="C19" i="33"/>
  <c r="D19" i="33"/>
  <c r="E19" i="33"/>
  <c r="F19" i="33"/>
  <c r="G19" i="33"/>
  <c r="H19" i="33"/>
  <c r="I19" i="33"/>
  <c r="J19" i="33"/>
  <c r="K19" i="33"/>
  <c r="L19" i="33"/>
  <c r="B18" i="33"/>
  <c r="C18" i="33"/>
  <c r="D18" i="33"/>
  <c r="E18" i="33"/>
  <c r="F18" i="33"/>
  <c r="G18" i="33"/>
  <c r="H18" i="33"/>
  <c r="I18" i="33"/>
  <c r="J18" i="33"/>
  <c r="K18" i="33"/>
  <c r="L18" i="33"/>
  <c r="B17" i="33"/>
  <c r="C17" i="33"/>
  <c r="D17" i="33"/>
  <c r="E17" i="33"/>
  <c r="F17" i="33"/>
  <c r="G17" i="33"/>
  <c r="H17" i="33"/>
  <c r="I17" i="33"/>
  <c r="J17" i="33"/>
  <c r="K17" i="33"/>
  <c r="L17" i="33"/>
  <c r="N23" i="33"/>
  <c r="N22" i="33"/>
  <c r="N21" i="33"/>
  <c r="N20" i="33"/>
  <c r="N19" i="33"/>
  <c r="N18" i="33"/>
  <c r="N17" i="33"/>
  <c r="N9" i="33"/>
  <c r="N3" i="33"/>
  <c r="N4" i="33"/>
  <c r="AH80" i="18" l="1"/>
  <c r="AC15" i="33" l="1"/>
  <c r="N16" i="33" l="1"/>
  <c r="L16" i="33" s="1"/>
  <c r="E16" i="33" l="1"/>
  <c r="I16" i="33"/>
  <c r="C16" i="33"/>
  <c r="G16" i="33"/>
  <c r="K16" i="33"/>
  <c r="D16" i="33"/>
  <c r="H16" i="33"/>
  <c r="B16" i="33"/>
  <c r="F16" i="33"/>
  <c r="J16" i="33"/>
  <c r="R16" i="33"/>
  <c r="N27" i="18"/>
  <c r="L25" i="18"/>
  <c r="D57" i="48" l="1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J220" i="20" s="1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K220" i="20" s="1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I220" i="20" l="1"/>
  <c r="J219" i="20"/>
  <c r="K219" i="20"/>
  <c r="I219" i="20"/>
  <c r="B267" i="20"/>
  <c r="N19" i="18" l="1"/>
  <c r="N34" i="18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Q56" i="18"/>
  <c r="N42" i="18" l="1"/>
  <c r="N33" i="18" l="1"/>
  <c r="AH86" i="18" l="1"/>
  <c r="AH87" i="18" s="1"/>
  <c r="AK70" i="18"/>
  <c r="AK71" i="18"/>
  <c r="AJ68" i="18" l="1"/>
  <c r="AJ67" i="18" s="1"/>
  <c r="U41" i="18"/>
  <c r="AK68" i="18" l="1"/>
  <c r="AK69" i="18"/>
  <c r="AJ66" i="18"/>
  <c r="AK67" i="18"/>
  <c r="Q59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K2" i="33" s="1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H15" i="33"/>
  <c r="B15" i="33"/>
  <c r="G15" i="33"/>
  <c r="K15" i="33"/>
  <c r="L15" i="33"/>
  <c r="E26" i="14"/>
  <c r="G27" i="14"/>
  <c r="C15" i="33"/>
  <c r="E15" i="33"/>
  <c r="I15" i="33"/>
  <c r="D15" i="33"/>
  <c r="J15" i="33"/>
  <c r="F15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C14" i="33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4" i="33"/>
  <c r="L14" i="33"/>
  <c r="D14" i="33"/>
  <c r="I14" i="33"/>
  <c r="R14" i="33"/>
  <c r="E14" i="33"/>
  <c r="G14" i="33"/>
  <c r="J14" i="33"/>
  <c r="F14" i="33"/>
  <c r="K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AL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32" i="33"/>
  <c r="C32" i="33"/>
  <c r="H32" i="33"/>
  <c r="E32" i="33"/>
  <c r="J32" i="33"/>
  <c r="I32" i="33"/>
  <c r="F32" i="33"/>
  <c r="D32" i="33"/>
  <c r="L32" i="33"/>
  <c r="G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D31" i="33" l="1"/>
  <c r="B31" i="33"/>
  <c r="U31" i="33" s="1"/>
  <c r="G13" i="33"/>
  <c r="B13" i="33"/>
  <c r="U13" i="33" s="1"/>
  <c r="E130" i="13"/>
  <c r="G131" i="13"/>
  <c r="U25" i="33"/>
  <c r="D25" i="33"/>
  <c r="J27" i="33"/>
  <c r="G27" i="33"/>
  <c r="L27" i="33"/>
  <c r="D27" i="33"/>
  <c r="I27" i="33"/>
  <c r="H27" i="33"/>
  <c r="E27" i="33"/>
  <c r="C27" i="33"/>
  <c r="K27" i="33"/>
  <c r="F27" i="33"/>
  <c r="G10" i="33"/>
  <c r="F10" i="33"/>
  <c r="K10" i="33"/>
  <c r="L10" i="33"/>
  <c r="D10" i="33"/>
  <c r="I10" i="33"/>
  <c r="J10" i="33"/>
  <c r="H10" i="33"/>
  <c r="E10" i="33"/>
  <c r="C10" i="33"/>
  <c r="U10" i="33"/>
  <c r="G28" i="33"/>
  <c r="L28" i="33"/>
  <c r="D28" i="33"/>
  <c r="I28" i="33"/>
  <c r="F28" i="33"/>
  <c r="K28" i="33"/>
  <c r="J28" i="33"/>
  <c r="C28" i="33"/>
  <c r="H28" i="33"/>
  <c r="E28" i="33"/>
  <c r="U28" i="33"/>
  <c r="R34" i="33"/>
  <c r="E34" i="33"/>
  <c r="L34" i="33"/>
  <c r="J34" i="33"/>
  <c r="G34" i="33"/>
  <c r="D34" i="33"/>
  <c r="H34" i="33"/>
  <c r="F34" i="33"/>
  <c r="C34" i="33"/>
  <c r="I34" i="33"/>
  <c r="K34" i="33"/>
  <c r="U34" i="33"/>
  <c r="L11" i="33"/>
  <c r="D11" i="33"/>
  <c r="F11" i="33"/>
  <c r="C11" i="33"/>
  <c r="I11" i="33"/>
  <c r="K11" i="33"/>
  <c r="H11" i="33"/>
  <c r="J11" i="33"/>
  <c r="G11" i="33"/>
  <c r="E11" i="33"/>
  <c r="U11" i="33"/>
  <c r="L29" i="33"/>
  <c r="D29" i="33"/>
  <c r="K29" i="33"/>
  <c r="I29" i="33"/>
  <c r="F29" i="33"/>
  <c r="C29" i="33"/>
  <c r="G29" i="33"/>
  <c r="E29" i="33"/>
  <c r="H29" i="33"/>
  <c r="J29" i="33"/>
  <c r="U29" i="33"/>
  <c r="F31" i="33"/>
  <c r="E31" i="33"/>
  <c r="J31" i="33"/>
  <c r="K31" i="33"/>
  <c r="C31" i="33"/>
  <c r="H31" i="33"/>
  <c r="L31" i="33"/>
  <c r="I31" i="33"/>
  <c r="G31" i="33"/>
  <c r="I12" i="33"/>
  <c r="F12" i="33"/>
  <c r="K12" i="33"/>
  <c r="C12" i="33"/>
  <c r="H12" i="33"/>
  <c r="J12" i="33"/>
  <c r="G12" i="33"/>
  <c r="D12" i="33"/>
  <c r="L12" i="33"/>
  <c r="E12" i="33"/>
  <c r="U12" i="33"/>
  <c r="I30" i="33"/>
  <c r="C30" i="33"/>
  <c r="H30" i="33"/>
  <c r="F30" i="33"/>
  <c r="K30" i="33"/>
  <c r="D30" i="33"/>
  <c r="L30" i="33"/>
  <c r="J30" i="33"/>
  <c r="G30" i="33"/>
  <c r="E30" i="33"/>
  <c r="U30" i="33"/>
  <c r="G2" i="33"/>
  <c r="L2" i="33"/>
  <c r="D2" i="33"/>
  <c r="I2" i="33"/>
  <c r="F2" i="33"/>
  <c r="J2" i="33"/>
  <c r="H2" i="33"/>
  <c r="E2" i="33"/>
  <c r="C2" i="33"/>
  <c r="U2" i="33"/>
  <c r="F13" i="33"/>
  <c r="K13" i="33"/>
  <c r="C13" i="33"/>
  <c r="H13" i="33"/>
  <c r="E13" i="33"/>
  <c r="I13" i="33"/>
  <c r="L13" i="33"/>
  <c r="J13" i="33"/>
  <c r="D13" i="33"/>
  <c r="I4" i="33"/>
  <c r="C4" i="33"/>
  <c r="H4" i="33"/>
  <c r="F4" i="33"/>
  <c r="K4" i="33"/>
  <c r="D4" i="33"/>
  <c r="L4" i="33"/>
  <c r="E4" i="33"/>
  <c r="J4" i="33"/>
  <c r="G4" i="33"/>
  <c r="U4" i="33"/>
  <c r="H33" i="33"/>
  <c r="E33" i="33"/>
  <c r="J33" i="33"/>
  <c r="G33" i="33"/>
  <c r="L33" i="33"/>
  <c r="K33" i="33"/>
  <c r="D33" i="33"/>
  <c r="I33" i="33"/>
  <c r="F33" i="33"/>
  <c r="C33" i="33"/>
  <c r="U33" i="33"/>
  <c r="K24" i="33"/>
  <c r="C24" i="33"/>
  <c r="E24" i="33"/>
  <c r="J24" i="33"/>
  <c r="H24" i="33"/>
  <c r="F24" i="33"/>
  <c r="D24" i="33"/>
  <c r="G24" i="33"/>
  <c r="L24" i="33"/>
  <c r="I24" i="33"/>
  <c r="U24" i="33"/>
  <c r="K6" i="33"/>
  <c r="C6" i="33"/>
  <c r="H6" i="33"/>
  <c r="E6" i="33"/>
  <c r="J6" i="33"/>
  <c r="G6" i="33"/>
  <c r="I6" i="33"/>
  <c r="F6" i="33"/>
  <c r="D6" i="33"/>
  <c r="L6" i="33"/>
  <c r="U6" i="33"/>
  <c r="J35" i="33"/>
  <c r="D35" i="33"/>
  <c r="I35" i="33"/>
  <c r="G35" i="33"/>
  <c r="L35" i="33"/>
  <c r="E35" i="33"/>
  <c r="K35" i="33"/>
  <c r="H35" i="33"/>
  <c r="F35" i="33"/>
  <c r="C35" i="33"/>
  <c r="U35" i="33"/>
  <c r="H25" i="33"/>
  <c r="G25" i="33"/>
  <c r="L25" i="33"/>
  <c r="E25" i="33"/>
  <c r="J25" i="33"/>
  <c r="C25" i="33"/>
  <c r="I25" i="33"/>
  <c r="K25" i="33"/>
  <c r="F25" i="33"/>
  <c r="H7" i="33"/>
  <c r="E7" i="33"/>
  <c r="J7" i="33"/>
  <c r="G7" i="33"/>
  <c r="L7" i="33"/>
  <c r="I7" i="33"/>
  <c r="F7" i="33"/>
  <c r="C7" i="33"/>
  <c r="K7" i="33"/>
  <c r="D7" i="33"/>
  <c r="U7" i="33"/>
  <c r="G36" i="33"/>
  <c r="F36" i="33"/>
  <c r="K36" i="33"/>
  <c r="L36" i="33"/>
  <c r="D36" i="33"/>
  <c r="I36" i="33"/>
  <c r="J36" i="33"/>
  <c r="C36" i="33"/>
  <c r="H36" i="33"/>
  <c r="E36" i="33"/>
  <c r="U36" i="33"/>
  <c r="E26" i="33"/>
  <c r="D26" i="33"/>
  <c r="J26" i="33"/>
  <c r="G26" i="33"/>
  <c r="L26" i="33"/>
  <c r="I26" i="33"/>
  <c r="H26" i="33"/>
  <c r="K26" i="33"/>
  <c r="F26" i="33"/>
  <c r="C26" i="33"/>
  <c r="U26" i="33"/>
  <c r="F5" i="33"/>
  <c r="E5" i="33"/>
  <c r="K5" i="33"/>
  <c r="C5" i="33"/>
  <c r="H5" i="33"/>
  <c r="L5" i="33"/>
  <c r="I5" i="33"/>
  <c r="G5" i="33"/>
  <c r="D5" i="33"/>
  <c r="J5" i="33"/>
  <c r="U5" i="33"/>
  <c r="E8" i="33"/>
  <c r="L8" i="33"/>
  <c r="J8" i="33"/>
  <c r="G8" i="33"/>
  <c r="D8" i="33"/>
  <c r="H8" i="33"/>
  <c r="K8" i="33"/>
  <c r="I8" i="33"/>
  <c r="F8" i="33"/>
  <c r="C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<sst xmlns="http://schemas.openxmlformats.org/spreadsheetml/2006/main" count="9117" uniqueCount="4328">
  <si>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</si>
  <si>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</si>
  <si>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</si>
  <si>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</si>
  <si>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</si>
  <si>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</si>
  <si>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</si>
  <si>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</si>
  <si>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</si>
  <si>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</si>
  <si>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</si>
  <si>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</si>
  <si>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</si>
  <si>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</si>
  <si>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</si>
  <si>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</si>
  <si>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</si>
  <si>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</si>
  <si>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</si>
  <si>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</si>
  <si>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</si>
  <si>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</si>
  <si>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</si>
  <si>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</si>
  <si>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</si>
  <si>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</si>
  <si>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</si>
  <si>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</si>
  <si>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</si>
  <si>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</si>
  <si>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</si>
  <si>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</si>
  <si>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</si>
  <si>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</si>
  <si>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</si>
  <si>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</si>
  <si>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</si>
  <si>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</si>
  <si>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</si>
  <si>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</si>
  <si>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</si>
  <si>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</si>
  <si>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</si>
  <si>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</si>
  <si>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</si>
  <si>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</si>
  <si>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</si>
  <si>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</si>
  <si>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</si>
  <si>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</si>
  <si>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</si>
  <si>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</si>
  <si>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</si>
  <si>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</si>
  <si>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</si>
  <si>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</si>
  <si>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</si>
  <si>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</si>
  <si>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</si>
  <si>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</si>
  <si>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</si>
  <si>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</si>
  <si>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</si>
  <si>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</si>
  <si>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</si>
  <si>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</si>
  <si>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</si>
  <si>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</si>
  <si>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</si>
  <si>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</si>
  <si>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</si>
  <si>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</si>
  <si>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</si>
  <si>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</si>
  <si>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</si>
  <si>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</si>
  <si>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</si>
  <si>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</si>
  <si>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</si>
  <si>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</si>
  <si>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</si>
  <si>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</si>
  <si>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</si>
  <si>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</si>
  <si>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</si>
  <si>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</si>
  <si>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</si>
  <si>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</si>
  <si>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</si>
  <si>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</si>
  <si>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</si>
  <si>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</si>
  <si>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</si>
  <si>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</si>
  <si>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</si>
  <si>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</si>
  <si>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</si>
  <si>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</si>
  <si>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</si>
  <si>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</si>
  <si>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</si>
  <si>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</si>
  <si>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</si>
  <si>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</si>
  <si>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</si>
  <si>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</si>
  <si>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</si>
  <si>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</si>
  <si>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</si>
  <si>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</si>
  <si>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</si>
  <si>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</si>
  <si>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</si>
  <si>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</si>
  <si>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</si>
  <si>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</si>
  <si>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</si>
  <si>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</si>
  <si>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</si>
  <si>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</si>
  <si>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</si>
  <si>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</si>
  <si>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</si>
  <si>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</si>
  <si>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</si>
  <si>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</si>
  <si>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</si>
  <si>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</si>
  <si>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</si>
  <si>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</si>
  <si>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</si>
  <si>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</si>
  <si>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</si>
  <si>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</si>
  <si>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</si>
  <si>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</si>
  <si>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</si>
  <si>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</si>
  <si>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</si>
  <si>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</si>
  <si>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</si>
  <si>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</si>
  <si>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</si>
  <si>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</si>
  <si>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</si>
  <si>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</si>
  <si>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</si>
  <si>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</si>
  <si>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</si>
  <si>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</si>
  <si>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</si>
  <si>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</si>
  <si>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</si>
  <si>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</si>
  <si>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</si>
  <si>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</si>
  <si>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</si>
  <si>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</si>
  <si>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</si>
  <si>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</si>
  <si>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</si>
  <si>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</si>
  <si>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</si>
  <si>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</si>
  <si>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</si>
  <si>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</si>
  <si>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</si>
  <si>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</si>
  <si>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</si>
  <si>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</si>
  <si>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</si>
  <si>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</si>
  <si>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</si>
  <si>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</si>
  <si>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</si>
  <si>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</si>
  <si>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</si>
  <si>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</si>
  <si>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</si>
  <si>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</si>
  <si>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</si>
  <si>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</si>
  <si>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</si>
  <si>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</si>
  <si>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</si>
  <si>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</si>
  <si>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</si>
  <si>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</si>
  <si>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</si>
  <si>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</si>
  <si>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</si>
  <si>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</si>
  <si>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</si>
  <si>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</si>
  <si>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</si>
  <si>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</si>
  <si>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</si>
  <si>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</si>
  <si>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</si>
  <si>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</si>
  <si>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</si>
  <si>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</si>
  <si>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</si>
  <si>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</si>
  <si>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</si>
  <si>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</si>
  <si>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</si>
  <si>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</si>
  <si>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</si>
  <si>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</si>
  <si>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</si>
  <si>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</si>
  <si>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</si>
  <si>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</si>
  <si>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</si>
  <si>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</si>
  <si>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</si>
  <si>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</si>
  <si>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</si>
  <si>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</si>
  <si>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</si>
  <si>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</si>
  <si>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</si>
  <si>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</si>
  <si>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</si>
  <si>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</si>
  <si>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</si>
  <si>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</si>
  <si>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</si>
  <si>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</si>
  <si>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</si>
  <si>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</si>
  <si>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</si>
  <si>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</si>
  <si>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</si>
  <si>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</si>
  <si>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</si>
  <si>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</si>
  <si>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</si>
  <si>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</si>
  <si>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</si>
  <si>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</si>
  <si>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</si>
  <si>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</si>
  <si>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</si>
  <si>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</si>
  <si>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</si>
  <si>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</si>
  <si>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</si>
  <si>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</si>
  <si>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</si>
  <si>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</si>
  <si>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</si>
  <si>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</si>
  <si>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</si>
  <si>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</si>
  <si>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</si>
  <si>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</si>
  <si>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</si>
  <si>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</si>
  <si>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</si>
  <si>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</si>
  <si>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</si>
  <si>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</si>
  <si>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</si>
  <si>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</si>
  <si>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</si>
  <si>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</si>
  <si>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</si>
  <si>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</si>
  <si>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</si>
  <si>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</si>
  <si>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</si>
  <si>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</si>
  <si>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</si>
  <si>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</si>
  <si>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</si>
  <si>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</si>
  <si>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</si>
  <si>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</si>
  <si>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</si>
  <si>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</si>
  <si>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</si>
  <si>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</si>
  <si>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</si>
  <si>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</si>
  <si>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</si>
  <si>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</si>
  <si>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</si>
  <si>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</si>
  <si>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</si>
  <si>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</si>
  <si>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</si>
  <si>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</si>
  <si>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</si>
  <si>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</si>
  <si>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</si>
  <si>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</si>
  <si>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</si>
  <si>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</si>
  <si>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</si>
  <si>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</si>
  <si>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</si>
  <si>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</si>
  <si>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</si>
  <si>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</si>
  <si>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</si>
  <si>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</si>
  <si>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</si>
  <si>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</si>
  <si>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</si>
  <si>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</si>
  <si>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</si>
  <si>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</si>
  <si>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</si>
  <si>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</si>
  <si>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</si>
  <si>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</si>
  <si>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</si>
  <si>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</si>
  <si>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</si>
  <si>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</si>
  <si>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</si>
  <si>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</si>
  <si>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</si>
  <si>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</si>
  <si>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</si>
  <si>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</si>
  <si>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</si>
  <si>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</si>
  <si>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</si>
  <si>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</si>
  <si>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</si>
  <si>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</si>
  <si>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</si>
  <si>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</si>
  <si>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</si>
  <si>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</si>
  <si>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</si>
  <si>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</si>
  <si>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</si>
  <si>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</si>
  <si>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</si>
  <si>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</si>
  <si>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</si>
  <si>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</si>
  <si>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</si>
  <si>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</si>
  <si>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</si>
  <si>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</si>
  <si>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</si>
  <si>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</si>
  <si>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</si>
  <si>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</si>
  <si>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</si>
  <si>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</si>
  <si>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</si>
  <si>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</si>
  <si>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</si>
  <si>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</si>
  <si>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</si>
  <si>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</si>
  <si>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</si>
  <si>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</si>
  <si>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</si>
  <si>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</si>
  <si>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</si>
  <si>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</si>
  <si>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</si>
  <si>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</si>
  <si>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</si>
  <si>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</si>
  <si>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</si>
  <si>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</si>
  <si>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</si>
  <si>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</si>
  <si>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</si>
  <si>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</si>
  <si>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</si>
  <si>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</si>
  <si>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</si>
  <si>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</si>
  <si>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</si>
  <si>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</si>
  <si>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</si>
  <si>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</si>
  <si>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</si>
  <si>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</si>
  <si>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</si>
  <si>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</si>
  <si>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</si>
  <si>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</si>
  <si>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</si>
  <si>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</si>
  <si>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</si>
  <si>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</si>
  <si>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</si>
  <si>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</si>
  <si>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</si>
  <si>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</si>
  <si>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</si>
  <si>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</si>
  <si>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</si>
  <si>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</si>
  <si>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</si>
  <si>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</si>
  <si>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</si>
  <si>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</si>
  <si>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</si>
  <si>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</si>
  <si>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</si>
  <si>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</si>
  <si>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</si>
  <si>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</si>
  <si>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</si>
  <si>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</si>
  <si>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</si>
  <si>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</si>
  <si>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</si>
  <si>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</si>
  <si>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</si>
  <si>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</si>
  <si>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</si>
  <si>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</si>
  <si>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</si>
  <si>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</si>
  <si>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</si>
  <si>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</si>
  <si>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</si>
  <si>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</si>
  <si>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</si>
  <si>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</si>
  <si>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</si>
  <si>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</si>
  <si>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</si>
  <si>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</si>
  <si>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</si>
  <si>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</si>
  <si>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</si>
  <si>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</si>
  <si>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</si>
  <si>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</si>
  <si>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</si>
  <si>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</si>
  <si>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</si>
  <si>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</si>
  <si>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</si>
  <si>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</si>
  <si>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</si>
  <si>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</si>
  <si>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</si>
  <si>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</si>
  <si>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</si>
  <si>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</si>
  <si>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</si>
  <si>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</si>
  <si>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</si>
  <si>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</si>
  <si>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</si>
  <si>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</si>
  <si>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</si>
  <si>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</si>
  <si>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</si>
  <si>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</si>
  <si>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</si>
  <si>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</si>
  <si>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</si>
  <si>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</si>
  <si>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</si>
  <si>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</si>
  <si>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</si>
  <si>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</si>
  <si>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</si>
  <si>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</si>
  <si>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</si>
  <si>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</si>
  <si>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</si>
  <si>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</si>
  <si>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</si>
  <si>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</si>
  <si>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</si>
  <si>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</si>
  <si>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</si>
  <si>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</si>
  <si>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</si>
  <si>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</si>
  <si>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</si>
  <si>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</si>
  <si>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</si>
  <si>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</si>
  <si>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</si>
  <si>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</si>
  <si>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</si>
  <si>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</si>
  <si>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</si>
  <si>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</si>
  <si>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</si>
  <si>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</si>
  <si>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</si>
  <si>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</si>
  <si>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</si>
  <si>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</si>
  <si>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</si>
  <si>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</si>
  <si>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</si>
  <si>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</si>
  <si>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</si>
  <si>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</si>
  <si>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</si>
  <si>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</si>
  <si>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</si>
  <si>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</si>
  <si>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</si>
  <si>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</si>
  <si>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</si>
  <si>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</si>
  <si>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</si>
  <si>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</si>
  <si>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</si>
  <si>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</si>
  <si>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</si>
  <si>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</si>
  <si>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</si>
  <si>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</si>
  <si>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</si>
  <si>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</si>
  <si>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</si>
  <si>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</si>
  <si>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</si>
  <si>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</si>
  <si>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</si>
  <si>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</si>
  <si>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</si>
  <si>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</si>
  <si>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</si>
  <si>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</si>
  <si>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</si>
  <si>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</si>
  <si>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</si>
  <si>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</si>
  <si>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</si>
  <si>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</si>
  <si>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</si>
  <si>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</si>
  <si>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</si>
  <si>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</si>
  <si>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</si>
  <si>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</si>
  <si>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</si>
  <si>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</si>
  <si>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</si>
  <si>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</si>
  <si>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</si>
  <si>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</si>
  <si>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</si>
  <si>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</si>
  <si>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</si>
  <si>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</si>
  <si>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</si>
  <si>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</si>
  <si>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</si>
  <si>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</si>
  <si>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</si>
  <si>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</si>
  <si>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</si>
  <si>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</si>
  <si>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</si>
  <si>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</si>
  <si>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</si>
  <si>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</si>
  <si>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</si>
  <si>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</si>
  <si>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</si>
  <si>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</si>
  <si>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</si>
  <si>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</si>
  <si>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</si>
  <si>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</si>
  <si>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</si>
  <si>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</si>
  <si>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</si>
  <si>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</si>
  <si>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</si>
  <si>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</si>
  <si>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</si>
  <si>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</si>
  <si>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</si>
  <si>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</si>
  <si>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</si>
  <si>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</si>
  <si>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</si>
  <si>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</si>
  <si>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</si>
  <si>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</si>
  <si>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</si>
  <si>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</si>
  <si>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</si>
  <si>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</si>
  <si>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</si>
  <si>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</si>
  <si>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</si>
  <si>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</si>
  <si>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</si>
  <si>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</si>
  <si>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</si>
  <si>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</si>
  <si>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</si>
  <si>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</si>
  <si>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</si>
  <si>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</si>
  <si>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</si>
  <si>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</si>
  <si>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</si>
  <si>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</si>
  <si>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</si>
  <si>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</si>
  <si>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</si>
  <si>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</si>
  <si>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</si>
  <si>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</si>
  <si>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</si>
  <si>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</si>
  <si>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</si>
  <si>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</si>
  <si>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</si>
  <si>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</si>
  <si>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</si>
  <si>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</si>
  <si>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</si>
  <si>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</si>
  <si>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</si>
  <si>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</si>
  <si>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</si>
  <si>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</si>
  <si>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</si>
  <si>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</si>
  <si>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</si>
  <si>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</si>
  <si>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</si>
  <si>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</si>
  <si>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</si>
  <si>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</si>
  <si>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</si>
  <si>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</si>
  <si>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</si>
  <si>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</si>
  <si>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</si>
  <si>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</si>
  <si>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</si>
  <si>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</si>
  <si>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</si>
  <si>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</si>
  <si>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</si>
  <si>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</si>
  <si>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</si>
  <si>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</si>
  <si>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</si>
  <si>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</si>
  <si>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</si>
  <si>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</si>
  <si>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</si>
  <si>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</si>
  <si>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</si>
  <si>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</si>
  <si>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</si>
  <si>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</si>
  <si>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</si>
  <si>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</si>
  <si>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</si>
  <si>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</si>
  <si>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</si>
  <si>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</si>
  <si>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</si>
  <si>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</si>
  <si>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</si>
  <si>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</si>
  <si>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</si>
  <si>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</si>
  <si>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</si>
  <si>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</si>
  <si>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</si>
  <si>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</si>
  <si>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</si>
  <si>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</si>
  <si>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</si>
  <si>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</si>
  <si>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</si>
  <si>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</si>
  <si>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</si>
  <si>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</si>
  <si>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</si>
  <si>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</si>
  <si>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</si>
  <si>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</si>
  <si>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</si>
  <si>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</si>
  <si>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</si>
  <si>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</si>
  <si>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</si>
  <si>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</si>
  <si>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</si>
  <si>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</si>
  <si>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</si>
  <si>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</si>
  <si>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</si>
  <si>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</si>
  <si>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</si>
  <si>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</si>
  <si>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</si>
  <si>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</si>
  <si>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</si>
  <si>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</si>
  <si>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</si>
  <si>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</si>
  <si>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</si>
  <si>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</si>
  <si>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</si>
  <si>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</si>
  <si>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</si>
  <si>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</si>
  <si>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</si>
  <si>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</si>
  <si>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</si>
  <si>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</si>
  <si>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</si>
  <si>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</si>
  <si>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</si>
  <si>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</si>
  <si>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</si>
  <si>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</si>
  <si>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</si>
  <si>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</si>
  <si>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</si>
  <si>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</si>
  <si>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</si>
  <si>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</si>
  <si>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</si>
  <si>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</si>
  <si>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</si>
  <si>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</si>
  <si>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</si>
  <si>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</si>
  <si>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</si>
  <si>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</si>
  <si>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</si>
  <si>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</si>
  <si>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</si>
  <si>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</si>
  <si>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</si>
  <si>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</si>
  <si>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</si>
  <si>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</si>
  <si>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</si>
  <si>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</si>
  <si>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</si>
  <si>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</si>
  <si>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</si>
  <si>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</si>
  <si>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</si>
  <si>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</si>
  <si>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</si>
  <si>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</si>
  <si>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</si>
  <si>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</si>
  <si>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</si>
  <si>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</si>
  <si>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</si>
  <si>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</si>
  <si>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</si>
  <si>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</si>
  <si>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</si>
  <si>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</si>
  <si>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</si>
  <si>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</si>
  <si>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</si>
  <si>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</si>
  <si>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</si>
  <si>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</si>
  <si>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</si>
  <si>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</si>
  <si>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</si>
  <si>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</si>
  <si>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</si>
  <si>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</si>
  <si>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</si>
  <si>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</si>
  <si>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</si>
  <si>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</si>
  <si>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</si>
  <si>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</si>
  <si>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</si>
  <si>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</si>
  <si>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</si>
  <si>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</si>
  <si>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</si>
  <si>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</si>
  <si>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</si>
  <si>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</si>
  <si>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</si>
  <si>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</si>
  <si>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</si>
  <si>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</si>
  <si>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</si>
  <si>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</si>
  <si>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</si>
  <si>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</si>
  <si>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</si>
  <si>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</si>
  <si>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</si>
  <si>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</si>
  <si>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</si>
  <si>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</si>
  <si>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</si>
  <si>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</si>
  <si>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</si>
  <si>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</si>
  <si>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</si>
  <si>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</si>
  <si>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</si>
  <si>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</si>
  <si>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</si>
  <si>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</si>
  <si>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</si>
  <si>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</si>
  <si>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</si>
  <si>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</si>
  <si>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</si>
  <si>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</si>
  <si>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</si>
  <si>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</si>
  <si>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</si>
  <si>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</si>
  <si>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</si>
  <si>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</si>
  <si>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</si>
  <si>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</si>
  <si>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</si>
  <si>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</si>
  <si>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</si>
  <si>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</si>
  <si>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</si>
  <si>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</si>
  <si>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</si>
  <si>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</si>
  <si>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</si>
  <si>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</si>
  <si>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</si>
  <si>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</si>
  <si>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</si>
  <si>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</si>
  <si>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</si>
  <si>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</si>
  <si>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</si>
  <si>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</si>
  <si>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</si>
  <si>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</si>
  <si>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</si>
  <si>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</si>
  <si>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</si>
  <si>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</si>
  <si>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</si>
  <si>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</si>
  <si>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</si>
  <si>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</si>
  <si>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</si>
  <si>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</si>
  <si>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</si>
  <si>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</si>
  <si>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</si>
  <si>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</si>
  <si>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</si>
  <si>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</si>
  <si>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</si>
  <si>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</si>
  <si>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</si>
  <si>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</si>
  <si>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</si>
  <si>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</si>
  <si>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</si>
  <si>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</si>
  <si>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</si>
  <si>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</si>
  <si>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</si>
  <si>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</si>
  <si>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</si>
  <si>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</si>
  <si>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</si>
  <si>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</si>
  <si>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</si>
  <si>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</si>
  <si>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</si>
  <si>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</si>
  <si>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</si>
  <si>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</si>
  <si>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</si>
  <si>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</si>
  <si>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</si>
  <si>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</si>
  <si>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</si>
  <si>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</si>
  <si>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</si>
  <si>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</si>
  <si>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</si>
  <si>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</si>
  <si>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</si>
  <si>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</si>
  <si>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</si>
  <si>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</si>
  <si>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</si>
  <si>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</si>
  <si>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</si>
  <si>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</si>
  <si>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</si>
  <si>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</si>
  <si>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</si>
  <si>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</si>
  <si>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</si>
  <si>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</si>
  <si>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</si>
  <si>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</si>
  <si>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</si>
  <si>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</si>
  <si>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</si>
  <si>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</si>
  <si>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</si>
  <si>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</si>
  <si>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</si>
  <si>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</si>
  <si>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</si>
  <si>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</si>
  <si>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</si>
  <si>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</si>
  <si>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</si>
  <si>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</si>
  <si>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</si>
  <si>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</si>
  <si>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</si>
  <si>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</si>
  <si>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</si>
  <si>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</si>
  <si>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</si>
  <si>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</si>
  <si>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</si>
  <si>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</si>
  <si>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</si>
  <si>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</si>
  <si>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</si>
  <si>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</si>
  <si>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</si>
  <si>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</si>
  <si>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</si>
  <si>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</si>
  <si>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</si>
  <si>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</si>
  <si>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</si>
  <si>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</si>
  <si>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</si>
  <si>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</si>
  <si>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</si>
  <si>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</si>
  <si>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</si>
  <si>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</si>
  <si>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</si>
  <si>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</si>
  <si>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</si>
  <si>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</si>
  <si>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</si>
  <si>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</si>
  <si>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</si>
  <si>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</si>
  <si>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</si>
  <si>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</si>
  <si>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</si>
  <si>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</si>
  <si>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</si>
  <si>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</si>
  <si>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</si>
  <si>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</si>
  <si>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</si>
  <si>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</si>
  <si>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</si>
  <si>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</si>
  <si>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</si>
  <si>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</si>
  <si>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</si>
  <si>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</si>
  <si>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</si>
  <si>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</si>
  <si>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</si>
  <si>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</si>
  <si>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</si>
  <si>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</si>
  <si>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</si>
  <si>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</si>
  <si>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</si>
  <si>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</si>
  <si>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</si>
  <si>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</si>
  <si>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</si>
  <si>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</si>
  <si>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</si>
  <si>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</si>
  <si>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</si>
  <si>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</si>
  <si>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</si>
  <si>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</si>
  <si>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</si>
  <si>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</si>
  <si>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</si>
  <si>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</si>
  <si>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</si>
  <si>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</si>
  <si>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</si>
  <si>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</si>
  <si>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</si>
  <si>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</si>
  <si>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</si>
  <si>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</si>
  <si>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</si>
  <si>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</si>
  <si>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</si>
  <si>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</si>
  <si>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</si>
  <si>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</si>
  <si>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</si>
  <si>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</si>
  <si>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</si>
  <si>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</si>
  <si>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</si>
  <si>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</si>
  <si>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</si>
  <si>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</si>
  <si>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</si>
  <si>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</si>
  <si>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</si>
  <si>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</si>
  <si>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</si>
  <si>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</si>
  <si>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</si>
  <si>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</si>
  <si>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</si>
  <si>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</si>
  <si>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</si>
  <si>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</si>
  <si>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</si>
  <si>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</si>
  <si>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</si>
  <si>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</si>
  <si>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</si>
  <si>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</si>
  <si>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</si>
  <si>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</si>
  <si>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</si>
  <si>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</si>
  <si>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</si>
  <si>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</si>
  <si>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</si>
  <si>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</si>
  <si>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</si>
  <si>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</si>
  <si>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</si>
  <si>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</si>
  <si>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</si>
  <si>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</si>
  <si>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</si>
  <si>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</si>
  <si>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</si>
  <si>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</si>
  <si>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</si>
  <si>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</si>
  <si>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</si>
  <si>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</si>
  <si>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</si>
  <si>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</si>
  <si>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</si>
  <si>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</si>
  <si>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</si>
  <si>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</si>
  <si>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</si>
  <si>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</si>
  <si>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</si>
  <si>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</si>
  <si>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</si>
  <si>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</si>
  <si>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</si>
  <si>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</si>
  <si>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</si>
  <si>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</si>
  <si>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</si>
  <si>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</si>
  <si>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</si>
  <si>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</si>
  <si>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</si>
  <si>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</si>
  <si>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</si>
  <si>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</si>
  <si>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</si>
  <si>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</si>
  <si>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</si>
  <si>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</si>
  <si>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</si>
  <si>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</si>
  <si>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</si>
  <si>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</si>
  <si>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</si>
  <si>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</si>
  <si>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</si>
  <si>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</si>
  <si>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</si>
  <si>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</si>
  <si>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</si>
  <si>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</si>
  <si>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</si>
  <si>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</si>
  <si>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</si>
  <si>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</si>
  <si>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</si>
  <si>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</si>
  <si>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</si>
  <si>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</si>
  <si>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</si>
  <si>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</si>
  <si>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</si>
  <si>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</si>
  <si>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</si>
  <si>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</si>
  <si>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</si>
  <si>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</si>
  <si>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</si>
  <si>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</si>
  <si>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</si>
  <si>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</si>
  <si>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</si>
  <si>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</si>
  <si>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</si>
  <si>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</si>
  <si>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</si>
  <si>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</si>
  <si>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</si>
  <si>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</si>
  <si>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</si>
  <si>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</si>
  <si>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</si>
  <si>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</si>
  <si>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</si>
  <si>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</si>
  <si>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</si>
  <si>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</si>
  <si>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</si>
  <si>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</si>
  <si>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</si>
  <si>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</si>
  <si>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</si>
  <si>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</si>
  <si>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</si>
  <si>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</si>
  <si>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</si>
  <si>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</si>
  <si>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</si>
  <si>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</si>
  <si>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</si>
  <si>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</si>
  <si>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</si>
  <si>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</si>
  <si>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</si>
  <si>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</si>
  <si>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</si>
  <si>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</si>
  <si>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</si>
  <si>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</si>
  <si>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</si>
  <si>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</si>
  <si>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</si>
  <si>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</si>
  <si>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</si>
  <si>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</si>
  <si>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</si>
  <si>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</si>
  <si>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</si>
  <si>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</si>
  <si>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</si>
  <si>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</si>
  <si>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</si>
  <si>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</si>
  <si>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</si>
  <si>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</si>
  <si>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</si>
  <si>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</si>
  <si>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</si>
  <si>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</si>
  <si>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</si>
  <si>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</si>
  <si>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</si>
  <si>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</si>
  <si>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</si>
  <si>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</si>
  <si>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</si>
  <si>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</si>
  <si>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</si>
  <si>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</si>
  <si>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</si>
  <si>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</si>
  <si>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</si>
  <si>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</si>
  <si>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</si>
  <si>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</si>
  <si>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</si>
  <si>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</si>
  <si>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</si>
  <si>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</si>
  <si>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</si>
  <si>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</si>
  <si>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</si>
  <si>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</si>
  <si>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</si>
  <si>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</si>
  <si>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</si>
  <si>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</si>
  <si>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</si>
  <si>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</si>
  <si>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</si>
  <si>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</si>
  <si>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</si>
  <si>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</si>
  <si>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</si>
  <si>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</si>
  <si>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</si>
  <si>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</si>
  <si>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</si>
  <si>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</si>
  <si>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</si>
  <si>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</si>
  <si>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</si>
  <si>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</si>
  <si>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</si>
  <si>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</si>
  <si>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</si>
  <si>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</si>
  <si>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</si>
  <si>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</si>
  <si>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</si>
  <si>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</si>
  <si>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</si>
  <si>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</si>
  <si>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</si>
  <si>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</si>
  <si>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</si>
  <si>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</si>
  <si>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</si>
  <si>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</si>
  <si>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</si>
  <si>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</si>
  <si>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</si>
  <si>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</si>
  <si>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</si>
  <si>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</si>
  <si>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</si>
  <si>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</si>
  <si>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</si>
  <si>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</si>
  <si>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</si>
  <si>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</si>
  <si>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</si>
  <si>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</si>
  <si>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</si>
  <si>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</si>
  <si>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</si>
  <si>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</si>
  <si>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</si>
  <si>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</si>
  <si>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</si>
  <si>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</si>
  <si>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</si>
  <si>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</si>
  <si>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</si>
  <si>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</si>
  <si>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</si>
  <si>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</si>
  <si>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</si>
  <si>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</si>
  <si>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</si>
  <si>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</si>
  <si>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</si>
  <si>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</si>
  <si>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</si>
  <si>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</si>
  <si>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</si>
  <si>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</si>
  <si>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</si>
  <si>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</si>
  <si>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</si>
  <si>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</si>
  <si>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</si>
  <si>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</si>
  <si>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</si>
  <si>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</si>
  <si>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</si>
  <si>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</si>
  <si>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</si>
  <si>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</si>
  <si>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</si>
  <si>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</si>
  <si>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</si>
  <si>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</si>
  <si>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</si>
  <si>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</si>
  <si>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</si>
  <si>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</si>
  <si>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</si>
  <si>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</si>
  <si>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</si>
  <si>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</si>
  <si>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</si>
  <si>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</si>
  <si>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</si>
  <si>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</si>
  <si>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</si>
  <si>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</si>
  <si>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</si>
  <si>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</si>
  <si>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</si>
  <si>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</si>
  <si>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</si>
  <si>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</si>
  <si>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</si>
  <si>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</si>
  <si>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</si>
  <si>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</si>
  <si>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</si>
  <si>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</si>
  <si>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</si>
  <si>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</si>
  <si>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</si>
  <si>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</si>
  <si>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</si>
  <si>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</si>
  <si>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</si>
  <si>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</si>
  <si>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</si>
  <si>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</si>
  <si>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</si>
  <si>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</si>
  <si>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</si>
  <si>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</si>
  <si>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</si>
  <si>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</si>
  <si>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</si>
  <si>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</si>
  <si>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</si>
  <si>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</si>
  <si>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</si>
  <si>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</si>
  <si>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</si>
  <si>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</si>
  <si>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</si>
  <si>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</si>
  <si>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</si>
  <si>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</si>
  <si>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</si>
  <si>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</si>
  <si>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</si>
  <si>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</si>
  <si>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</si>
  <si>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</si>
  <si>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</si>
  <si>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</si>
  <si>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</si>
  <si>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</si>
  <si>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</si>
  <si>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</si>
  <si>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</si>
  <si>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</si>
  <si>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</si>
  <si>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</si>
  <si>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</si>
  <si>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</si>
  <si>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</si>
  <si>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</si>
  <si>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</si>
  <si>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</si>
  <si>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</si>
  <si>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</si>
  <si>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</si>
  <si>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</si>
  <si>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</si>
  <si>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</si>
  <si>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</si>
  <si>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</si>
  <si>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</si>
  <si>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</si>
  <si>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</si>
  <si>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</si>
  <si>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</si>
  <si>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</si>
  <si>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</si>
  <si>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</si>
  <si>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</si>
  <si>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</si>
  <si>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</si>
  <si>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</si>
  <si>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</si>
  <si>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</si>
  <si>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</si>
  <si>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</si>
  <si>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</si>
  <si>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</si>
  <si>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</si>
  <si>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</si>
  <si>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</si>
  <si>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</si>
  <si>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</si>
  <si>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</si>
  <si>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</si>
  <si>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</si>
  <si>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</si>
  <si>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</si>
  <si>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</si>
  <si>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</si>
  <si>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</si>
  <si>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</si>
  <si>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</si>
  <si>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</si>
  <si>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</si>
  <si>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</si>
  <si>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</si>
  <si>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</si>
  <si>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</si>
  <si>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</si>
  <si>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</si>
  <si>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</si>
  <si>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</si>
  <si>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</si>
  <si>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</si>
  <si>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</si>
  <si>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</si>
  <si>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</si>
  <si>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</si>
  <si>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</si>
  <si>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</si>
  <si>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</si>
  <si>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</si>
  <si>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</si>
  <si>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</si>
  <si>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</si>
  <si>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</si>
  <si>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</si>
  <si>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</si>
  <si>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</si>
  <si>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</si>
  <si>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</si>
  <si>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</si>
  <si>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</si>
  <si>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</si>
  <si>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</si>
  <si>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</si>
  <si>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</si>
  <si>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</si>
  <si>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</si>
  <si>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</si>
  <si>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</si>
  <si>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</si>
  <si>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</si>
  <si>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</si>
  <si>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</si>
  <si>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</si>
  <si>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</si>
  <si>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</si>
  <si>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</si>
  <si>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</si>
  <si>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</si>
  <si>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</si>
  <si>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</si>
  <si>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</si>
  <si>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</si>
  <si>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</si>
  <si>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</si>
  <si>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</si>
  <si>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</si>
  <si>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</si>
  <si>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</si>
  <si>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</si>
  <si>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</si>
  <si>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</si>
  <si>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</si>
  <si>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</si>
  <si>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</si>
  <si>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</si>
  <si>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</si>
  <si>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</si>
  <si>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</si>
  <si>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</si>
  <si>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</si>
  <si>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</si>
  <si>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</si>
  <si>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</si>
  <si>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</si>
  <si>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</si>
  <si>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</si>
  <si>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</si>
  <si>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</si>
  <si>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</si>
  <si>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</si>
  <si>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</si>
  <si>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</si>
  <si>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</si>
  <si>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</si>
  <si>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</si>
  <si>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</si>
  <si>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</si>
  <si>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</si>
  <si>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</si>
  <si>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</si>
  <si>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</si>
  <si>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</si>
  <si>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</si>
  <si>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</si>
  <si>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</si>
  <si>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</si>
  <si>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</si>
  <si>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</si>
  <si>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</si>
  <si>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</si>
  <si>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</si>
  <si>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</si>
  <si>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</si>
  <si>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</si>
  <si>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</si>
  <si>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</si>
  <si>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</si>
  <si>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</si>
  <si>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</si>
  <si>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</si>
  <si>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</si>
  <si>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</si>
  <si>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</si>
  <si>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</si>
  <si>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</si>
  <si>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</si>
  <si>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</si>
  <si>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</si>
  <si>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</si>
  <si>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</si>
  <si>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</si>
  <si>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</si>
  <si>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</si>
  <si>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</si>
  <si>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</si>
  <si>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</si>
  <si>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</si>
  <si>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</si>
  <si>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</si>
  <si>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</si>
  <si>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</si>
  <si>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</si>
  <si>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</si>
  <si>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</si>
  <si>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</si>
  <si>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</si>
  <si>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</si>
  <si>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</si>
  <si>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</si>
  <si>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</si>
  <si>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</si>
  <si>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</si>
  <si>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</si>
  <si>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</si>
  <si>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</si>
  <si>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</si>
  <si>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</si>
  <si>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</si>
  <si>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</si>
  <si>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</si>
  <si>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</si>
  <si>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</si>
  <si>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</si>
  <si>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</si>
  <si>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</si>
  <si>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</si>
  <si>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</si>
  <si>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</si>
  <si>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</si>
  <si>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</si>
  <si>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</si>
  <si>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</si>
  <si>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</si>
  <si>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</si>
  <si>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</si>
  <si>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</si>
  <si>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</si>
  <si>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</si>
  <si>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</si>
  <si>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</si>
  <si>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</si>
  <si>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</si>
  <si>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</si>
  <si>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</si>
  <si>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</si>
  <si>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</si>
  <si>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</si>
  <si>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</si>
  <si>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</si>
  <si>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</si>
  <si>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</si>
  <si>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</si>
  <si>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</si>
  <si>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</si>
  <si>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</si>
  <si>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</si>
  <si>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</si>
  <si>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</si>
  <si>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</si>
  <si>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</si>
  <si>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</si>
  <si>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</si>
  <si>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</si>
  <si>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</si>
  <si>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</si>
  <si>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</si>
  <si>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</si>
  <si>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</si>
  <si>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</si>
  <si>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</si>
  <si>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</si>
  <si>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</si>
  <si>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</si>
  <si>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</si>
  <si>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</si>
  <si>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</si>
  <si>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</si>
  <si>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</si>
  <si>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</si>
  <si>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</si>
  <si>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</si>
  <si>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</si>
  <si>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</si>
  <si>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</si>
  <si>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</si>
  <si>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</si>
  <si>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</si>
  <si>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</si>
  <si>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</si>
  <si>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</si>
  <si>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</si>
  <si>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</si>
  <si>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</si>
  <si>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</si>
  <si>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</si>
  <si>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</si>
  <si>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</si>
  <si>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</si>
  <si>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</si>
  <si>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</si>
  <si>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</si>
  <si>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</si>
  <si>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</si>
  <si>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</si>
  <si>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</si>
  <si>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</si>
  <si>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</si>
  <si>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</si>
  <si>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</si>
  <si>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</si>
  <si>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</si>
  <si>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</si>
  <si>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</si>
  <si>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</si>
  <si>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</si>
  <si>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</si>
  <si>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</si>
  <si>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</si>
  <si>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</si>
  <si>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</si>
  <si>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</si>
  <si>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</si>
  <si>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</si>
  <si>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</si>
  <si>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</si>
  <si>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</si>
  <si>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</si>
  <si>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</si>
  <si>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</si>
  <si>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</si>
  <si>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</si>
  <si>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</si>
  <si>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</si>
  <si>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</si>
  <si>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</si>
  <si>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</si>
  <si>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</si>
  <si>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</si>
  <si>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</si>
  <si>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</si>
  <si>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</si>
  <si>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</si>
  <si>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</si>
  <si>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</si>
  <si>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</si>
  <si>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</si>
  <si>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</si>
  <si>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</si>
  <si>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</si>
  <si>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</si>
  <si>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</si>
  <si>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</si>
  <si>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</si>
  <si>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</si>
  <si>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</si>
  <si>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</si>
  <si>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</si>
  <si>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</si>
  <si>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</si>
  <si>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</si>
  <si>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</si>
  <si>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</si>
  <si>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</si>
  <si>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</si>
  <si>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</si>
  <si>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</si>
  <si>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</si>
  <si>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</si>
  <si>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</si>
  <si>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</si>
  <si>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</si>
  <si>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</si>
  <si>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</si>
  <si>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</si>
  <si>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</si>
  <si>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</si>
  <si>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</si>
  <si>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</si>
  <si>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</si>
  <si>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</si>
  <si>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</si>
  <si>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</si>
  <si>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</si>
  <si>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</si>
  <si>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</si>
  <si>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</si>
  <si>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</si>
  <si>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</si>
  <si>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</si>
  <si>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</si>
  <si>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</si>
  <si>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</si>
  <si>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</si>
  <si>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</si>
  <si>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</si>
  <si>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</si>
  <si>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</si>
  <si>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</si>
  <si>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</si>
  <si>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</si>
  <si>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</si>
  <si>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</si>
  <si>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</si>
  <si>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</si>
  <si>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</si>
  <si>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</si>
  <si>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</si>
  <si>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</si>
  <si>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</si>
  <si>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</si>
  <si>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</si>
  <si>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</si>
  <si>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</si>
  <si>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</si>
  <si>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</si>
  <si>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</si>
  <si>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</si>
  <si>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</si>
  <si>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</si>
  <si>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</si>
  <si>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</si>
  <si>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</si>
  <si>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</si>
  <si>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</si>
  <si>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</si>
  <si>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</si>
  <si>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</si>
  <si>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</si>
  <si>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</si>
  <si>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</si>
  <si>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</si>
  <si>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</si>
  <si>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</si>
  <si>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</si>
  <si>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</si>
  <si>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</si>
  <si>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</si>
  <si>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</si>
  <si>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</si>
  <si>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</si>
  <si>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</si>
  <si>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</si>
  <si>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</si>
  <si>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</si>
  <si>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</si>
  <si>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</si>
  <si>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</si>
  <si>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</si>
  <si>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</si>
  <si>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</si>
  <si>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</si>
  <si>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</si>
  <si>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</si>
  <si>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</si>
  <si>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</si>
  <si>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</si>
  <si>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</si>
  <si>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</si>
  <si>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</si>
  <si>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</si>
  <si>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</si>
  <si>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</si>
  <si>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</si>
  <si>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</si>
  <si>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</si>
  <si>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</si>
  <si>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</si>
  <si>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</si>
  <si>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</si>
  <si>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</si>
  <si>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</si>
  <si>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</si>
  <si>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</si>
  <si>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</si>
  <si>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</si>
  <si>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</si>
  <si>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</si>
  <si>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</si>
  <si>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</si>
  <si>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</si>
  <si>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</si>
  <si>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</si>
  <si>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</si>
  <si>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</si>
  <si>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</si>
  <si>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</si>
  <si>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</si>
  <si>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</si>
  <si>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</si>
  <si>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</si>
  <si>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</si>
  <si>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</si>
  <si>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</si>
  <si>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</si>
  <si>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</si>
  <si>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</si>
  <si>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</si>
  <si>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</si>
  <si>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</si>
  <si>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</si>
  <si>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</si>
  <si>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</si>
  <si>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</si>
  <si>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</si>
  <si>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</si>
  <si>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</si>
  <si>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</si>
  <si>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</si>
  <si>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</si>
  <si>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</si>
  <si>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</si>
  <si>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</si>
  <si>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</si>
  <si>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</si>
  <si>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</si>
  <si>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</si>
  <si>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</si>
  <si>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</si>
  <si>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</si>
  <si>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</si>
  <si>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</si>
  <si>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</si>
  <si>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</si>
  <si>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</si>
  <si>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</si>
  <si>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</si>
  <si>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</si>
  <si>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</si>
  <si>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</si>
  <si>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</si>
  <si>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</si>
  <si>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</si>
  <si>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</si>
  <si>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</si>
  <si>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</si>
  <si>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</si>
  <si>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</si>
  <si>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</si>
  <si>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</si>
  <si>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</si>
  <si>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</si>
  <si>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</si>
  <si>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</si>
  <si>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</si>
  <si>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</si>
  <si>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</si>
  <si>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</si>
  <si>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</si>
  <si>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</si>
  <si>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</si>
  <si>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</si>
  <si>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</si>
  <si>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</si>
  <si>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</si>
  <si>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</si>
  <si>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</si>
  <si>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</si>
  <si>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</si>
  <si>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</si>
  <si>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</si>
  <si>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</si>
  <si>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</si>
  <si>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</si>
  <si>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</si>
  <si>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</si>
  <si>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</si>
  <si>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</si>
  <si>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</si>
  <si>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</si>
  <si>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</si>
  <si>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</si>
  <si>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</si>
  <si>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</si>
  <si>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</si>
  <si>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</si>
  <si>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</si>
  <si>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</si>
  <si>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</si>
  <si>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</si>
  <si>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</si>
  <si>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</si>
  <si>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</si>
  <si>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</si>
  <si>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</si>
  <si>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</si>
  <si>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</si>
  <si>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</si>
  <si>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</si>
  <si>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</si>
  <si>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</si>
  <si>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</si>
  <si>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</si>
  <si>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</si>
  <si>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</si>
  <si>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</si>
  <si>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</si>
  <si>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</si>
  <si>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</si>
  <si>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</si>
  <si>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</si>
  <si>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</si>
  <si>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</si>
  <si>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</si>
  <si>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</si>
  <si>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</si>
  <si>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</si>
  <si>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</si>
  <si>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</si>
  <si>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</si>
  <si>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</si>
  <si>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</si>
  <si>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</si>
  <si>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</si>
  <si>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</si>
  <si>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</si>
  <si>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</si>
  <si>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</si>
  <si>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</si>
  <si>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</si>
  <si>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</si>
  <si>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</si>
  <si>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</si>
  <si>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</si>
  <si>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</si>
  <si>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</si>
  <si>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</si>
  <si>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</si>
  <si>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</si>
  <si>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</si>
  <si>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</si>
  <si>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</si>
  <si>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</si>
  <si>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</si>
  <si>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</si>
  <si>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</si>
  <si>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</si>
  <si>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</si>
  <si>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</si>
  <si>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</si>
  <si>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</si>
  <si>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</si>
  <si>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</si>
  <si>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</si>
  <si>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</si>
  <si>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</si>
  <si>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</si>
  <si>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</si>
  <si>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</si>
  <si>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</si>
  <si>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</si>
  <si>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</si>
  <si>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</si>
  <si>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</si>
  <si>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</si>
  <si>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</si>
  <si>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</si>
  <si>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</si>
  <si>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</si>
  <si>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</si>
  <si>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</si>
  <si>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</si>
  <si>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</si>
  <si>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</si>
  <si>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</si>
  <si>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</si>
  <si>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</si>
  <si>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</si>
  <si>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</si>
  <si>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</si>
  <si>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</si>
  <si>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</si>
  <si>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</si>
  <si>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</si>
  <si>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</si>
  <si>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</si>
  <si>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</si>
  <si>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</si>
  <si>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</si>
  <si>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</si>
  <si>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</si>
  <si>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</si>
  <si>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</si>
  <si>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</si>
  <si>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</si>
  <si>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</si>
  <si>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</si>
  <si>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</si>
  <si>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</si>
  <si>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</si>
  <si>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</si>
  <si>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</si>
  <si>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</si>
  <si>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</si>
  <si>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</si>
  <si>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</si>
  <si>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</si>
  <si>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</si>
  <si>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</si>
  <si>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</si>
  <si>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</si>
  <si>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</si>
  <si>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</si>
  <si>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</si>
  <si>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</si>
  <si>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</si>
  <si>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</si>
  <si>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</si>
  <si>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</si>
  <si>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</si>
  <si>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</si>
  <si>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</si>
  <si>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</si>
  <si>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</si>
  <si>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</si>
  <si>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</si>
  <si>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</si>
  <si>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</si>
  <si>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</si>
  <si>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</si>
  <si>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</si>
  <si>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</si>
  <si>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</si>
  <si>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</si>
  <si>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</si>
  <si>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</si>
  <si>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</si>
  <si>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</si>
  <si>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</si>
  <si>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</si>
  <si>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</si>
  <si>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</si>
  <si>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</si>
  <si>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</si>
  <si>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</si>
  <si>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</si>
  <si>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</si>
  <si>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</si>
  <si>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</si>
  <si>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</si>
  <si>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</si>
  <si>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</si>
  <si>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</si>
  <si>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</si>
  <si>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</si>
  <si>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</si>
  <si>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</si>
  <si>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</si>
  <si>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</si>
  <si>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</si>
  <si>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</si>
  <si>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</si>
  <si>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</si>
  <si>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</si>
  <si>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</si>
  <si>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</si>
  <si>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</si>
  <si>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</si>
  <si>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</si>
  <si>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</si>
  <si>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</si>
  <si>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</si>
  <si>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</si>
  <si>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</si>
  <si>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</si>
  <si>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</si>
  <si>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</si>
  <si>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</si>
  <si>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</si>
  <si>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</si>
  <si>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</si>
  <si>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</si>
  <si>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</si>
  <si>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</si>
  <si>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</si>
  <si>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</si>
  <si>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</si>
  <si>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</si>
  <si>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</si>
  <si>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</si>
  <si>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</si>
  <si>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</si>
  <si>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</si>
  <si>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</si>
  <si>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</si>
  <si>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</si>
  <si>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</si>
  <si>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</si>
  <si>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</si>
  <si>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</si>
  <si>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</si>
  <si>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</si>
  <si>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</si>
  <si>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</si>
  <si>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</si>
  <si>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</si>
  <si>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</si>
  <si>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</si>
  <si>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</si>
  <si>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</si>
  <si>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</si>
  <si>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</si>
  <si>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</si>
  <si>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</si>
  <si>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</si>
  <si>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</si>
  <si>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</si>
  <si>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</si>
  <si>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</si>
  <si>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</si>
  <si>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</si>
  <si>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</si>
  <si>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</si>
  <si>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</si>
  <si>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</si>
  <si>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</si>
  <si>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</si>
  <si>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</si>
  <si>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</si>
  <si>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</si>
  <si>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</si>
  <si>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</si>
  <si>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</si>
  <si>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</si>
  <si>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</si>
  <si>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</si>
  <si>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</si>
  <si>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</si>
  <si>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</si>
  <si>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</si>
  <si>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</si>
  <si>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</si>
  <si>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</si>
  <si>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</si>
  <si>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</si>
  <si>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</si>
  <si>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</si>
  <si>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</si>
  <si>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</si>
  <si>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</si>
  <si>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</si>
  <si>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</si>
  <si>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</si>
  <si>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</si>
  <si>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</si>
  <si>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</si>
  <si>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</si>
  <si>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</si>
  <si>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</si>
  <si>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</si>
  <si>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</si>
  <si>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</si>
  <si>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</si>
  <si>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</si>
  <si>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</si>
  <si>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</si>
  <si>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</si>
  <si>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</si>
  <si>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</si>
  <si>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</si>
  <si>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</si>
  <si>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</si>
  <si>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</si>
  <si>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</si>
  <si>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</si>
  <si>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</si>
  <si>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</si>
  <si>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</si>
  <si>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</si>
  <si>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</si>
  <si>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</si>
  <si>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</si>
  <si>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</si>
  <si>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</si>
  <si>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</si>
  <si>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</si>
  <si>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</si>
  <si>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</si>
  <si>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</si>
  <si>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</si>
  <si>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</si>
  <si>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</si>
  <si>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</si>
  <si>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</si>
  <si>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</si>
  <si>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</si>
  <si>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</si>
  <si>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</si>
  <si>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</si>
  <si>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</si>
  <si>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</si>
  <si>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</si>
  <si>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</si>
  <si>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</si>
  <si>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</si>
  <si>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</si>
  <si>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</si>
  <si>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</si>
  <si>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</si>
  <si>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</si>
  <si>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</si>
  <si>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</si>
  <si>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</si>
  <si>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</si>
  <si>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</si>
  <si>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</si>
  <si>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</si>
  <si>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</si>
  <si>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</si>
  <si>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</si>
  <si>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</si>
  <si>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</si>
  <si>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</si>
  <si>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</si>
  <si>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</si>
  <si>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</si>
  <si>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</si>
  <si>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</si>
  <si>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</si>
  <si>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</si>
  <si>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</si>
  <si>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</si>
  <si>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</si>
  <si>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</si>
  <si>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</si>
  <si>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</si>
  <si>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</si>
  <si>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</si>
  <si>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</si>
  <si>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</si>
  <si>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</si>
  <si>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</si>
  <si>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</si>
  <si>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</si>
  <si>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</si>
  <si>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</si>
  <si>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</si>
  <si>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</si>
  <si>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</si>
  <si>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</si>
  <si>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</si>
  <si>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</si>
  <si>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</si>
  <si>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</si>
  <si>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</si>
  <si>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</si>
  <si>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</si>
  <si>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</si>
  <si>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</si>
  <si>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</si>
  <si>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</si>
  <si>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</si>
  <si>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</si>
  <si>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</si>
  <si>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</si>
  <si>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</si>
  <si>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</si>
  <si>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</si>
  <si>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</si>
  <si>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</si>
  <si>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</si>
  <si>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</si>
  <si>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</si>
  <si>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</si>
  <si>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</si>
  <si>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</si>
  <si>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</si>
  <si>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</si>
  <si>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</si>
  <si>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</si>
  <si>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</si>
  <si>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</si>
  <si>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</si>
  <si>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</si>
  <si>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</si>
  <si>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</si>
  <si>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</si>
  <si>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</si>
  <si>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</si>
  <si>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</si>
  <si>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</si>
  <si>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</si>
  <si>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</si>
  <si>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</si>
  <si>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</si>
  <si>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</si>
  <si>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</si>
  <si>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</si>
  <si>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</si>
  <si>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</si>
  <si>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</si>
  <si>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</si>
  <si>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</si>
  <si>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</si>
  <si>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</si>
  <si>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</si>
  <si>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</si>
  <si>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</si>
  <si>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</si>
  <si>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</si>
  <si>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</si>
  <si>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</si>
  <si>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</si>
  <si>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</si>
  <si>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</si>
  <si>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</si>
  <si>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</si>
  <si>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</si>
  <si>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</si>
  <si>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</si>
  <si>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</si>
  <si>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</si>
  <si>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</si>
  <si>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</si>
  <si>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</si>
  <si>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</si>
  <si>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</si>
  <si>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</si>
  <si>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</si>
  <si>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</si>
  <si>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</si>
  <si>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</si>
  <si>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</si>
  <si>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</si>
  <si>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</si>
  <si>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</si>
  <si>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</si>
  <si>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</si>
  <si>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</si>
  <si>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</si>
  <si>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</si>
  <si>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</si>
  <si>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</si>
  <si>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</si>
  <si>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</si>
  <si>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</si>
  <si>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</si>
  <si>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</si>
  <si>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</si>
  <si>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</si>
  <si>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</si>
  <si>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</si>
  <si>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</si>
  <si>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</si>
  <si>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</si>
  <si>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</si>
  <si>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</si>
  <si>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</si>
  <si>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</si>
  <si>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</si>
  <si>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</si>
  <si>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</si>
  <si>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</si>
  <si>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</si>
  <si>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</si>
  <si>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</si>
  <si>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</si>
  <si>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</si>
  <si>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</si>
  <si>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</si>
  <si>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</si>
  <si>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</si>
  <si>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</si>
  <si>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</si>
  <si>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</si>
  <si>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</si>
  <si>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</si>
  <si>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</si>
  <si>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</si>
  <si>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</si>
  <si>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</si>
  <si>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</si>
  <si>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</si>
  <si>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</si>
  <si>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</si>
  <si>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</si>
  <si>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</si>
  <si>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</si>
  <si>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</si>
  <si>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</si>
  <si>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</si>
  <si>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</si>
  <si>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</si>
  <si>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</si>
  <si>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</si>
  <si>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</si>
  <si>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</si>
  <si>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</si>
  <si>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</si>
  <si>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</si>
  <si>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</si>
  <si>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</si>
  <si>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</si>
  <si>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</si>
  <si>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</si>
  <si>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</si>
  <si>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</si>
  <si>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</si>
  <si>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</si>
  <si>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</si>
  <si>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</si>
  <si>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</si>
  <si>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</si>
  <si>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</si>
  <si>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</si>
  <si>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</si>
  <si>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</si>
  <si>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</si>
  <si>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</si>
  <si>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</si>
  <si>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</si>
  <si>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</si>
  <si>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</si>
  <si>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</si>
  <si>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</si>
  <si>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</si>
  <si>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</si>
  <si>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</si>
  <si>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</si>
  <si>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</si>
  <si>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</si>
  <si>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</si>
  <si>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</si>
  <si>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</si>
  <si>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</si>
  <si>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</si>
  <si>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</si>
  <si>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</si>
  <si>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</si>
  <si>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</si>
  <si>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</si>
  <si>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</si>
  <si>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</si>
  <si>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</si>
  <si>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</si>
  <si>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</si>
  <si>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</si>
  <si>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</si>
  <si>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</si>
  <si>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</si>
  <si>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</si>
  <si>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</si>
  <si>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</si>
  <si>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</si>
  <si>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</si>
  <si>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</si>
  <si>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</si>
  <si>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</si>
  <si>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</si>
  <si>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</si>
  <si>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</si>
  <si>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</si>
  <si>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</si>
  <si>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</si>
  <si>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</si>
  <si>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</si>
  <si>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</si>
  <si>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</si>
  <si>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</si>
  <si>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</si>
  <si>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</si>
  <si>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</si>
  <si>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</si>
  <si>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</si>
  <si>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</si>
  <si>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</si>
  <si>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</si>
  <si>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</si>
  <si>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</si>
  <si>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</si>
  <si>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</si>
  <si>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</si>
  <si>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</si>
  <si>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</si>
  <si>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</si>
  <si>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</si>
  <si>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</si>
  <si>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</si>
  <si>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</si>
  <si>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</si>
  <si>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</si>
  <si>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</si>
  <si>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</si>
  <si>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</si>
  <si>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</si>
  <si>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</si>
  <si>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</si>
  <si>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</si>
  <si>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</si>
  <si>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</si>
  <si>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</si>
  <si>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</si>
  <si>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</si>
  <si>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</si>
  <si>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</si>
  <si>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</si>
  <si>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</si>
  <si>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</si>
  <si>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</si>
  <si>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</si>
  <si>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</si>
  <si>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</si>
  <si>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</si>
  <si>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</si>
  <si>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</si>
  <si>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</si>
  <si>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</si>
  <si>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</si>
  <si>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</si>
  <si>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</si>
  <si>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</si>
  <si>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</si>
  <si>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</si>
  <si>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</si>
  <si>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</si>
  <si>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</si>
  <si>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</si>
  <si>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</si>
  <si>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</si>
  <si>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</si>
  <si>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</si>
  <si>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</si>
  <si>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</si>
  <si>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</si>
  <si>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</si>
  <si>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</si>
  <si>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</si>
  <si>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</si>
  <si>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</si>
  <si>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</si>
  <si>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</si>
  <si>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</si>
  <si>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</si>
  <si>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</si>
  <si>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</si>
  <si>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</si>
  <si>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</si>
  <si>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</si>
  <si>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</si>
  <si>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</si>
  <si>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</si>
  <si>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</si>
  <si>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</si>
  <si>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</si>
  <si>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</si>
  <si>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</si>
  <si>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</si>
  <si>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</si>
  <si>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</si>
  <si>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</si>
  <si>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</si>
  <si>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</si>
  <si>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</si>
  <si>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</si>
  <si>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</si>
  <si>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</si>
  <si>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</si>
  <si>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</si>
  <si>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</si>
  <si>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</si>
  <si>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</si>
  <si>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</si>
  <si>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</si>
  <si>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</si>
  <si>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</si>
  <si>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</si>
  <si>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</si>
  <si>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</si>
  <si>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</si>
  <si>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</si>
  <si>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</si>
  <si>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</si>
  <si>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</si>
  <si>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</si>
  <si>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</si>
  <si>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</si>
  <si>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</si>
  <si>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</si>
  <si>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</si>
  <si>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</si>
  <si>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</si>
  <si>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</si>
  <si>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</si>
  <si>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</si>
  <si>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</si>
  <si>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</si>
  <si>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</si>
  <si>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</si>
  <si>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</si>
  <si>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</si>
  <si>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</si>
  <si>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</si>
  <si>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</si>
  <si>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</si>
  <si>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</si>
  <si>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</si>
  <si>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</si>
  <si>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</si>
  <si>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</si>
  <si>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</si>
  <si>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</si>
  <si>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</si>
  <si>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</si>
  <si>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</si>
  <si>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</si>
  <si>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</si>
  <si>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</si>
  <si>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</si>
  <si>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</si>
  <si>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</si>
  <si>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</si>
  <si>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</si>
  <si>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</si>
  <si>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</si>
  <si>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</si>
  <si>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</si>
  <si>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</si>
  <si>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</si>
  <si>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</si>
  <si>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</si>
  <si>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</si>
  <si>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</si>
  <si>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</si>
  <si>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</si>
  <si>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</si>
  <si>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</si>
  <si>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</si>
  <si>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</si>
  <si>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</si>
  <si>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</si>
  <si>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</si>
  <si>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</si>
  <si>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</si>
  <si>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</si>
  <si>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</si>
  <si>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</si>
  <si>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</si>
  <si>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</si>
  <si>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</si>
  <si>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</si>
  <si>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</si>
  <si>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</si>
  <si>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</si>
  <si>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</si>
  <si>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</si>
  <si>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</si>
  <si>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</si>
  <si>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</si>
  <si>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</si>
  <si>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</si>
  <si>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</si>
  <si>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</si>
  <si>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</si>
  <si>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</si>
  <si>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</si>
  <si>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</si>
  <si>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</si>
  <si>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</si>
  <si>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</si>
  <si>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</si>
  <si>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</si>
  <si>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</si>
  <si>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</si>
  <si>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</si>
  <si>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</si>
  <si>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</si>
  <si>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</si>
  <si>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</si>
  <si>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</si>
  <si>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</si>
  <si>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</si>
  <si>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</si>
  <si>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</si>
  <si>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</si>
  <si>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</si>
  <si>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</si>
  <si>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</si>
  <si>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</si>
  <si>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</si>
  <si>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</si>
  <si>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</si>
  <si>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</si>
  <si>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</si>
  <si>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</si>
  <si>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</si>
  <si>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</si>
  <si>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</si>
  <si>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</si>
  <si>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</si>
  <si>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</si>
  <si>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</si>
  <si>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</si>
  <si>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</si>
  <si>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</si>
  <si>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</si>
  <si>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</si>
  <si>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</si>
  <si>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</si>
  <si>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</si>
  <si>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</si>
  <si>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</si>
  <si>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</si>
  <si>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</si>
  <si>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</si>
  <si>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</si>
  <si>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</si>
  <si>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</si>
  <si>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</si>
  <si>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</si>
  <si>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</si>
  <si>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</si>
  <si>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</si>
  <si>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</si>
  <si>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</si>
  <si>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</si>
  <si>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</si>
  <si>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</si>
  <si>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</si>
  <si>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</si>
  <si>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</si>
  <si>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</si>
  <si>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</si>
  <si>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</si>
  <si>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</si>
  <si>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</si>
  <si>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</si>
  <si>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</si>
  <si>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</si>
  <si>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</si>
  <si>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</si>
  <si>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</si>
  <si>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</si>
  <si>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</si>
  <si>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</si>
  <si>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</si>
  <si>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</si>
  <si>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</si>
  <si>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</si>
  <si>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</si>
  <si>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</si>
  <si>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</si>
  <si>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</si>
  <si>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</si>
  <si>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</si>
  <si>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</si>
  <si>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</si>
  <si>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</si>
  <si>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</si>
  <si>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</si>
  <si>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</si>
  <si>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</si>
  <si>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</si>
  <si>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</si>
  <si>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</si>
  <si>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</si>
  <si>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</si>
  <si>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</si>
  <si>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</si>
  <si>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</si>
  <si>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</si>
  <si>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</si>
  <si>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</si>
  <si>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</si>
  <si>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</si>
  <si>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</si>
  <si>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</si>
  <si>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</si>
  <si>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</si>
  <si>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</si>
  <si>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</si>
  <si>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</si>
  <si>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</si>
  <si>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</si>
  <si>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</si>
  <si>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</si>
  <si>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</si>
  <si>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</si>
  <si>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</si>
  <si>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</si>
  <si>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</si>
  <si>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</si>
  <si>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</si>
  <si>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</si>
  <si>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</si>
  <si>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</si>
  <si>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</si>
  <si>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</si>
  <si>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</si>
  <si>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</si>
  <si>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</si>
  <si>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</si>
  <si>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</si>
  <si>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</si>
  <si>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</si>
  <si>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</si>
  <si>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</si>
  <si>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</si>
  <si>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</si>
  <si>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</si>
  <si>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</si>
  <si>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</si>
  <si>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</si>
  <si>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</si>
  <si>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</si>
  <si>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</si>
  <si>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</si>
  <si>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</si>
  <si>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</si>
  <si>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</si>
  <si>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</si>
  <si>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</si>
  <si>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</si>
  <si>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</si>
  <si>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</si>
  <si>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</si>
  <si>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</si>
  <si>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</si>
  <si>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</si>
  <si>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</si>
  <si>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</si>
  <si>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</si>
  <si>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</si>
  <si>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</si>
  <si>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</si>
  <si>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</si>
  <si>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</si>
  <si>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</si>
  <si>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</si>
  <si>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</si>
  <si>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</si>
  <si>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</si>
  <si>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</si>
  <si>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</si>
  <si>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</si>
  <si>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</si>
  <si>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</si>
  <si>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</si>
  <si>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</si>
  <si>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</si>
  <si>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</si>
  <si>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</si>
  <si>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</si>
  <si>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</si>
  <si>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</si>
  <si>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</si>
  <si>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</si>
  <si>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</si>
  <si>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</si>
  <si>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</si>
  <si>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</si>
  <si>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</si>
  <si>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</si>
  <si>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</si>
  <si>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</si>
  <si>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</si>
  <si>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</si>
  <si>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</si>
  <si>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</si>
  <si>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</si>
  <si>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</si>
  <si>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</si>
  <si>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</si>
  <si>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</si>
  <si>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</si>
  <si>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</si>
  <si>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</si>
  <si>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</si>
  <si>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</si>
  <si>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</si>
  <si>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</si>
  <si>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</si>
  <si>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</si>
  <si>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</si>
  <si>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</si>
  <si>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</si>
  <si>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</si>
  <si>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</si>
  <si>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</si>
  <si>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</si>
  <si>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</si>
  <si>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</si>
  <si>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</si>
  <si>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</si>
  <si>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</si>
  <si>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</si>
  <si>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</si>
  <si>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</si>
  <si>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</si>
  <si>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</si>
  <si>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</si>
  <si>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</si>
  <si>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</si>
  <si>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</si>
  <si>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</si>
  <si>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</si>
  <si>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</si>
  <si>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</si>
  <si>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</si>
  <si>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</si>
  <si>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</si>
  <si>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</si>
  <si>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</si>
  <si>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</si>
  <si>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</si>
  <si>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</si>
  <si>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</si>
  <si>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</si>
  <si>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</si>
  <si>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</si>
  <si>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</si>
  <si>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</si>
  <si>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</si>
  <si>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</si>
  <si>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</si>
  <si>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</si>
  <si>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</si>
  <si>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</si>
  <si>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</si>
  <si>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</si>
  <si>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</si>
  <si>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</si>
  <si>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</si>
  <si>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</si>
  <si>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</si>
  <si>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</si>
  <si>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</si>
  <si>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</si>
  <si>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</si>
  <si>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</si>
  <si>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</si>
  <si>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</si>
  <si>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</si>
  <si>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</si>
  <si>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</si>
  <si>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</si>
  <si>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</si>
  <si>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</si>
  <si>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</si>
  <si>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</si>
  <si>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</si>
  <si>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</si>
  <si>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</si>
  <si>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</si>
  <si>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</si>
  <si>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</si>
  <si>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</si>
  <si>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</si>
  <si>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</si>
  <si>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</si>
  <si>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</si>
  <si>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</si>
  <si>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</si>
  <si>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</si>
  <si>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</si>
  <si>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</si>
  <si>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</si>
  <si>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</si>
  <si>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</si>
  <si>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</si>
  <si>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</si>
  <si>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</si>
  <si>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</si>
  <si>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</si>
  <si>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</si>
  <si>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</si>
  <si>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</si>
  <si>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</si>
  <si>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</si>
  <si>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</si>
  <si>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</si>
  <si>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</si>
  <si>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</si>
  <si>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</si>
  <si>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</si>
  <si>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</si>
  <si>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</si>
  <si>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</si>
  <si>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</si>
  <si>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</si>
  <si>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</si>
  <si>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</si>
  <si>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</si>
  <si>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</si>
  <si>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</si>
  <si>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</si>
  <si>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</si>
  <si>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</si>
  <si>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</si>
  <si>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</si>
  <si>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</si>
  <si>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</si>
  <si>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</si>
  <si>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</si>
  <si>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</si>
  <si>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</si>
  <si>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</si>
  <si>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</si>
  <si>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</si>
  <si>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</si>
  <si>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</si>
  <si>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</si>
  <si>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</si>
  <si>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</si>
  <si>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</si>
  <si>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</si>
  <si>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</si>
  <si>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</si>
  <si>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</si>
  <si>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</si>
  <si>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</si>
  <si>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</si>
  <si>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</si>
  <si>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</si>
  <si>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</si>
  <si>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</si>
  <si>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</si>
  <si>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</si>
  <si>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</si>
  <si>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</si>
  <si>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</si>
  <si>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</si>
  <si>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</si>
  <si>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</si>
  <si>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</si>
  <si>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</si>
  <si>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</si>
  <si>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</si>
  <si>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</si>
  <si>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</si>
  <si>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</si>
  <si>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</si>
  <si>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</si>
  <si>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</si>
  <si>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</si>
  <si>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</si>
  <si>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</si>
  <si>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</si>
  <si>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</si>
  <si>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</si>
  <si>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</si>
  <si>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</si>
  <si>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</si>
  <si>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</si>
  <si>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</si>
  <si>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</si>
  <si>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</si>
  <si>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</si>
  <si>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</si>
  <si>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</si>
  <si>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</si>
  <si>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</si>
  <si>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</si>
  <si>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</si>
  <si>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</si>
  <si>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</si>
  <si>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</si>
  <si>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</si>
  <si>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</si>
  <si>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</si>
  <si>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</si>
  <si>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</si>
  <si>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</si>
  <si>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</si>
  <si>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</si>
  <si>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</si>
  <si>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</si>
  <si>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</si>
  <si>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</si>
  <si>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</si>
  <si>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</si>
  <si>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</si>
  <si>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</si>
  <si>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</si>
  <si>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</si>
  <si>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</si>
  <si>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</si>
  <si>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</si>
  <si>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</si>
  <si>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</si>
  <si>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</si>
  <si>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</si>
  <si>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</si>
  <si>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</si>
  <si>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</si>
  <si>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</si>
  <si>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</si>
  <si>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</si>
  <si>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</si>
  <si>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</si>
  <si>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</si>
  <si>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</si>
  <si>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</si>
  <si>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</si>
  <si>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</si>
  <si>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</si>
  <si>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</si>
  <si>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</si>
  <si>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</si>
  <si>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</si>
  <si>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</si>
  <si>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</si>
  <si>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</si>
  <si>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</si>
  <si>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</si>
  <si>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</si>
  <si>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</si>
  <si>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</si>
  <si>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</si>
  <si>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</si>
  <si>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</si>
  <si>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</si>
  <si>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</si>
  <si>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</si>
  <si>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</si>
  <si>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</si>
  <si>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</si>
  <si>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</si>
  <si>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</si>
  <si>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</si>
  <si>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</si>
  <si>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</si>
  <si>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</si>
  <si>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</si>
  <si>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</si>
  <si>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</si>
  <si>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</si>
  <si>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</si>
  <si>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</si>
  <si>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</si>
  <si>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</si>
  <si>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</si>
  <si>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</si>
  <si>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</si>
  <si>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</si>
  <si>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</si>
  <si>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</si>
  <si>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</si>
  <si>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</si>
  <si>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</si>
  <si>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</si>
  <si>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</si>
  <si>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</si>
  <si>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</si>
  <si>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</si>
  <si>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</si>
  <si>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</si>
  <si>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</si>
  <si>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</si>
  <si>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</si>
  <si>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</si>
  <si>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</si>
  <si>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</si>
  <si>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</si>
  <si>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</si>
  <si>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</si>
  <si>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</si>
  <si>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</si>
  <si>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</si>
  <si>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</si>
  <si>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</si>
  <si>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</si>
  <si>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</si>
  <si>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</si>
  <si>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</si>
  <si>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</si>
  <si>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</si>
  <si>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</si>
  <si>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</si>
  <si>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</si>
  <si>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</si>
  <si>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</si>
  <si>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</si>
  <si>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</si>
  <si>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</si>
  <si>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</si>
  <si>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</si>
  <si>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</si>
  <si>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</si>
  <si>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</si>
  <si>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</si>
  <si>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</si>
  <si>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</si>
  <si>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</si>
  <si>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</si>
  <si>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</si>
  <si>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</si>
  <si>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</si>
  <si>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</si>
  <si>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</si>
  <si>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</si>
  <si>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</si>
  <si>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</si>
  <si>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</si>
  <si>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</si>
  <si>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</si>
  <si>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</si>
  <si>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</si>
  <si>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</si>
  <si>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</si>
  <si>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</si>
  <si>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</si>
  <si>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</si>
  <si>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</si>
  <si>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</si>
  <si>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</si>
  <si>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</si>
  <si>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</si>
  <si>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</si>
  <si>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</si>
  <si>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</si>
  <si>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</si>
  <si>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</si>
  <si>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</si>
  <si>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</si>
  <si>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</si>
  <si>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</si>
  <si>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</si>
  <si>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</si>
  <si>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</si>
  <si>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</si>
  <si>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</si>
  <si>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</si>
  <si>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</si>
  <si>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</si>
  <si>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</si>
  <si>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</si>
  <si>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</si>
  <si>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</si>
  <si>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</si>
  <si>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</si>
  <si>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</si>
  <si>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</si>
  <si>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</si>
  <si>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</si>
  <si>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</si>
  <si>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</si>
  <si>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</si>
  <si>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</si>
  <si>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</si>
  <si>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</si>
  <si>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</si>
  <si>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</si>
  <si>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</si>
  <si>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</si>
  <si>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</si>
  <si>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</si>
  <si>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</si>
  <si>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</si>
  <si>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</si>
  <si>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</si>
  <si>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</si>
  <si>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</si>
  <si>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</si>
  <si>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</si>
  <si>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</si>
  <si>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</si>
  <si>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</si>
  <si>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</si>
  <si>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</si>
  <si>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</si>
  <si>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</si>
  <si>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</si>
  <si>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</si>
  <si>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</si>
  <si>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</si>
  <si>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</si>
  <si>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</si>
  <si>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</si>
  <si>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</si>
  <si>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</si>
  <si>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</si>
  <si>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</si>
  <si>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</si>
  <si>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</si>
  <si>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</si>
  <si>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</si>
  <si>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</si>
  <si>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</si>
  <si>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</si>
  <si>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</si>
  <si>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</si>
  <si>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</si>
  <si>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</si>
  <si>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</si>
  <si>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</si>
  <si>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</si>
  <si>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</si>
  <si>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</si>
  <si>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</si>
  <si>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</si>
  <si>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</si>
  <si>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</si>
  <si>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</si>
  <si>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</si>
  <si>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</si>
  <si>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</si>
  <si>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</si>
  <si>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</si>
  <si>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</si>
  <si>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</si>
  <si>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</si>
  <si>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</si>
  <si>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</si>
  <si>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</si>
  <si>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</si>
  <si>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</si>
  <si>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</si>
  <si>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</si>
  <si>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</si>
  <si>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</si>
  <si>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</si>
  <si>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</si>
  <si>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</si>
  <si>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</si>
  <si>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</si>
  <si>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</si>
  <si>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</si>
  <si>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</si>
  <si>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</si>
  <si>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</si>
  <si>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</si>
  <si>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</si>
  <si>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</si>
  <si>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</si>
  <si>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</si>
  <si>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</si>
  <si>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</si>
  <si>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</si>
  <si>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</si>
  <si>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</si>
  <si>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</si>
  <si>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</si>
  <si>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</si>
  <si>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</si>
  <si>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</si>
  <si>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</si>
  <si>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</si>
  <si>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</si>
  <si>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</si>
  <si>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</si>
  <si>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</si>
  <si>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</si>
  <si>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</si>
  <si>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</si>
  <si>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</si>
  <si>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</si>
  <si>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</si>
  <si>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</si>
  <si>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</si>
  <si>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</si>
  <si>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</si>
  <si>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</si>
  <si>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</si>
  <si>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</si>
  <si>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</si>
  <si>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</si>
  <si>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</si>
  <si>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</si>
  <si>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</si>
  <si>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</si>
  <si>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</si>
  <si>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</si>
  <si>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</si>
  <si>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</si>
  <si>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</si>
  <si>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</si>
  <si>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</si>
  <si>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</si>
  <si>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</si>
  <si>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</si>
  <si>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</si>
  <si>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</si>
  <si>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</si>
  <si>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</si>
  <si>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</si>
  <si>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</si>
  <si>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</si>
  <si>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</si>
  <si>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</si>
  <si>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</si>
  <si>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</si>
  <si>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</si>
  <si>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</si>
  <si>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</si>
  <si>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</si>
  <si>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</si>
  <si>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</si>
  <si>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</si>
  <si>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</si>
  <si>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</si>
  <si>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</si>
  <si>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</si>
  <si>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</si>
  <si>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</si>
  <si>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</si>
  <si>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</si>
  <si>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</si>
  <si>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</si>
  <si>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</si>
  <si>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</si>
  <si>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</si>
  <si>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</si>
  <si>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</si>
  <si>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</si>
  <si>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</si>
  <si>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</si>
  <si>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</si>
  <si>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</si>
  <si>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</si>
  <si>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</si>
  <si>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</si>
  <si>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</si>
  <si>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</si>
  <si>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</si>
  <si>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</si>
  <si>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</si>
  <si>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</si>
  <si>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</si>
  <si>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</si>
  <si>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</si>
  <si>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</si>
  <si>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</si>
  <si>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</si>
  <si>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</si>
  <si>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</si>
  <si>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</si>
  <si>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</si>
  <si>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</si>
  <si>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</si>
  <si>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</si>
  <si>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</si>
  <si>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</si>
  <si>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</si>
  <si>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</si>
  <si>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</si>
  <si>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</si>
  <si>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</si>
  <si>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</si>
  <si>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</si>
  <si>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</si>
  <si>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</si>
  <si>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</si>
  <si>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</si>
  <si>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</si>
  <si>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</si>
  <si>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</si>
  <si>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</si>
  <si>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</si>
  <si>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</si>
  <si>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</si>
  <si>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</si>
  <si>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</si>
  <si>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</si>
  <si>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</si>
  <si>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</si>
  <si>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</si>
  <si>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</si>
  <si>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</si>
  <si>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</si>
  <si>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</si>
  <si>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</si>
  <si>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</si>
  <si>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</si>
  <si>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</si>
  <si>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</si>
  <si>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</si>
  <si>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</si>
  <si>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</si>
  <si>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</si>
  <si>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</si>
  <si>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</si>
  <si>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</si>
  <si>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</si>
  <si>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</si>
  <si>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</si>
  <si>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</si>
  <si>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</si>
  <si>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</si>
  <si>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</si>
  <si>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</si>
  <si>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</si>
  <si>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</si>
  <si>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</si>
  <si>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</si>
  <si>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</si>
  <si>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</si>
  <si>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</si>
  <si>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</si>
  <si>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</si>
  <si>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</si>
  <si>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</si>
  <si>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</si>
  <si>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</si>
  <si>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</si>
  <si>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</si>
  <si>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</si>
  <si>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</si>
  <si>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</si>
  <si>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</si>
  <si>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</si>
  <si>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</si>
  <si>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</si>
  <si>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</si>
  <si>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</si>
  <si>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</si>
  <si>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</si>
  <si>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</si>
  <si>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</si>
  <si>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</si>
  <si>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</si>
  <si>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</si>
  <si>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</si>
  <si>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</si>
  <si>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</si>
  <si>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</si>
  <si>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</si>
  <si>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</si>
  <si>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</si>
  <si>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</si>
  <si>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</si>
  <si>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</si>
  <si>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</si>
  <si>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</si>
  <si>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</si>
  <si>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</si>
  <si>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</si>
  <si>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</si>
  <si>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</si>
  <si>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</si>
  <si>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</si>
  <si>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</si>
  <si>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</si>
  <si>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</si>
  <si>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</si>
  <si>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</si>
  <si>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</si>
  <si>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</si>
  <si>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</si>
  <si>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</si>
  <si>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</si>
  <si>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</si>
  <si>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</si>
  <si>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</si>
  <si>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</si>
  <si>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</si>
  <si>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</si>
  <si>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</si>
  <si>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</si>
  <si>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</si>
  <si>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</si>
  <si>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</si>
  <si>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</si>
  <si>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</si>
  <si>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</si>
  <si>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</si>
  <si>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</si>
  <si>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</si>
  <si>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</si>
  <si>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</si>
  <si>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</si>
  <si>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</si>
  <si>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</si>
  <si>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</si>
  <si>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</si>
  <si>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</si>
  <si>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</si>
  <si>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</si>
  <si>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</si>
  <si>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</si>
  <si>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</si>
  <si>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</si>
  <si>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</si>
  <si>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</si>
  <si>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</si>
  <si>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</si>
  <si>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</si>
  <si>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</si>
  <si>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</si>
  <si>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</si>
  <si>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</si>
  <si>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</si>
  <si>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</si>
  <si>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</si>
  <si>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</si>
  <si>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</si>
  <si>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</si>
  <si>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</si>
  <si>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</si>
  <si>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</si>
  <si>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</si>
  <si>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</si>
  <si>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</si>
  <si>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</si>
  <si>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</si>
  <si>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</si>
  <si>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</si>
  <si>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</si>
  <si>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</si>
  <si>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</si>
  <si>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</si>
  <si>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</si>
  <si>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</si>
  <si>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</si>
  <si>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</si>
  <si>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</si>
  <si>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</si>
  <si>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</si>
  <si>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</si>
  <si>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</si>
  <si>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</si>
  <si>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</si>
  <si>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</si>
  <si>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</si>
  <si>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</si>
  <si>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</si>
  <si>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</si>
  <si>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</si>
  <si>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</si>
  <si>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</si>
  <si>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</si>
  <si>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</si>
  <si>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</si>
  <si>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</si>
  <si>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</si>
  <si>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</si>
  <si>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</si>
  <si>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</si>
  <si>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</si>
  <si>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</si>
  <si>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</si>
  <si>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</si>
  <si>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</si>
  <si>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</si>
  <si>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</si>
  <si>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</si>
  <si>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</si>
  <si>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</si>
  <si>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</si>
  <si>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</si>
  <si>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</si>
  <si>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</si>
  <si>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</si>
  <si>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</si>
  <si>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</si>
  <si>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</si>
  <si>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</si>
  <si>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</si>
  <si>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</si>
  <si>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</si>
  <si>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</si>
  <si>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</si>
  <si>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</si>
  <si>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</si>
  <si>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</si>
  <si>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</si>
  <si>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</si>
  <si>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</si>
  <si>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</si>
  <si>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</si>
  <si>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</si>
  <si>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</si>
  <si>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</si>
  <si>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</si>
  <si>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</si>
  <si>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</si>
  <si>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</si>
  <si>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</si>
  <si>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</si>
  <si>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</si>
  <si>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</si>
  <si>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</si>
  <si>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</si>
  <si>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</si>
  <si>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</si>
  <si>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</si>
  <si>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</si>
  <si>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</si>
  <si>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</si>
  <si>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</si>
  <si>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</si>
  <si>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</si>
  <si>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</si>
  <si>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</si>
  <si>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</si>
  <si>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</si>
  <si>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</si>
  <si>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</si>
  <si>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</si>
  <si>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</si>
  <si>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</si>
  <si>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</si>
  <si>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</si>
  <si>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</si>
  <si>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</si>
  <si>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</si>
  <si>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</si>
  <si>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</si>
  <si>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</si>
  <si>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</si>
  <si>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</si>
  <si>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</si>
  <si>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</si>
  <si>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</si>
  <si>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</si>
  <si>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</si>
  <si>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</si>
  <si>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</si>
  <si>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</si>
  <si>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</si>
  <si>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</si>
  <si>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</si>
  <si>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</si>
  <si>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</si>
  <si>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</si>
  <si>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</si>
  <si>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</si>
  <si>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</si>
  <si>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</si>
  <si>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</si>
  <si>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</si>
  <si>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</si>
  <si>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</si>
  <si>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</si>
  <si>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</si>
  <si>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</si>
  <si>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</si>
  <si>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</si>
  <si>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</si>
  <si>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</si>
  <si>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</si>
  <si>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</si>
  <si>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</si>
  <si>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</si>
  <si>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</si>
  <si>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</si>
  <si>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</si>
  <si>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</si>
  <si>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</si>
  <si>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</si>
  <si>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</si>
  <si>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</si>
  <si>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</si>
  <si>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</si>
  <si>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</si>
  <si>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</si>
  <si>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</si>
  <si>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</si>
  <si>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</si>
  <si>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</si>
  <si>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</si>
  <si>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</si>
  <si>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</si>
  <si>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</si>
  <si>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</si>
  <si>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</si>
  <si>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</si>
  <si>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</si>
  <si>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</si>
  <si>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</si>
  <si>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</si>
  <si>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</si>
  <si>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</si>
  <si>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</si>
  <si>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</si>
  <si>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</si>
  <si>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</si>
  <si>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</si>
  <si>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</si>
  <si>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</si>
  <si>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</si>
  <si>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</si>
  <si>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</si>
  <si>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</si>
  <si>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</si>
  <si>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</si>
  <si>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</si>
  <si>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</si>
  <si>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</si>
  <si>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</si>
  <si>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</si>
  <si>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</si>
  <si>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</si>
  <si>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</si>
  <si>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</si>
  <si>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</si>
  <si>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</si>
  <si>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</si>
  <si>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</si>
  <si>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</si>
  <si>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</si>
  <si>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</si>
  <si>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</si>
  <si>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</si>
  <si>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</si>
  <si>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</si>
  <si>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</si>
  <si>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</si>
  <si>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</si>
  <si>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</si>
  <si>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</si>
  <si>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</si>
  <si>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</si>
  <si>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</si>
  <si>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</si>
  <si>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</si>
  <si>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</si>
  <si>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</si>
  <si>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</si>
  <si>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</si>
  <si>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</si>
  <si>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</si>
  <si>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</si>
  <si>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</si>
  <si>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</si>
  <si>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</si>
  <si>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</si>
  <si>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</si>
  <si>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</si>
  <si>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</si>
  <si>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</si>
  <si>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</si>
  <si>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</si>
  <si>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</si>
  <si>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</si>
  <si>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</si>
  <si>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</si>
  <si>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</si>
  <si>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</si>
  <si>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</si>
  <si>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</si>
  <si>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</si>
  <si>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</si>
  <si>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</si>
  <si>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</si>
  <si>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</si>
  <si>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</si>
  <si>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</si>
  <si>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</si>
  <si>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</si>
  <si>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</si>
  <si>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</si>
  <si>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</si>
  <si>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</si>
  <si>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</si>
  <si>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</si>
  <si>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</si>
  <si>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</si>
  <si>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</si>
  <si>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</si>
  <si>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</si>
  <si>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</si>
  <si>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</si>
  <si>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</si>
  <si>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</si>
  <si>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</si>
  <si>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</si>
  <si>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</si>
  <si>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</si>
  <si>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</si>
  <si>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</si>
  <si>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</si>
  <si>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</si>
  <si>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</si>
  <si>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</si>
  <si>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</si>
  <si>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</si>
  <si>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</si>
  <si>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</si>
  <si>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</si>
  <si>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</si>
  <si>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</si>
  <si>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</si>
  <si>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</si>
  <si>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</si>
  <si>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</si>
  <si>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</si>
  <si>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</si>
  <si>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</si>
  <si>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</si>
  <si>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</si>
  <si>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</si>
  <si>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</si>
  <si>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</si>
  <si>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</si>
  <si>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</si>
  <si>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</si>
  <si>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</si>
  <si>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</si>
  <si>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</si>
  <si>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</si>
  <si>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</si>
  <si>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</si>
  <si>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</si>
  <si>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</si>
  <si>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</si>
  <si>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</si>
  <si>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</si>
  <si>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</si>
  <si>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</si>
  <si>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</si>
  <si>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</si>
  <si>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</si>
  <si>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</si>
  <si>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</si>
  <si>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</si>
  <si>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</si>
  <si>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</si>
  <si>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</si>
  <si>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</si>
  <si>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</si>
  <si>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</si>
  <si>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</si>
  <si>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</si>
  <si>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</si>
  <si>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</si>
  <si>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</si>
  <si>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</si>
  <si>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</si>
  <si>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</si>
  <si>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</si>
  <si>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</si>
  <si>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</si>
  <si>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</si>
  <si>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</si>
  <si>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</si>
  <si>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</si>
  <si>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</si>
  <si>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</si>
  <si>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</si>
  <si>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</si>
  <si>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</si>
  <si>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</si>
  <si>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</si>
  <si>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</si>
  <si>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</si>
  <si>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</si>
  <si>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</si>
  <si>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</si>
  <si>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</si>
  <si>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</si>
  <si>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</si>
  <si>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</si>
  <si>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</si>
  <si>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</si>
  <si>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</si>
  <si>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</si>
  <si>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</si>
  <si>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</si>
  <si>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</si>
  <si>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</si>
  <si>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</si>
  <si>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</si>
  <si>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</si>
  <si>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</si>
  <si>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</si>
  <si>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</si>
  <si>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</si>
  <si>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</si>
  <si>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</si>
  <si>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</si>
  <si>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</si>
  <si>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</si>
  <si>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</si>
  <si>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</si>
  <si>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</si>
  <si>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</si>
  <si>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</si>
  <si>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</si>
  <si>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</si>
  <si>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</si>
  <si>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</si>
  <si>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</si>
  <si>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</si>
  <si>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</si>
  <si>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</si>
  <si>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</si>
  <si>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</si>
  <si>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</si>
  <si>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</si>
  <si>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</si>
  <si>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</si>
  <si>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</si>
  <si>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</si>
  <si>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</si>
  <si>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</si>
  <si>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</si>
  <si>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</si>
  <si>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</si>
  <si>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</si>
  <si>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</si>
  <si>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</si>
  <si>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</si>
  <si>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</si>
  <si>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</si>
  <si>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</si>
  <si>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</si>
  <si>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</si>
  <si>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</si>
  <si>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</si>
  <si>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</si>
  <si>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</si>
  <si>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</si>
  <si>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</si>
  <si>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</si>
  <si>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</si>
  <si>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</si>
  <si>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</si>
  <si>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</si>
  <si>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</si>
  <si>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</si>
  <si>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</si>
  <si>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</si>
  <si>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</si>
  <si>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</si>
  <si>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</si>
  <si>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</si>
  <si>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</si>
  <si>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</si>
  <si>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</si>
  <si>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</si>
  <si>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</si>
  <si>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</si>
  <si>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</si>
  <si>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</si>
  <si>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</si>
  <si>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</si>
  <si>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</si>
  <si>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</si>
  <si>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</si>
  <si>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</si>
  <si>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</si>
  <si>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</si>
  <si>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</si>
  <si>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</si>
  <si>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</si>
  <si>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</si>
  <si>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</si>
  <si>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</si>
  <si>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</si>
  <si>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</si>
  <si>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</si>
  <si>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</si>
  <si>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</si>
  <si>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</si>
  <si>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</si>
  <si>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</si>
  <si>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</si>
  <si>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</si>
  <si>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</si>
  <si>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</si>
  <si>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</si>
  <si>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</si>
  <si>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</si>
  <si>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</si>
  <si>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</si>
  <si>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</si>
  <si>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</si>
  <si>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</si>
  <si>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</si>
  <si>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</si>
  <si>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</si>
  <si>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</si>
  <si>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</si>
  <si>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</si>
  <si>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</si>
  <si>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</si>
  <si>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</si>
  <si>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</si>
  <si>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</si>
  <si>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</si>
  <si>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</si>
  <si>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</si>
  <si>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</si>
  <si>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</si>
  <si>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</si>
  <si>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</si>
  <si>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</si>
  <si>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</si>
  <si>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</si>
  <si>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</si>
  <si>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</si>
  <si>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</si>
  <si>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</si>
  <si>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</si>
  <si>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</si>
  <si>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</si>
  <si>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</si>
  <si>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</si>
  <si>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</si>
  <si>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</si>
  <si>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</si>
  <si>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</si>
  <si>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</si>
  <si>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</si>
  <si>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</si>
  <si>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</si>
  <si>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</si>
  <si>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</si>
  <si>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</si>
  <si>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</si>
  <si>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</si>
  <si>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</si>
  <si>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</si>
  <si>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</si>
  <si>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</si>
  <si>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</si>
  <si>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</si>
  <si>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</si>
  <si>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</si>
  <si>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</si>
  <si>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</si>
  <si>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</si>
  <si>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</si>
  <si>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</si>
  <si>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</si>
  <si>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</si>
  <si>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</si>
  <si>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</si>
  <si>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</si>
  <si>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</si>
  <si>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</si>
  <si>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</si>
  <si>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</si>
  <si>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</si>
  <si>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</si>
  <si>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</si>
  <si>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</si>
  <si>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</si>
  <si>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</si>
  <si>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</si>
  <si>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</si>
  <si>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</si>
  <si>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</si>
  <si>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</si>
  <si>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</si>
  <si>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</si>
  <si>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</si>
  <si>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</si>
  <si>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</si>
  <si>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</si>
  <si>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</si>
  <si>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</si>
  <si>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</si>
  <si>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</si>
  <si>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</si>
  <si>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</si>
  <si>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</si>
  <si>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</si>
  <si>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</si>
  <si>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</si>
  <si>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</si>
  <si>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</si>
  <si>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</si>
  <si>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</si>
  <si>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</si>
  <si>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</si>
  <si>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</si>
  <si>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</si>
  <si>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</si>
  <si>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</si>
  <si>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</si>
  <si>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</si>
  <si>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</si>
  <si>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</si>
  <si>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</si>
  <si>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</si>
  <si>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</si>
  <si>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</si>
  <si>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</si>
  <si>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</si>
  <si>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</si>
  <si>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</si>
  <si>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</si>
  <si>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</si>
  <si>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</si>
  <si>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</si>
  <si>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</si>
  <si>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</si>
  <si>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</si>
  <si>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</si>
  <si>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</si>
  <si>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</si>
  <si>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</si>
  <si>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</si>
  <si>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</si>
  <si>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</si>
  <si>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</si>
  <si>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</si>
  <si>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</si>
  <si>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</si>
  <si>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</si>
  <si>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</si>
  <si>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</si>
  <si>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</si>
  <si>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</si>
  <si>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</si>
  <si>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</si>
  <si>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</si>
  <si>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</si>
  <si>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</si>
  <si>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</si>
  <si>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</si>
  <si>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</si>
  <si>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</si>
  <si>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</si>
  <si>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</si>
  <si>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</si>
  <si>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</si>
  <si>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</si>
  <si>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</si>
  <si>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</si>
  <si>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</si>
  <si>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</si>
  <si>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</si>
  <si>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</si>
  <si>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</si>
  <si>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</si>
  <si>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</si>
  <si>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</si>
  <si>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</si>
  <si>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</si>
  <si>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</si>
  <si>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</si>
  <si>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</si>
  <si>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</si>
  <si>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</si>
  <si>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</si>
  <si>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</si>
  <si>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</si>
  <si>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</si>
  <si>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</si>
  <si>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</si>
  <si>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</si>
  <si>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</si>
  <si>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</si>
  <si>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</si>
  <si>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</si>
  <si>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</si>
  <si>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</si>
  <si>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</si>
  <si>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</si>
  <si>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</si>
  <si>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</si>
  <si>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</si>
  <si>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</si>
  <si>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</si>
  <si>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</si>
  <si>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</si>
  <si>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</si>
  <si>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</si>
  <si>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</si>
  <si>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</si>
  <si>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</si>
  <si>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</si>
  <si>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</si>
  <si>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</si>
  <si>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</si>
  <si>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</si>
  <si>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</si>
  <si>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</si>
  <si>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</si>
  <si>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</si>
  <si>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</si>
  <si>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اخزا623</t>
  </si>
  <si>
    <t>خرید وغدیر در حساب علی برای داریوش</t>
  </si>
  <si>
    <t>خرید اخزا در حساب داریوش برای علی</t>
  </si>
  <si>
    <t>تعداد سهام وغدیر برای داریوش در حساب علی</t>
  </si>
  <si>
    <t>نتیجه</t>
  </si>
  <si>
    <t>تعداد سهام اخزا623 برای علی در حساب داریوش</t>
  </si>
  <si>
    <t>طلب از داریوش 79 تا اخزا623 4.995 پول دادم 17/7/97</t>
  </si>
  <si>
    <t>بدهی به داریوش 6523 تا وغدیر 17/7/97</t>
  </si>
  <si>
    <t>بدهی به مهدی نقدی 17/7/1397</t>
  </si>
  <si>
    <t>اخزا623 79 تا 63190 در حساب داریوش</t>
  </si>
  <si>
    <t>سود علی از فروش 18290 تا وغدیر حساب داریوش</t>
  </si>
  <si>
    <t>وغدیر 24834 تا 200.4 که 6523 تا برای داریوش است</t>
  </si>
  <si>
    <t>وغدیر 1222016 تا 192</t>
  </si>
  <si>
    <t>سود علی از فروش 26691 تا وغدیر حساب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</si>
</sst>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0" borderId="6" xfId="0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A28" workbookViewId="0">
      <selection activeCell="E55" sqref="E5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9" t="s">
        <v>0</v>
      </c>
      <c r="B1" s="179" t="s">
        <v>1</v>
      </c>
      <c r="C1" s="179" t="s">
        <v>4</v>
      </c>
      <c r="D1" s="179" t="s">
        <v>5</v>
      </c>
      <c r="E1" s="17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79" t="s">
        <v>4220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79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4226</v>
      </c>
      <c r="B3" s="18">
        <v>830000</v>
      </c>
      <c r="C3" s="18">
        <v>0</v>
      </c>
      <c r="D3" s="121">
        <f t="shared" ref="D3:D26" si="0">B3-C3</f>
        <v>830000</v>
      </c>
      <c r="E3" s="20" t="s">
        <v>4228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4249</v>
      </c>
      <c r="B4" s="18">
        <v>-52440</v>
      </c>
      <c r="C4" s="18">
        <v>0</v>
      </c>
      <c r="D4" s="117">
        <f t="shared" si="0"/>
        <v>-52440</v>
      </c>
      <c r="E4" s="103" t="s">
        <v>4255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4256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4258</v>
      </c>
      <c r="B6" s="18">
        <v>-200000</v>
      </c>
      <c r="C6" s="18">
        <v>0</v>
      </c>
      <c r="D6" s="117">
        <f t="shared" si="0"/>
        <v>-200000</v>
      </c>
      <c r="E6" s="19" t="s">
        <v>4259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4260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4261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4261</v>
      </c>
      <c r="B9" s="18">
        <v>-30000</v>
      </c>
      <c r="C9" s="18">
        <v>0</v>
      </c>
      <c r="D9" s="117">
        <f t="shared" si="0"/>
        <v>-30000</v>
      </c>
      <c r="E9" s="21" t="s">
        <v>4262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4110</v>
      </c>
      <c r="B10" s="18">
        <v>-178000</v>
      </c>
      <c r="C10" s="18">
        <v>0</v>
      </c>
      <c r="D10" s="117">
        <f t="shared" si="0"/>
        <v>-178000</v>
      </c>
      <c r="E10" s="19" t="s">
        <v>4265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4266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4219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4270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4138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4154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4150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4150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4162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4175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4175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4178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4178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4202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4202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4210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79" t="s">
        <v>4223</v>
      </c>
      <c r="B26" s="179"/>
      <c r="C26" s="179">
        <v>0</v>
      </c>
      <c r="D26" s="179">
        <f t="shared" si="0"/>
        <v>0</v>
      </c>
      <c r="E26" s="179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79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79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-46434117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4229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4230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4231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4232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4241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4243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4252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4263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4265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4267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4269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4269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-64000</v>
      </c>
      <c r="E49" s="41" t="s">
        <v>4271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-50000</v>
      </c>
      <c r="E50" s="41" t="s">
        <v>4273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67000</v>
      </c>
      <c r="E51" s="41" t="s">
        <v>4276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500000</v>
      </c>
      <c r="E52" s="41" t="s">
        <v>4304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-89370</v>
      </c>
      <c r="E53" s="41" t="s">
        <v>4324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-91734</v>
      </c>
      <c r="E54" s="41" t="s">
        <v>4327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/>
      <c r="E56" s="41" t="s">
        <v>25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f>SUM(D33:D56)</f>
        <v>-49552119</v>
      </c>
      <c r="E57" s="100" t="s">
        <v>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/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6" activePane="bottomLeft" state="frozen"/>
      <selection pane="bottomLeft" activeCell="E224" sqref="E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912</v>
      </c>
      <c r="H2" s="36">
        <f>IF(B2&gt;0,1,0)</f>
        <v>1</v>
      </c>
      <c r="I2" s="11">
        <f>B2*(G2-H2)</f>
        <v>15213700</v>
      </c>
      <c r="J2" s="53">
        <f>C2*(G2-H2)</f>
        <v>15213700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911</v>
      </c>
      <c r="H3" s="36">
        <f t="shared" ref="H3:H66" si="2">IF(B3&gt;0,1,0)</f>
        <v>1</v>
      </c>
      <c r="I3" s="11">
        <f t="shared" ref="I3:I66" si="3">B3*(G3-H3)</f>
        <v>18109000000</v>
      </c>
      <c r="J3" s="53">
        <f t="shared" ref="J3:J66" si="4">C3*(G3-H3)</f>
        <v>10362170000</v>
      </c>
      <c r="K3" s="53">
        <f t="shared" ref="K3:K66" si="5">D3*(G3-H3)</f>
        <v>7746830000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911</v>
      </c>
      <c r="H4" s="36">
        <f t="shared" si="2"/>
        <v>0</v>
      </c>
      <c r="I4" s="11">
        <f t="shared" si="3"/>
        <v>0</v>
      </c>
      <c r="J4" s="53">
        <f t="shared" si="4"/>
        <v>7743500</v>
      </c>
      <c r="K4" s="53">
        <f t="shared" si="5"/>
        <v>-7743500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909</v>
      </c>
      <c r="H5" s="36">
        <f t="shared" si="2"/>
        <v>1</v>
      </c>
      <c r="I5" s="11">
        <f t="shared" si="3"/>
        <v>1816000000</v>
      </c>
      <c r="J5" s="53">
        <f t="shared" si="4"/>
        <v>0</v>
      </c>
      <c r="K5" s="53">
        <f t="shared" si="5"/>
        <v>1816000000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902</v>
      </c>
      <c r="H6" s="36">
        <f t="shared" si="2"/>
        <v>0</v>
      </c>
      <c r="I6" s="11">
        <f t="shared" si="3"/>
        <v>-4510000</v>
      </c>
      <c r="J6" s="53">
        <f t="shared" si="4"/>
        <v>0</v>
      </c>
      <c r="K6" s="53">
        <f t="shared" si="5"/>
        <v>-4510000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898</v>
      </c>
      <c r="H7" s="36">
        <f t="shared" si="2"/>
        <v>0</v>
      </c>
      <c r="I7" s="11">
        <f t="shared" si="3"/>
        <v>-1078049000</v>
      </c>
      <c r="J7" s="53">
        <f t="shared" si="4"/>
        <v>0</v>
      </c>
      <c r="K7" s="53">
        <f t="shared" si="5"/>
        <v>-1078049000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897</v>
      </c>
      <c r="H8" s="36">
        <f t="shared" si="2"/>
        <v>0</v>
      </c>
      <c r="I8" s="11">
        <f t="shared" si="3"/>
        <v>-179400000</v>
      </c>
      <c r="J8" s="53">
        <f t="shared" si="4"/>
        <v>0</v>
      </c>
      <c r="K8" s="53">
        <f t="shared" si="5"/>
        <v>-179400000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895</v>
      </c>
      <c r="H9" s="36">
        <f t="shared" si="2"/>
        <v>0</v>
      </c>
      <c r="I9" s="11">
        <f t="shared" si="3"/>
        <v>-631422500</v>
      </c>
      <c r="J9" s="53">
        <f t="shared" si="4"/>
        <v>0</v>
      </c>
      <c r="K9" s="53">
        <f t="shared" si="5"/>
        <v>-631422500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886</v>
      </c>
      <c r="H10" s="36">
        <f t="shared" si="2"/>
        <v>0</v>
      </c>
      <c r="I10" s="11">
        <f t="shared" si="3"/>
        <v>-177200000</v>
      </c>
      <c r="J10" s="53">
        <f t="shared" si="4"/>
        <v>0</v>
      </c>
      <c r="K10" s="53">
        <f t="shared" si="5"/>
        <v>-177200000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886</v>
      </c>
      <c r="H11" s="36">
        <f t="shared" si="2"/>
        <v>1</v>
      </c>
      <c r="I11" s="11">
        <f t="shared" si="3"/>
        <v>885000000</v>
      </c>
      <c r="J11" s="53">
        <f t="shared" si="4"/>
        <v>0</v>
      </c>
      <c r="K11" s="53">
        <f t="shared" si="5"/>
        <v>885000000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882</v>
      </c>
      <c r="H12" s="36">
        <f t="shared" si="2"/>
        <v>0</v>
      </c>
      <c r="I12" s="11">
        <f t="shared" si="3"/>
        <v>-264600000</v>
      </c>
      <c r="J12" s="53">
        <f t="shared" si="4"/>
        <v>0</v>
      </c>
      <c r="K12" s="53">
        <f t="shared" si="5"/>
        <v>-264600000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877</v>
      </c>
      <c r="H13" s="36">
        <f t="shared" si="2"/>
        <v>0</v>
      </c>
      <c r="I13" s="11">
        <f t="shared" si="3"/>
        <v>-54374000</v>
      </c>
      <c r="J13" s="53">
        <f t="shared" si="4"/>
        <v>0</v>
      </c>
      <c r="K13" s="53">
        <f t="shared" si="5"/>
        <v>-54374000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877</v>
      </c>
      <c r="H14" s="36">
        <f t="shared" si="2"/>
        <v>1</v>
      </c>
      <c r="I14" s="11">
        <f t="shared" si="3"/>
        <v>1752000000</v>
      </c>
      <c r="J14" s="53">
        <f t="shared" si="4"/>
        <v>0</v>
      </c>
      <c r="K14" s="53">
        <f t="shared" si="5"/>
        <v>1752000000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876</v>
      </c>
      <c r="H15" s="36">
        <f t="shared" si="2"/>
        <v>1</v>
      </c>
      <c r="I15" s="11">
        <f t="shared" si="3"/>
        <v>1575000000</v>
      </c>
      <c r="J15" s="53">
        <f t="shared" si="4"/>
        <v>0</v>
      </c>
      <c r="K15" s="53">
        <f t="shared" si="5"/>
        <v>1575000000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876</v>
      </c>
      <c r="H16" s="36">
        <f t="shared" si="2"/>
        <v>0</v>
      </c>
      <c r="I16" s="11">
        <f t="shared" si="3"/>
        <v>-175200000</v>
      </c>
      <c r="J16" s="53">
        <f t="shared" si="4"/>
        <v>0</v>
      </c>
      <c r="K16" s="53">
        <f t="shared" si="5"/>
        <v>-175200000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872</v>
      </c>
      <c r="H17" s="36">
        <f t="shared" si="2"/>
        <v>0</v>
      </c>
      <c r="I17" s="11">
        <f t="shared" si="3"/>
        <v>-1744000000</v>
      </c>
      <c r="J17" s="53">
        <f t="shared" si="4"/>
        <v>0</v>
      </c>
      <c r="K17" s="53">
        <f t="shared" si="5"/>
        <v>-1744000000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871</v>
      </c>
      <c r="H18" s="36">
        <f t="shared" si="2"/>
        <v>0</v>
      </c>
      <c r="I18" s="11">
        <f t="shared" si="3"/>
        <v>-261300000</v>
      </c>
      <c r="J18" s="53">
        <f t="shared" si="4"/>
        <v>0</v>
      </c>
      <c r="K18" s="53">
        <f t="shared" si="5"/>
        <v>-261300000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870</v>
      </c>
      <c r="H19" s="36">
        <f t="shared" si="2"/>
        <v>0</v>
      </c>
      <c r="I19" s="11">
        <f t="shared" si="3"/>
        <v>-174000000</v>
      </c>
      <c r="J19" s="53">
        <f t="shared" si="4"/>
        <v>0</v>
      </c>
      <c r="K19" s="53">
        <f t="shared" si="5"/>
        <v>-174000000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868</v>
      </c>
      <c r="H20" s="36">
        <f t="shared" si="2"/>
        <v>1</v>
      </c>
      <c r="I20" s="11">
        <f t="shared" si="3"/>
        <v>235034163</v>
      </c>
      <c r="J20" s="53">
        <f t="shared" si="4"/>
        <v>127840884</v>
      </c>
      <c r="K20" s="53">
        <f t="shared" si="5"/>
        <v>107193279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866</v>
      </c>
      <c r="H21" s="36">
        <f t="shared" si="2"/>
        <v>0</v>
      </c>
      <c r="I21" s="11">
        <f t="shared" si="3"/>
        <v>-1303936200</v>
      </c>
      <c r="J21" s="53">
        <f t="shared" si="4"/>
        <v>0</v>
      </c>
      <c r="K21" s="53">
        <f t="shared" si="5"/>
        <v>-1303936200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863</v>
      </c>
      <c r="H22" s="36">
        <f t="shared" si="2"/>
        <v>1</v>
      </c>
      <c r="I22" s="11">
        <f t="shared" si="3"/>
        <v>2586000000</v>
      </c>
      <c r="J22" s="53">
        <f t="shared" si="4"/>
        <v>0</v>
      </c>
      <c r="K22" s="53">
        <f t="shared" si="5"/>
        <v>2586000000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862</v>
      </c>
      <c r="H23" s="36">
        <f t="shared" si="2"/>
        <v>1</v>
      </c>
      <c r="I23" s="11">
        <f t="shared" si="3"/>
        <v>861000000</v>
      </c>
      <c r="J23" s="53">
        <f t="shared" si="4"/>
        <v>0</v>
      </c>
      <c r="K23" s="53">
        <f t="shared" si="5"/>
        <v>861000000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861</v>
      </c>
      <c r="H24" s="36">
        <f t="shared" si="2"/>
        <v>0</v>
      </c>
      <c r="I24" s="11">
        <f t="shared" si="3"/>
        <v>-2583774900</v>
      </c>
      <c r="J24" s="53">
        <f t="shared" si="4"/>
        <v>0</v>
      </c>
      <c r="K24" s="53">
        <f t="shared" si="5"/>
        <v>-2583774900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846</v>
      </c>
      <c r="H25" s="36">
        <f t="shared" si="2"/>
        <v>1</v>
      </c>
      <c r="I25" s="11">
        <f t="shared" si="3"/>
        <v>1267500000</v>
      </c>
      <c r="J25" s="53">
        <f t="shared" si="4"/>
        <v>0</v>
      </c>
      <c r="K25" s="53">
        <f t="shared" si="5"/>
        <v>1267500000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838</v>
      </c>
      <c r="H26" s="36">
        <f t="shared" si="2"/>
        <v>0</v>
      </c>
      <c r="I26" s="11">
        <f t="shared" si="3"/>
        <v>-137432000</v>
      </c>
      <c r="J26" s="53">
        <f t="shared" si="4"/>
        <v>0</v>
      </c>
      <c r="K26" s="53">
        <f t="shared" si="5"/>
        <v>-137432000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837</v>
      </c>
      <c r="H27" s="36">
        <f t="shared" si="2"/>
        <v>1</v>
      </c>
      <c r="I27" s="11">
        <f t="shared" si="3"/>
        <v>166692548</v>
      </c>
      <c r="J27" s="53">
        <f t="shared" si="4"/>
        <v>89797268</v>
      </c>
      <c r="K27" s="53">
        <f t="shared" si="5"/>
        <v>76895280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835</v>
      </c>
      <c r="H28" s="36">
        <f t="shared" si="2"/>
        <v>0</v>
      </c>
      <c r="I28" s="11">
        <f t="shared" si="3"/>
        <v>-184535000</v>
      </c>
      <c r="J28" s="53">
        <f t="shared" si="4"/>
        <v>-184535000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835</v>
      </c>
      <c r="H29" s="36">
        <f t="shared" si="2"/>
        <v>0</v>
      </c>
      <c r="I29" s="11">
        <f t="shared" si="3"/>
        <v>-417917500</v>
      </c>
      <c r="J29" s="53">
        <f t="shared" si="4"/>
        <v>0</v>
      </c>
      <c r="K29" s="53">
        <f t="shared" si="5"/>
        <v>-417917500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835</v>
      </c>
      <c r="H30" s="36">
        <f t="shared" si="2"/>
        <v>0</v>
      </c>
      <c r="I30" s="11">
        <f t="shared" si="3"/>
        <v>-12525000000</v>
      </c>
      <c r="J30" s="53">
        <f t="shared" si="4"/>
        <v>-12525000000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818</v>
      </c>
      <c r="H31" s="36">
        <f t="shared" si="2"/>
        <v>0</v>
      </c>
      <c r="I31" s="11">
        <f t="shared" si="3"/>
        <v>-2462916200</v>
      </c>
      <c r="J31" s="53">
        <f t="shared" si="4"/>
        <v>0</v>
      </c>
      <c r="K31" s="53">
        <f t="shared" si="5"/>
        <v>-2462916200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816</v>
      </c>
      <c r="H32" s="36">
        <f t="shared" si="2"/>
        <v>0</v>
      </c>
      <c r="I32" s="11">
        <f t="shared" si="3"/>
        <v>-2452814400</v>
      </c>
      <c r="J32" s="53">
        <f t="shared" si="4"/>
        <v>0</v>
      </c>
      <c r="K32" s="53">
        <f t="shared" si="5"/>
        <v>-2452814400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815</v>
      </c>
      <c r="H33" s="36">
        <f t="shared" si="2"/>
        <v>0</v>
      </c>
      <c r="I33" s="11">
        <f t="shared" si="3"/>
        <v>-729832500</v>
      </c>
      <c r="J33" s="53">
        <f t="shared" si="4"/>
        <v>0</v>
      </c>
      <c r="K33" s="53">
        <f t="shared" si="5"/>
        <v>-729832500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815</v>
      </c>
      <c r="H34" s="36">
        <f t="shared" si="2"/>
        <v>0</v>
      </c>
      <c r="I34" s="11">
        <f t="shared" si="3"/>
        <v>0</v>
      </c>
      <c r="J34" s="53">
        <f t="shared" si="4"/>
        <v>815000000</v>
      </c>
      <c r="K34" s="53">
        <f t="shared" si="5"/>
        <v>-815000000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806</v>
      </c>
      <c r="H35" s="36">
        <f t="shared" si="2"/>
        <v>1</v>
      </c>
      <c r="I35" s="11">
        <f t="shared" si="3"/>
        <v>42239960</v>
      </c>
      <c r="J35" s="53">
        <f t="shared" si="4"/>
        <v>-17438715</v>
      </c>
      <c r="K35" s="53">
        <f t="shared" si="5"/>
        <v>59678675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806</v>
      </c>
      <c r="H36" s="36">
        <f t="shared" si="2"/>
        <v>0</v>
      </c>
      <c r="I36" s="11">
        <f t="shared" si="3"/>
        <v>0</v>
      </c>
      <c r="J36" s="53">
        <f t="shared" si="4"/>
        <v>17460378</v>
      </c>
      <c r="K36" s="53">
        <f t="shared" si="5"/>
        <v>-17460378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796</v>
      </c>
      <c r="H37" s="36">
        <f t="shared" si="2"/>
        <v>0</v>
      </c>
      <c r="I37" s="11">
        <f t="shared" si="3"/>
        <v>-43780000</v>
      </c>
      <c r="J37" s="53">
        <f t="shared" si="4"/>
        <v>0</v>
      </c>
      <c r="K37" s="53">
        <f t="shared" si="5"/>
        <v>-43780000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795</v>
      </c>
      <c r="H38" s="36">
        <f t="shared" si="2"/>
        <v>1</v>
      </c>
      <c r="I38" s="11">
        <f t="shared" si="3"/>
        <v>2382000000</v>
      </c>
      <c r="J38" s="53">
        <f t="shared" si="4"/>
        <v>2382000000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794</v>
      </c>
      <c r="H39" s="36">
        <f t="shared" si="2"/>
        <v>1</v>
      </c>
      <c r="I39" s="11">
        <f t="shared" si="3"/>
        <v>1982500000</v>
      </c>
      <c r="J39" s="53">
        <f t="shared" si="4"/>
        <v>1982500000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794</v>
      </c>
      <c r="H40" s="36">
        <f t="shared" si="2"/>
        <v>0</v>
      </c>
      <c r="I40" s="11">
        <f t="shared" si="3"/>
        <v>-39700000</v>
      </c>
      <c r="J40" s="53">
        <f t="shared" si="4"/>
        <v>0</v>
      </c>
      <c r="K40" s="53">
        <f t="shared" si="5"/>
        <v>-39700000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794</v>
      </c>
      <c r="H41" s="36">
        <f t="shared" si="2"/>
        <v>1</v>
      </c>
      <c r="I41" s="11">
        <f t="shared" si="3"/>
        <v>2379000000</v>
      </c>
      <c r="J41" s="53">
        <f t="shared" si="4"/>
        <v>0</v>
      </c>
      <c r="K41" s="53">
        <f t="shared" si="5"/>
        <v>2379000000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791</v>
      </c>
      <c r="H42" s="36">
        <f t="shared" si="2"/>
        <v>0</v>
      </c>
      <c r="I42" s="11">
        <f t="shared" si="3"/>
        <v>-70557200</v>
      </c>
      <c r="J42" s="53">
        <f t="shared" si="4"/>
        <v>0</v>
      </c>
      <c r="K42" s="53">
        <f t="shared" si="5"/>
        <v>-70557200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787</v>
      </c>
      <c r="H43" s="36">
        <f t="shared" si="2"/>
        <v>0</v>
      </c>
      <c r="I43" s="11">
        <f t="shared" si="3"/>
        <v>-157400000</v>
      </c>
      <c r="J43" s="53">
        <f t="shared" si="4"/>
        <v>0</v>
      </c>
      <c r="K43" s="53">
        <f t="shared" si="5"/>
        <v>-157400000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785</v>
      </c>
      <c r="H44" s="36">
        <f t="shared" si="2"/>
        <v>0</v>
      </c>
      <c r="I44" s="11">
        <f t="shared" si="3"/>
        <v>-157000000</v>
      </c>
      <c r="J44" s="53">
        <f t="shared" si="4"/>
        <v>0</v>
      </c>
      <c r="K44" s="53">
        <f t="shared" si="5"/>
        <v>-157000000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785</v>
      </c>
      <c r="H45" s="36">
        <f t="shared" si="2"/>
        <v>0</v>
      </c>
      <c r="I45" s="11">
        <f t="shared" si="3"/>
        <v>-439600000</v>
      </c>
      <c r="J45" s="53">
        <f t="shared" si="4"/>
        <v>0</v>
      </c>
      <c r="K45" s="53">
        <f t="shared" si="5"/>
        <v>-439600000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781</v>
      </c>
      <c r="H46" s="36">
        <f t="shared" si="2"/>
        <v>0</v>
      </c>
      <c r="I46" s="11">
        <f t="shared" si="3"/>
        <v>-550995500</v>
      </c>
      <c r="J46" s="53">
        <f t="shared" si="4"/>
        <v>0</v>
      </c>
      <c r="K46" s="53">
        <f t="shared" si="5"/>
        <v>-550995500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775</v>
      </c>
      <c r="H47" s="36">
        <f t="shared" si="2"/>
        <v>1</v>
      </c>
      <c r="I47" s="11">
        <f t="shared" si="3"/>
        <v>31891896</v>
      </c>
      <c r="J47" s="53">
        <f t="shared" si="4"/>
        <v>5195862</v>
      </c>
      <c r="K47" s="53">
        <f t="shared" si="5"/>
        <v>26696034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775</v>
      </c>
      <c r="H48" s="36">
        <f t="shared" si="2"/>
        <v>1</v>
      </c>
      <c r="I48" s="11">
        <f t="shared" si="3"/>
        <v>1319437800</v>
      </c>
      <c r="J48" s="53">
        <f t="shared" si="4"/>
        <v>0</v>
      </c>
      <c r="K48" s="53">
        <f t="shared" si="5"/>
        <v>1319437800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766</v>
      </c>
      <c r="H49" s="36">
        <f t="shared" si="2"/>
        <v>0</v>
      </c>
      <c r="I49" s="11">
        <f t="shared" si="3"/>
        <v>-118730000</v>
      </c>
      <c r="J49" s="53">
        <f t="shared" si="4"/>
        <v>0</v>
      </c>
      <c r="K49" s="53">
        <f t="shared" si="5"/>
        <v>-118730000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766</v>
      </c>
      <c r="H50" s="36">
        <f t="shared" si="2"/>
        <v>0</v>
      </c>
      <c r="I50" s="11">
        <f t="shared" si="3"/>
        <v>-105708000</v>
      </c>
      <c r="J50" s="53">
        <f t="shared" si="4"/>
        <v>0</v>
      </c>
      <c r="K50" s="53">
        <f t="shared" si="5"/>
        <v>-105708000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766</v>
      </c>
      <c r="H51" s="36">
        <f t="shared" si="2"/>
        <v>0</v>
      </c>
      <c r="I51" s="11">
        <f t="shared" si="3"/>
        <v>-566840000</v>
      </c>
      <c r="J51" s="53">
        <f t="shared" si="4"/>
        <v>0</v>
      </c>
      <c r="K51" s="53">
        <f t="shared" si="5"/>
        <v>-566840000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766</v>
      </c>
      <c r="H52" s="36">
        <f t="shared" si="2"/>
        <v>0</v>
      </c>
      <c r="I52" s="11">
        <f t="shared" si="3"/>
        <v>-153200000</v>
      </c>
      <c r="J52" s="53">
        <f t="shared" si="4"/>
        <v>0</v>
      </c>
      <c r="K52" s="53">
        <f t="shared" si="5"/>
        <v>-153200000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765</v>
      </c>
      <c r="H53" s="36">
        <f t="shared" si="2"/>
        <v>0</v>
      </c>
      <c r="I53" s="11">
        <f t="shared" si="3"/>
        <v>-807075000</v>
      </c>
      <c r="J53" s="53">
        <f t="shared" si="4"/>
        <v>0</v>
      </c>
      <c r="K53" s="53">
        <f t="shared" si="5"/>
        <v>-807075000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765</v>
      </c>
      <c r="H54" s="36">
        <f t="shared" si="2"/>
        <v>0</v>
      </c>
      <c r="I54" s="11">
        <f t="shared" si="3"/>
        <v>-153000000</v>
      </c>
      <c r="J54" s="53">
        <f t="shared" si="4"/>
        <v>0</v>
      </c>
      <c r="K54" s="53">
        <f t="shared" si="5"/>
        <v>-153000000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765</v>
      </c>
      <c r="H55" s="36">
        <f t="shared" si="2"/>
        <v>0</v>
      </c>
      <c r="I55" s="11">
        <f t="shared" si="3"/>
        <v>-765382500</v>
      </c>
      <c r="J55" s="53">
        <f t="shared" si="4"/>
        <v>0</v>
      </c>
      <c r="K55" s="53">
        <f t="shared" si="5"/>
        <v>-765382500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765</v>
      </c>
      <c r="H56" s="36">
        <f t="shared" si="2"/>
        <v>0</v>
      </c>
      <c r="I56" s="11">
        <f t="shared" si="3"/>
        <v>-29070000</v>
      </c>
      <c r="J56" s="53">
        <f t="shared" si="4"/>
        <v>0</v>
      </c>
      <c r="K56" s="53">
        <f t="shared" si="5"/>
        <v>-29070000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765</v>
      </c>
      <c r="H57" s="36">
        <f t="shared" si="2"/>
        <v>0</v>
      </c>
      <c r="I57" s="11">
        <f t="shared" si="3"/>
        <v>-80325000</v>
      </c>
      <c r="J57" s="53">
        <f t="shared" si="4"/>
        <v>0</v>
      </c>
      <c r="K57" s="53">
        <f t="shared" si="5"/>
        <v>-80325000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765</v>
      </c>
      <c r="H58" s="36">
        <f t="shared" si="2"/>
        <v>0</v>
      </c>
      <c r="I58" s="11">
        <f t="shared" si="3"/>
        <v>-45900000</v>
      </c>
      <c r="J58" s="53">
        <f t="shared" si="4"/>
        <v>0</v>
      </c>
      <c r="K58" s="53">
        <f t="shared" si="5"/>
        <v>-45900000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762</v>
      </c>
      <c r="H59" s="36">
        <f t="shared" si="2"/>
        <v>1</v>
      </c>
      <c r="I59" s="11">
        <f t="shared" si="3"/>
        <v>761000000</v>
      </c>
      <c r="J59" s="53">
        <f t="shared" si="4"/>
        <v>761000000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761</v>
      </c>
      <c r="H60" s="36">
        <f t="shared" si="2"/>
        <v>1</v>
      </c>
      <c r="I60" s="11">
        <f t="shared" si="3"/>
        <v>2660000000</v>
      </c>
      <c r="J60" s="53">
        <f t="shared" si="4"/>
        <v>2660000000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759</v>
      </c>
      <c r="H61" s="36">
        <f t="shared" si="2"/>
        <v>1</v>
      </c>
      <c r="I61" s="11">
        <f t="shared" si="3"/>
        <v>758000000</v>
      </c>
      <c r="J61" s="53">
        <f t="shared" si="4"/>
        <v>758000000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759</v>
      </c>
      <c r="H62" s="36">
        <f t="shared" si="2"/>
        <v>1</v>
      </c>
      <c r="I62" s="11">
        <f t="shared" si="3"/>
        <v>2274000000</v>
      </c>
      <c r="J62" s="53">
        <f t="shared" si="4"/>
        <v>2274000000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757</v>
      </c>
      <c r="H63" s="36">
        <f t="shared" si="2"/>
        <v>0</v>
      </c>
      <c r="I63" s="11">
        <f t="shared" si="3"/>
        <v>-151400000</v>
      </c>
      <c r="J63" s="53">
        <f t="shared" si="4"/>
        <v>0</v>
      </c>
      <c r="K63" s="53">
        <f t="shared" si="5"/>
        <v>-151400000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752</v>
      </c>
      <c r="H64" s="36">
        <f t="shared" si="2"/>
        <v>0</v>
      </c>
      <c r="I64" s="11">
        <f t="shared" si="3"/>
        <v>-37600000</v>
      </c>
      <c r="J64" s="53">
        <f t="shared" si="4"/>
        <v>0</v>
      </c>
      <c r="K64" s="53">
        <f t="shared" si="5"/>
        <v>-37600000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748</v>
      </c>
      <c r="H65" s="36">
        <f t="shared" si="2"/>
        <v>0</v>
      </c>
      <c r="I65" s="11">
        <f t="shared" si="3"/>
        <v>-149600000</v>
      </c>
      <c r="J65" s="53">
        <f t="shared" si="4"/>
        <v>0</v>
      </c>
      <c r="K65" s="53">
        <f t="shared" si="5"/>
        <v>-149600000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745</v>
      </c>
      <c r="H66" s="36">
        <f t="shared" si="2"/>
        <v>0</v>
      </c>
      <c r="I66" s="11">
        <f t="shared" si="3"/>
        <v>-126650000</v>
      </c>
      <c r="J66" s="53">
        <f t="shared" si="4"/>
        <v>0</v>
      </c>
      <c r="K66" s="53">
        <f t="shared" si="5"/>
        <v>-126650000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744</v>
      </c>
      <c r="H67" s="36">
        <f t="shared" ref="H67:H131" si="8">IF(B67&gt;0,1,0)</f>
        <v>1</v>
      </c>
      <c r="I67" s="11">
        <f t="shared" ref="I67:I119" si="9">B67*(G67-H67)</f>
        <v>67854475</v>
      </c>
      <c r="J67" s="53">
        <f t="shared" ref="J67:J131" si="10">C67*(G67-H67)</f>
        <v>48832189</v>
      </c>
      <c r="K67" s="53">
        <f t="shared" ref="K67:K131" si="11">D67*(G67-H67)</f>
        <v>19022286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726</v>
      </c>
      <c r="H68" s="36">
        <f t="shared" si="8"/>
        <v>0</v>
      </c>
      <c r="I68" s="11">
        <f t="shared" si="9"/>
        <v>-105270000</v>
      </c>
      <c r="J68" s="53">
        <f t="shared" si="10"/>
        <v>0</v>
      </c>
      <c r="K68" s="53">
        <f t="shared" si="11"/>
        <v>-105270000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719</v>
      </c>
      <c r="H69" s="36">
        <f t="shared" si="8"/>
        <v>1</v>
      </c>
      <c r="I69" s="11">
        <f t="shared" si="9"/>
        <v>703640000</v>
      </c>
      <c r="J69" s="53">
        <f t="shared" si="10"/>
        <v>0</v>
      </c>
      <c r="K69" s="53">
        <f t="shared" si="11"/>
        <v>703640000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716</v>
      </c>
      <c r="H70" s="36">
        <f t="shared" si="8"/>
        <v>0</v>
      </c>
      <c r="I70" s="11">
        <f t="shared" si="9"/>
        <v>-32936000</v>
      </c>
      <c r="J70" s="53">
        <f t="shared" si="10"/>
        <v>0</v>
      </c>
      <c r="K70" s="53">
        <f t="shared" si="11"/>
        <v>-32936000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714</v>
      </c>
      <c r="H71" s="36">
        <f t="shared" si="8"/>
        <v>1</v>
      </c>
      <c r="I71" s="11">
        <f t="shared" si="9"/>
        <v>82235994</v>
      </c>
      <c r="J71" s="53">
        <f t="shared" si="10"/>
        <v>74017956</v>
      </c>
      <c r="K71" s="53">
        <f t="shared" si="11"/>
        <v>8218038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713</v>
      </c>
      <c r="H72" s="36">
        <f t="shared" si="8"/>
        <v>0</v>
      </c>
      <c r="I72" s="11">
        <f t="shared" si="9"/>
        <v>-108353897</v>
      </c>
      <c r="J72" s="53">
        <f t="shared" si="10"/>
        <v>0</v>
      </c>
      <c r="K72" s="53">
        <f t="shared" si="11"/>
        <v>-108353897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712</v>
      </c>
      <c r="H73" s="36">
        <f t="shared" si="8"/>
        <v>0</v>
      </c>
      <c r="I73" s="11">
        <f t="shared" si="9"/>
        <v>-573516000</v>
      </c>
      <c r="J73" s="53">
        <f t="shared" si="10"/>
        <v>0</v>
      </c>
      <c r="K73" s="53">
        <f t="shared" si="11"/>
        <v>-573516000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705</v>
      </c>
      <c r="H74" s="36">
        <f t="shared" si="8"/>
        <v>1</v>
      </c>
      <c r="I74" s="11">
        <f t="shared" si="9"/>
        <v>4924480000</v>
      </c>
      <c r="J74" s="53">
        <f t="shared" si="10"/>
        <v>0</v>
      </c>
      <c r="K74" s="53">
        <f t="shared" si="11"/>
        <v>4924480000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704</v>
      </c>
      <c r="H75" s="36">
        <f t="shared" si="8"/>
        <v>1</v>
      </c>
      <c r="I75" s="11">
        <f t="shared" si="9"/>
        <v>2109000000</v>
      </c>
      <c r="J75" s="53">
        <f t="shared" si="10"/>
        <v>0</v>
      </c>
      <c r="K75" s="53">
        <f t="shared" si="11"/>
        <v>2109000000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702</v>
      </c>
      <c r="H76" s="36">
        <f t="shared" si="8"/>
        <v>1</v>
      </c>
      <c r="I76" s="11">
        <f t="shared" si="9"/>
        <v>2103000000</v>
      </c>
      <c r="J76" s="53">
        <f t="shared" si="10"/>
        <v>0</v>
      </c>
      <c r="K76" s="53">
        <f t="shared" si="11"/>
        <v>2103000000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701</v>
      </c>
      <c r="H77" s="36">
        <f t="shared" si="8"/>
        <v>1</v>
      </c>
      <c r="I77" s="11">
        <f t="shared" si="9"/>
        <v>2100000000</v>
      </c>
      <c r="J77" s="53">
        <f t="shared" si="10"/>
        <v>0</v>
      </c>
      <c r="K77" s="53">
        <f t="shared" si="11"/>
        <v>2100000000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700</v>
      </c>
      <c r="H78" s="36">
        <f t="shared" si="8"/>
        <v>0</v>
      </c>
      <c r="I78" s="11">
        <f t="shared" si="9"/>
        <v>-2240000000</v>
      </c>
      <c r="J78" s="53">
        <f t="shared" si="10"/>
        <v>-2240000000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699</v>
      </c>
      <c r="H79" s="36">
        <f t="shared" si="8"/>
        <v>0</v>
      </c>
      <c r="I79" s="11">
        <f t="shared" si="9"/>
        <v>-559200000</v>
      </c>
      <c r="J79" s="53">
        <f t="shared" si="10"/>
        <v>-559200000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698</v>
      </c>
      <c r="H80" s="36">
        <f t="shared" si="8"/>
        <v>0</v>
      </c>
      <c r="I80" s="11">
        <f t="shared" si="9"/>
        <v>-33778314</v>
      </c>
      <c r="J80" s="53">
        <f t="shared" si="10"/>
        <v>0</v>
      </c>
      <c r="K80" s="53">
        <f t="shared" si="11"/>
        <v>-33778314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697</v>
      </c>
      <c r="H81" s="36">
        <f t="shared" si="8"/>
        <v>0</v>
      </c>
      <c r="I81" s="11">
        <f t="shared" si="9"/>
        <v>-97580000</v>
      </c>
      <c r="J81" s="53">
        <f t="shared" si="10"/>
        <v>0</v>
      </c>
      <c r="K81" s="53">
        <f t="shared" si="11"/>
        <v>-97580000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696</v>
      </c>
      <c r="H82" s="36">
        <f t="shared" si="8"/>
        <v>0</v>
      </c>
      <c r="I82" s="11">
        <f t="shared" si="9"/>
        <v>-174000000</v>
      </c>
      <c r="J82" s="53">
        <f t="shared" si="10"/>
        <v>0</v>
      </c>
      <c r="K82" s="53">
        <f t="shared" si="11"/>
        <v>-174000000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695</v>
      </c>
      <c r="H83" s="36">
        <f t="shared" si="8"/>
        <v>0</v>
      </c>
      <c r="I83" s="11">
        <f t="shared" si="9"/>
        <v>-139000000</v>
      </c>
      <c r="J83" s="53">
        <f t="shared" si="10"/>
        <v>0</v>
      </c>
      <c r="K83" s="53">
        <f t="shared" si="11"/>
        <v>-139000000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692</v>
      </c>
      <c r="H84" s="36">
        <f t="shared" si="8"/>
        <v>1</v>
      </c>
      <c r="I84" s="11">
        <f t="shared" si="9"/>
        <v>1129923200</v>
      </c>
      <c r="J84" s="53">
        <f t="shared" si="10"/>
        <v>0</v>
      </c>
      <c r="K84" s="53">
        <f t="shared" si="11"/>
        <v>1129923200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688</v>
      </c>
      <c r="H85" s="36">
        <f t="shared" si="8"/>
        <v>1</v>
      </c>
      <c r="I85" s="11">
        <f t="shared" si="9"/>
        <v>1717500000</v>
      </c>
      <c r="J85" s="53">
        <f t="shared" si="10"/>
        <v>0</v>
      </c>
      <c r="K85" s="53">
        <f t="shared" si="11"/>
        <v>1717500000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684</v>
      </c>
      <c r="H86" s="36">
        <f t="shared" si="8"/>
        <v>1</v>
      </c>
      <c r="I86" s="11">
        <f t="shared" si="9"/>
        <v>127242900</v>
      </c>
      <c r="J86" s="53">
        <f t="shared" si="10"/>
        <v>58020850</v>
      </c>
      <c r="K86" s="53">
        <f t="shared" si="11"/>
        <v>69222050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681</v>
      </c>
      <c r="H87" s="36">
        <f t="shared" si="8"/>
        <v>0</v>
      </c>
      <c r="I87" s="11">
        <f t="shared" si="9"/>
        <v>-136200000</v>
      </c>
      <c r="J87" s="53">
        <f t="shared" si="10"/>
        <v>0</v>
      </c>
      <c r="K87" s="53">
        <f t="shared" si="11"/>
        <v>-136200000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680</v>
      </c>
      <c r="H88" s="36">
        <f t="shared" si="8"/>
        <v>0</v>
      </c>
      <c r="I88" s="11">
        <f t="shared" si="9"/>
        <v>-80240000</v>
      </c>
      <c r="J88" s="53">
        <f t="shared" si="10"/>
        <v>-46920000</v>
      </c>
      <c r="K88" s="53">
        <f t="shared" si="11"/>
        <v>-33320000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672</v>
      </c>
      <c r="H89" s="36">
        <f t="shared" si="8"/>
        <v>0</v>
      </c>
      <c r="I89" s="11">
        <f t="shared" si="9"/>
        <v>-2151004800</v>
      </c>
      <c r="J89" s="53">
        <f t="shared" si="10"/>
        <v>0</v>
      </c>
      <c r="K89" s="53">
        <f t="shared" si="11"/>
        <v>-2151004800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671</v>
      </c>
      <c r="H90" s="36">
        <f t="shared" si="8"/>
        <v>0</v>
      </c>
      <c r="I90" s="11">
        <f t="shared" si="9"/>
        <v>-2147803900</v>
      </c>
      <c r="J90" s="53">
        <f t="shared" si="10"/>
        <v>0</v>
      </c>
      <c r="K90" s="53">
        <f t="shared" si="11"/>
        <v>-2147803900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670</v>
      </c>
      <c r="H91" s="36">
        <f t="shared" si="8"/>
        <v>0</v>
      </c>
      <c r="I91" s="11">
        <f t="shared" si="9"/>
        <v>-2144603000</v>
      </c>
      <c r="J91" s="53">
        <f t="shared" si="10"/>
        <v>0</v>
      </c>
      <c r="K91" s="53">
        <f t="shared" si="11"/>
        <v>-2144603000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669</v>
      </c>
      <c r="H92" s="36">
        <f t="shared" si="8"/>
        <v>0</v>
      </c>
      <c r="I92" s="11">
        <f t="shared" si="9"/>
        <v>-2141402100</v>
      </c>
      <c r="J92" s="53">
        <f t="shared" si="10"/>
        <v>0</v>
      </c>
      <c r="K92" s="53">
        <f t="shared" si="11"/>
        <v>-2141402100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668</v>
      </c>
      <c r="H93" s="36">
        <f t="shared" si="8"/>
        <v>0</v>
      </c>
      <c r="I93" s="11">
        <f t="shared" si="9"/>
        <v>-2138201200</v>
      </c>
      <c r="J93" s="53">
        <f t="shared" si="10"/>
        <v>0</v>
      </c>
      <c r="K93" s="53">
        <f t="shared" si="11"/>
        <v>-2138201200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667</v>
      </c>
      <c r="H94" s="36">
        <f t="shared" si="8"/>
        <v>0</v>
      </c>
      <c r="I94" s="11">
        <f t="shared" si="9"/>
        <v>-2135000300</v>
      </c>
      <c r="J94" s="53">
        <f t="shared" si="10"/>
        <v>0</v>
      </c>
      <c r="K94" s="53">
        <f t="shared" si="11"/>
        <v>-2135000300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665</v>
      </c>
      <c r="H95" s="36">
        <f t="shared" si="8"/>
        <v>0</v>
      </c>
      <c r="I95" s="11">
        <f t="shared" si="9"/>
        <v>-795736340</v>
      </c>
      <c r="J95" s="53">
        <f t="shared" si="10"/>
        <v>0</v>
      </c>
      <c r="K95" s="53">
        <f t="shared" si="11"/>
        <v>-795736340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655</v>
      </c>
      <c r="H96" s="36">
        <f t="shared" si="8"/>
        <v>0</v>
      </c>
      <c r="I96" s="11">
        <f t="shared" si="9"/>
        <v>-131000000</v>
      </c>
      <c r="J96" s="53">
        <f t="shared" si="10"/>
        <v>0</v>
      </c>
      <c r="K96" s="53">
        <f t="shared" si="11"/>
        <v>-131000000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654</v>
      </c>
      <c r="H97" s="36">
        <f t="shared" si="8"/>
        <v>1</v>
      </c>
      <c r="I97" s="11">
        <f t="shared" si="9"/>
        <v>104191374</v>
      </c>
      <c r="J97" s="53">
        <f t="shared" si="10"/>
        <v>45008678</v>
      </c>
      <c r="K97" s="53">
        <f t="shared" si="11"/>
        <v>59182696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649</v>
      </c>
      <c r="H98" s="36">
        <f t="shared" si="8"/>
        <v>1</v>
      </c>
      <c r="I98" s="11">
        <f t="shared" si="9"/>
        <v>74110464</v>
      </c>
      <c r="J98" s="53">
        <f t="shared" si="10"/>
        <v>0</v>
      </c>
      <c r="K98" s="53">
        <f t="shared" si="11"/>
        <v>74110464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646</v>
      </c>
      <c r="H99" s="36">
        <f t="shared" si="8"/>
        <v>0</v>
      </c>
      <c r="I99" s="11">
        <f t="shared" si="9"/>
        <v>-855950000</v>
      </c>
      <c r="J99" s="53">
        <f t="shared" si="10"/>
        <v>0</v>
      </c>
      <c r="K99" s="53">
        <f t="shared" si="11"/>
        <v>-855950000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641</v>
      </c>
      <c r="H100" s="36">
        <f t="shared" si="8"/>
        <v>1</v>
      </c>
      <c r="I100" s="11">
        <f t="shared" si="9"/>
        <v>848000000</v>
      </c>
      <c r="J100" s="53">
        <f t="shared" si="10"/>
        <v>0</v>
      </c>
      <c r="K100" s="53">
        <f t="shared" si="11"/>
        <v>848000000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624</v>
      </c>
      <c r="H101" s="36">
        <f t="shared" si="8"/>
        <v>1</v>
      </c>
      <c r="I101" s="11">
        <f t="shared" si="9"/>
        <v>41644435</v>
      </c>
      <c r="J101" s="53">
        <f t="shared" si="10"/>
        <v>41644435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621</v>
      </c>
      <c r="H102" s="36">
        <f t="shared" si="8"/>
        <v>1</v>
      </c>
      <c r="I102" s="11">
        <f t="shared" si="9"/>
        <v>1860000000</v>
      </c>
      <c r="J102" s="53">
        <f t="shared" si="10"/>
        <v>0</v>
      </c>
      <c r="K102" s="53">
        <f t="shared" si="11"/>
        <v>1860000000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614</v>
      </c>
      <c r="H103" s="36">
        <f t="shared" si="8"/>
        <v>0</v>
      </c>
      <c r="I103" s="11">
        <f t="shared" si="9"/>
        <v>-614000000</v>
      </c>
      <c r="J103" s="53">
        <f t="shared" si="10"/>
        <v>-614000000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604</v>
      </c>
      <c r="H104" s="36">
        <f t="shared" si="8"/>
        <v>1</v>
      </c>
      <c r="I104" s="11">
        <f t="shared" si="9"/>
        <v>1809000000</v>
      </c>
      <c r="J104" s="53">
        <f t="shared" si="10"/>
        <v>1809000000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603</v>
      </c>
      <c r="H105" s="36">
        <f t="shared" si="8"/>
        <v>1</v>
      </c>
      <c r="I105" s="11">
        <f t="shared" si="9"/>
        <v>674240000</v>
      </c>
      <c r="J105" s="53">
        <f t="shared" si="10"/>
        <v>674240000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603</v>
      </c>
      <c r="H106" s="36">
        <f t="shared" si="8"/>
        <v>0</v>
      </c>
      <c r="I106" s="11">
        <f t="shared" si="9"/>
        <v>-1809000000</v>
      </c>
      <c r="J106" s="53">
        <f t="shared" si="10"/>
        <v>0</v>
      </c>
      <c r="K106" s="53">
        <f t="shared" si="11"/>
        <v>-1809000000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594</v>
      </c>
      <c r="H107" s="36">
        <f t="shared" si="8"/>
        <v>1</v>
      </c>
      <c r="I107" s="11">
        <f t="shared" si="9"/>
        <v>53662942</v>
      </c>
      <c r="J107" s="53">
        <f t="shared" si="10"/>
        <v>44543195</v>
      </c>
      <c r="K107" s="53">
        <f t="shared" si="11"/>
        <v>9119747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592</v>
      </c>
      <c r="H108" s="36">
        <f t="shared" si="8"/>
        <v>0</v>
      </c>
      <c r="I108" s="11">
        <f t="shared" si="9"/>
        <v>-1006814400</v>
      </c>
      <c r="J108" s="53">
        <f t="shared" si="10"/>
        <v>0</v>
      </c>
      <c r="K108" s="53">
        <f t="shared" si="11"/>
        <v>-1006814400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588</v>
      </c>
      <c r="H109" s="36">
        <f t="shared" si="8"/>
        <v>0</v>
      </c>
      <c r="I109" s="11">
        <f t="shared" si="9"/>
        <v>-588294000</v>
      </c>
      <c r="J109" s="53">
        <f t="shared" si="10"/>
        <v>0</v>
      </c>
      <c r="K109" s="53">
        <f t="shared" si="11"/>
        <v>-588294000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585</v>
      </c>
      <c r="H110" s="36">
        <f t="shared" si="8"/>
        <v>1</v>
      </c>
      <c r="I110" s="11">
        <f t="shared" si="9"/>
        <v>11680000000</v>
      </c>
      <c r="J110" s="53">
        <f t="shared" si="10"/>
        <v>0</v>
      </c>
      <c r="K110" s="53">
        <f t="shared" si="11"/>
        <v>11680000000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565</v>
      </c>
      <c r="H111" s="36">
        <f t="shared" si="8"/>
        <v>1</v>
      </c>
      <c r="I111" s="11">
        <f t="shared" si="9"/>
        <v>98518392</v>
      </c>
      <c r="J111" s="53">
        <f t="shared" si="10"/>
        <v>49272732</v>
      </c>
      <c r="K111" s="53">
        <f t="shared" si="11"/>
        <v>49245660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549</v>
      </c>
      <c r="H112" s="36">
        <f t="shared" si="8"/>
        <v>0</v>
      </c>
      <c r="I112" s="11">
        <f t="shared" si="9"/>
        <v>-15591600000</v>
      </c>
      <c r="J112" s="53">
        <f t="shared" si="10"/>
        <v>0</v>
      </c>
      <c r="K112" s="53">
        <f t="shared" si="11"/>
        <v>-15591600000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534</v>
      </c>
      <c r="H113" s="36">
        <f t="shared" si="8"/>
        <v>1</v>
      </c>
      <c r="I113" s="11">
        <f t="shared" si="9"/>
        <v>86900320</v>
      </c>
      <c r="J113" s="53">
        <f t="shared" si="10"/>
        <v>65298363</v>
      </c>
      <c r="K113" s="53">
        <f t="shared" si="11"/>
        <v>21601957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534</v>
      </c>
      <c r="H114" s="36">
        <f t="shared" si="8"/>
        <v>0</v>
      </c>
      <c r="I114" s="11">
        <f t="shared" si="9"/>
        <v>-3043800</v>
      </c>
      <c r="J114" s="53">
        <f t="shared" si="10"/>
        <v>-1335000</v>
      </c>
      <c r="K114" s="53">
        <f t="shared" si="11"/>
        <v>-1708800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521</v>
      </c>
      <c r="H115" s="36">
        <f t="shared" si="8"/>
        <v>0</v>
      </c>
      <c r="I115" s="11">
        <f t="shared" si="9"/>
        <v>0</v>
      </c>
      <c r="J115" s="53">
        <f t="shared" si="10"/>
        <v>260500000</v>
      </c>
      <c r="K115" s="53">
        <f t="shared" si="11"/>
        <v>-260500000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513</v>
      </c>
      <c r="H116" s="36">
        <f t="shared" si="8"/>
        <v>0</v>
      </c>
      <c r="I116" s="11">
        <f t="shared" si="9"/>
        <v>-82080000</v>
      </c>
      <c r="J116" s="53">
        <f t="shared" si="10"/>
        <v>0</v>
      </c>
      <c r="K116" s="53">
        <f t="shared" si="11"/>
        <v>-82080000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504</v>
      </c>
      <c r="H117" s="36">
        <f t="shared" si="8"/>
        <v>1</v>
      </c>
      <c r="I117" s="11">
        <f t="shared" si="9"/>
        <v>744440</v>
      </c>
      <c r="J117" s="53">
        <f t="shared" si="10"/>
        <v>53791323</v>
      </c>
      <c r="K117" s="53">
        <f t="shared" si="11"/>
        <v>-53046883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482</v>
      </c>
      <c r="H118" s="36">
        <f t="shared" si="8"/>
        <v>1</v>
      </c>
      <c r="I118" s="11">
        <f t="shared" si="9"/>
        <v>18951159500</v>
      </c>
      <c r="J118" s="53">
        <f t="shared" si="10"/>
        <v>0</v>
      </c>
      <c r="K118" s="53">
        <f t="shared" si="11"/>
        <v>18951159500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473</v>
      </c>
      <c r="H119" s="36">
        <f t="shared" si="8"/>
        <v>1</v>
      </c>
      <c r="I119" s="11">
        <f t="shared" si="9"/>
        <v>45085912</v>
      </c>
      <c r="J119" s="53">
        <f t="shared" si="10"/>
        <v>51945488</v>
      </c>
      <c r="K119" s="53">
        <f t="shared" si="11"/>
        <v>-6859576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469</v>
      </c>
      <c r="H120" s="11">
        <f t="shared" si="8"/>
        <v>1</v>
      </c>
      <c r="I120" s="11">
        <f t="shared" ref="I120:I266" si="13">B120*(G120-H120)</f>
        <v>936000000</v>
      </c>
      <c r="J120" s="11">
        <f t="shared" si="10"/>
        <v>0</v>
      </c>
      <c r="K120" s="11">
        <f t="shared" si="11"/>
        <v>936000000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443</v>
      </c>
      <c r="H121" s="11">
        <f t="shared" si="8"/>
        <v>1</v>
      </c>
      <c r="I121" s="11">
        <f t="shared" si="13"/>
        <v>1149200000</v>
      </c>
      <c r="J121" s="11">
        <f t="shared" si="10"/>
        <v>0</v>
      </c>
      <c r="K121" s="11">
        <f t="shared" si="11"/>
        <v>1149200000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442</v>
      </c>
      <c r="H122" s="11">
        <f t="shared" si="8"/>
        <v>1</v>
      </c>
      <c r="I122" s="11">
        <f t="shared" si="13"/>
        <v>169586991</v>
      </c>
      <c r="J122" s="11">
        <f t="shared" si="10"/>
        <v>48910428</v>
      </c>
      <c r="K122" s="11">
        <f t="shared" si="11"/>
        <v>120676563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441</v>
      </c>
      <c r="H123" s="11">
        <f t="shared" si="8"/>
        <v>0</v>
      </c>
      <c r="I123" s="11">
        <f t="shared" si="13"/>
        <v>0</v>
      </c>
      <c r="J123" s="11">
        <f t="shared" si="10"/>
        <v>352800000</v>
      </c>
      <c r="K123" s="11">
        <f t="shared" si="11"/>
        <v>-352800000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427</v>
      </c>
      <c r="H124" s="11">
        <f t="shared" si="8"/>
        <v>0</v>
      </c>
      <c r="I124" s="11">
        <f t="shared" si="13"/>
        <v>-1281000000</v>
      </c>
      <c r="J124" s="11">
        <f t="shared" si="10"/>
        <v>0</v>
      </c>
      <c r="K124" s="11">
        <f t="shared" si="11"/>
        <v>-1281000000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412</v>
      </c>
      <c r="H125" s="11">
        <f t="shared" si="8"/>
        <v>1</v>
      </c>
      <c r="I125" s="11">
        <f t="shared" si="13"/>
        <v>164691810</v>
      </c>
      <c r="J125" s="11">
        <f t="shared" si="10"/>
        <v>48857625</v>
      </c>
      <c r="K125" s="11">
        <f t="shared" si="11"/>
        <v>115834185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412</v>
      </c>
      <c r="H126" s="11">
        <f t="shared" si="8"/>
        <v>1</v>
      </c>
      <c r="I126" s="11">
        <f t="shared" si="13"/>
        <v>17262000000</v>
      </c>
      <c r="J126" s="11">
        <f t="shared" si="10"/>
        <v>0</v>
      </c>
      <c r="K126" s="11">
        <f t="shared" si="11"/>
        <v>17262000000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387</v>
      </c>
      <c r="H127" s="11">
        <f t="shared" si="8"/>
        <v>0</v>
      </c>
      <c r="I127" s="11">
        <f t="shared" si="13"/>
        <v>-1935000</v>
      </c>
      <c r="J127" s="11">
        <f t="shared" si="10"/>
        <v>0</v>
      </c>
      <c r="K127" s="11">
        <f t="shared" si="11"/>
        <v>-1935000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381</v>
      </c>
      <c r="H128" s="11">
        <f t="shared" si="8"/>
        <v>1</v>
      </c>
      <c r="I128" s="11">
        <f t="shared" si="13"/>
        <v>293122120</v>
      </c>
      <c r="J128" s="11">
        <f t="shared" si="10"/>
        <v>45864860</v>
      </c>
      <c r="K128" s="11">
        <f t="shared" si="11"/>
        <v>247257260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378</v>
      </c>
      <c r="H129" s="11">
        <f t="shared" si="8"/>
        <v>1</v>
      </c>
      <c r="I129" s="11">
        <f t="shared" si="13"/>
        <v>942500000</v>
      </c>
      <c r="J129" s="11">
        <f t="shared" si="10"/>
        <v>0</v>
      </c>
      <c r="K129" s="11">
        <f t="shared" si="11"/>
        <v>942500000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364</v>
      </c>
      <c r="H130" s="11">
        <f t="shared" si="8"/>
        <v>0</v>
      </c>
      <c r="I130" s="11">
        <f t="shared" si="13"/>
        <v>-364000000</v>
      </c>
      <c r="J130" s="11">
        <f t="shared" si="10"/>
        <v>-364000000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359</v>
      </c>
      <c r="H131" s="11">
        <f t="shared" si="8"/>
        <v>0</v>
      </c>
      <c r="I131" s="11">
        <f t="shared" si="13"/>
        <v>-17950000000</v>
      </c>
      <c r="J131" s="11">
        <f t="shared" si="10"/>
        <v>0</v>
      </c>
      <c r="K131" s="11">
        <f t="shared" si="11"/>
        <v>-17950000000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351</v>
      </c>
      <c r="H132" s="11">
        <f t="shared" ref="H132:H266" si="15">IF(B132&gt;0,1,0)</f>
        <v>1</v>
      </c>
      <c r="I132" s="11">
        <f t="shared" si="13"/>
        <v>215000450</v>
      </c>
      <c r="J132" s="11">
        <f t="shared" ref="J132:J206" si="16">C132*(G132-H132)</f>
        <v>37089850</v>
      </c>
      <c r="K132" s="11">
        <f t="shared" ref="K132:K266" si="17">D132*(G132-H132)</f>
        <v>177910600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347</v>
      </c>
      <c r="H133" s="11">
        <f t="shared" si="15"/>
        <v>0</v>
      </c>
      <c r="I133" s="11">
        <f t="shared" si="13"/>
        <v>-420112900</v>
      </c>
      <c r="J133" s="11">
        <f t="shared" si="16"/>
        <v>0</v>
      </c>
      <c r="K133" s="11">
        <f t="shared" si="17"/>
        <v>-420112900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338</v>
      </c>
      <c r="H134" s="11">
        <f t="shared" si="15"/>
        <v>0</v>
      </c>
      <c r="I134" s="11">
        <f t="shared" si="13"/>
        <v>-21970000</v>
      </c>
      <c r="J134" s="11">
        <f t="shared" si="16"/>
        <v>0</v>
      </c>
      <c r="K134" s="11">
        <f t="shared" si="17"/>
        <v>-21970000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338</v>
      </c>
      <c r="H135" s="11">
        <f t="shared" si="15"/>
        <v>0</v>
      </c>
      <c r="I135" s="11">
        <f t="shared" si="13"/>
        <v>-10917400</v>
      </c>
      <c r="J135" s="11">
        <f t="shared" si="16"/>
        <v>0</v>
      </c>
      <c r="K135" s="11">
        <f t="shared" si="17"/>
        <v>-10917400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330</v>
      </c>
      <c r="H136" s="11">
        <f t="shared" si="15"/>
        <v>0</v>
      </c>
      <c r="I136" s="11">
        <f t="shared" si="13"/>
        <v>-330000000</v>
      </c>
      <c r="J136" s="11">
        <f t="shared" si="16"/>
        <v>-330000000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321</v>
      </c>
      <c r="H137" s="11">
        <f t="shared" si="15"/>
        <v>1</v>
      </c>
      <c r="I137" s="11">
        <f t="shared" si="13"/>
        <v>93079360</v>
      </c>
      <c r="J137" s="11">
        <f t="shared" si="16"/>
        <v>31154880</v>
      </c>
      <c r="K137" s="11">
        <f t="shared" si="17"/>
        <v>61924480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304</v>
      </c>
      <c r="H138" s="11">
        <f t="shared" si="15"/>
        <v>0</v>
      </c>
      <c r="I138" s="11">
        <f t="shared" si="13"/>
        <v>-304152000</v>
      </c>
      <c r="J138" s="11">
        <f t="shared" si="16"/>
        <v>-304152000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292</v>
      </c>
      <c r="H139" s="11">
        <f t="shared" si="15"/>
        <v>1</v>
      </c>
      <c r="I139" s="11">
        <f t="shared" si="13"/>
        <v>82131840</v>
      </c>
      <c r="J139" s="11">
        <f t="shared" si="16"/>
        <v>25842837</v>
      </c>
      <c r="K139" s="11">
        <f t="shared" si="17"/>
        <v>56289003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289</v>
      </c>
      <c r="H140" s="11">
        <f t="shared" si="15"/>
        <v>1</v>
      </c>
      <c r="I140" s="11">
        <f t="shared" si="13"/>
        <v>432000000</v>
      </c>
      <c r="J140" s="11">
        <f t="shared" si="16"/>
        <v>0</v>
      </c>
      <c r="K140" s="11">
        <f t="shared" si="17"/>
        <v>432000000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276</v>
      </c>
      <c r="H141" s="11">
        <f t="shared" si="15"/>
        <v>0</v>
      </c>
      <c r="I141" s="11">
        <f t="shared" si="13"/>
        <v>0</v>
      </c>
      <c r="J141" s="11">
        <f t="shared" si="16"/>
        <v>-276000000</v>
      </c>
      <c r="K141" s="11">
        <f t="shared" si="17"/>
        <v>276000000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262</v>
      </c>
      <c r="H142" s="11">
        <f t="shared" si="15"/>
        <v>1</v>
      </c>
      <c r="I142" s="11">
        <f t="shared" si="13"/>
        <v>75923073</v>
      </c>
      <c r="J142" s="11">
        <f t="shared" si="16"/>
        <v>21146742</v>
      </c>
      <c r="K142" s="11">
        <f t="shared" si="17"/>
        <v>54776331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242</v>
      </c>
      <c r="H143" s="11">
        <f t="shared" si="15"/>
        <v>0</v>
      </c>
      <c r="I143" s="11">
        <f t="shared" si="13"/>
        <v>0</v>
      </c>
      <c r="J143" s="11">
        <f t="shared" si="16"/>
        <v>-242000000</v>
      </c>
      <c r="K143" s="11">
        <f t="shared" si="17"/>
        <v>242000000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232</v>
      </c>
      <c r="H144" s="11">
        <f t="shared" si="15"/>
        <v>1</v>
      </c>
      <c r="I144" s="11">
        <f t="shared" si="13"/>
        <v>68110812</v>
      </c>
      <c r="J144" s="11">
        <f t="shared" si="16"/>
        <v>17245767</v>
      </c>
      <c r="K144" s="11">
        <f t="shared" si="17"/>
        <v>50865045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217</v>
      </c>
      <c r="H145" s="11">
        <f t="shared" si="15"/>
        <v>0</v>
      </c>
      <c r="I145" s="11">
        <f t="shared" si="13"/>
        <v>-2170000</v>
      </c>
      <c r="J145" s="11">
        <f t="shared" si="16"/>
        <v>-1085000</v>
      </c>
      <c r="K145" s="11">
        <f t="shared" si="17"/>
        <v>-1085000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212</v>
      </c>
      <c r="H146" s="11">
        <f t="shared" si="15"/>
        <v>0</v>
      </c>
      <c r="I146" s="11">
        <f t="shared" si="13"/>
        <v>-212106000</v>
      </c>
      <c r="J146" s="11">
        <f t="shared" si="16"/>
        <v>-212106000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206</v>
      </c>
      <c r="H147" s="11">
        <f t="shared" si="15"/>
        <v>0</v>
      </c>
      <c r="I147" s="11">
        <f t="shared" si="13"/>
        <v>-5562000000</v>
      </c>
      <c r="J147" s="11">
        <f t="shared" si="16"/>
        <v>0</v>
      </c>
      <c r="K147" s="11">
        <f t="shared" si="17"/>
        <v>-5562000000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203</v>
      </c>
      <c r="H148" s="11">
        <f t="shared" si="15"/>
        <v>1</v>
      </c>
      <c r="I148" s="11">
        <f t="shared" si="13"/>
        <v>50992072</v>
      </c>
      <c r="J148" s="11">
        <f t="shared" si="16"/>
        <v>13233020</v>
      </c>
      <c r="K148" s="11">
        <f t="shared" si="17"/>
        <v>37759052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195</v>
      </c>
      <c r="H149" s="11">
        <f t="shared" si="15"/>
        <v>1</v>
      </c>
      <c r="I149" s="11">
        <f t="shared" si="13"/>
        <v>10165600000</v>
      </c>
      <c r="J149" s="11">
        <f t="shared" si="16"/>
        <v>0</v>
      </c>
      <c r="K149" s="11">
        <f t="shared" si="17"/>
        <v>10165600000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188</v>
      </c>
      <c r="H150" s="11">
        <f t="shared" si="15"/>
        <v>0</v>
      </c>
      <c r="I150" s="11">
        <f t="shared" si="13"/>
        <v>-9776000000</v>
      </c>
      <c r="J150" s="11">
        <f t="shared" si="16"/>
        <v>0</v>
      </c>
      <c r="K150" s="11">
        <f t="shared" si="17"/>
        <v>-9776000000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183</v>
      </c>
      <c r="H151" s="103">
        <f t="shared" si="15"/>
        <v>0</v>
      </c>
      <c r="I151" s="103">
        <f t="shared" si="13"/>
        <v>-1464000000</v>
      </c>
      <c r="J151" s="103">
        <f t="shared" si="16"/>
        <v>-1239299973</v>
      </c>
      <c r="K151" s="11">
        <f t="shared" si="17"/>
        <v>-224700027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183</v>
      </c>
      <c r="H152" s="103">
        <f t="shared" si="15"/>
        <v>0</v>
      </c>
      <c r="I152" s="103">
        <f t="shared" si="13"/>
        <v>-5715090</v>
      </c>
      <c r="J152" s="103">
        <f t="shared" si="16"/>
        <v>0</v>
      </c>
      <c r="K152" s="103">
        <f t="shared" si="17"/>
        <v>-5715090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172</v>
      </c>
      <c r="H153" s="103">
        <f t="shared" si="15"/>
        <v>1</v>
      </c>
      <c r="I153" s="103">
        <f t="shared" si="13"/>
        <v>23099877</v>
      </c>
      <c r="J153" s="103">
        <f t="shared" si="16"/>
        <v>7033230</v>
      </c>
      <c r="K153" s="103">
        <f t="shared" si="17"/>
        <v>16066647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169</v>
      </c>
      <c r="H154" s="103">
        <f t="shared" si="15"/>
        <v>1</v>
      </c>
      <c r="I154" s="103">
        <f t="shared" si="13"/>
        <v>1146445776</v>
      </c>
      <c r="J154" s="103">
        <f t="shared" si="16"/>
        <v>1146445776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164</v>
      </c>
      <c r="H155" s="103">
        <f t="shared" si="15"/>
        <v>0</v>
      </c>
      <c r="I155" s="103">
        <f t="shared" si="13"/>
        <v>-32800000</v>
      </c>
      <c r="J155" s="103">
        <f t="shared" si="16"/>
        <v>0</v>
      </c>
      <c r="K155" s="103">
        <f t="shared" si="17"/>
        <v>-32800000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164</v>
      </c>
      <c r="H156" s="103">
        <f t="shared" si="15"/>
        <v>0</v>
      </c>
      <c r="I156" s="103">
        <f t="shared" si="13"/>
        <v>-40645760</v>
      </c>
      <c r="J156" s="103">
        <f t="shared" si="16"/>
        <v>0</v>
      </c>
      <c r="K156" s="103">
        <f t="shared" si="17"/>
        <v>-40645760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163</v>
      </c>
      <c r="H157" s="103">
        <f t="shared" si="15"/>
        <v>0</v>
      </c>
      <c r="I157" s="103">
        <f t="shared" si="13"/>
        <v>-26461420</v>
      </c>
      <c r="J157" s="103">
        <f t="shared" si="16"/>
        <v>0</v>
      </c>
      <c r="K157" s="103">
        <f t="shared" si="17"/>
        <v>-26461420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163</v>
      </c>
      <c r="H158" s="103">
        <f t="shared" si="15"/>
        <v>0</v>
      </c>
      <c r="I158" s="103">
        <f t="shared" si="13"/>
        <v>-489146700</v>
      </c>
      <c r="J158" s="103">
        <f t="shared" si="16"/>
        <v>0</v>
      </c>
      <c r="K158" s="103">
        <f t="shared" si="17"/>
        <v>-489146700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161</v>
      </c>
      <c r="H159" s="103">
        <f t="shared" si="15"/>
        <v>0</v>
      </c>
      <c r="I159" s="103">
        <f t="shared" si="13"/>
        <v>-161080500</v>
      </c>
      <c r="J159" s="103">
        <f t="shared" si="16"/>
        <v>0</v>
      </c>
      <c r="K159" s="103">
        <f t="shared" si="17"/>
        <v>-161080500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157</v>
      </c>
      <c r="H160" s="103">
        <f t="shared" si="15"/>
        <v>0</v>
      </c>
      <c r="I160" s="103">
        <f t="shared" si="13"/>
        <v>-15700000</v>
      </c>
      <c r="J160" s="103">
        <f t="shared" si="16"/>
        <v>0</v>
      </c>
      <c r="K160" s="103">
        <f t="shared" si="17"/>
        <v>-15700000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156</v>
      </c>
      <c r="H161" s="103">
        <f t="shared" si="15"/>
        <v>0</v>
      </c>
      <c r="I161" s="103">
        <f t="shared" si="13"/>
        <v>-312000000</v>
      </c>
      <c r="J161" s="103">
        <f t="shared" si="16"/>
        <v>0</v>
      </c>
      <c r="K161" s="103">
        <f t="shared" si="17"/>
        <v>-312000000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156</v>
      </c>
      <c r="H162" s="103">
        <f t="shared" si="15"/>
        <v>0</v>
      </c>
      <c r="I162" s="103">
        <f t="shared" si="13"/>
        <v>-156078000</v>
      </c>
      <c r="J162" s="103">
        <f t="shared" si="16"/>
        <v>0</v>
      </c>
      <c r="K162" s="103">
        <f t="shared" si="17"/>
        <v>-156078000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153</v>
      </c>
      <c r="H163" s="103">
        <f t="shared" si="15"/>
        <v>0</v>
      </c>
      <c r="I163" s="103">
        <f t="shared" si="13"/>
        <v>-765000</v>
      </c>
      <c r="J163" s="103">
        <f t="shared" si="16"/>
        <v>0</v>
      </c>
      <c r="K163" s="103">
        <f t="shared" si="17"/>
        <v>-765000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143</v>
      </c>
      <c r="H164" s="103">
        <f t="shared" si="15"/>
        <v>1</v>
      </c>
      <c r="I164" s="103">
        <f t="shared" si="13"/>
        <v>426000000</v>
      </c>
      <c r="J164" s="103">
        <f t="shared" si="16"/>
        <v>0</v>
      </c>
      <c r="K164" s="103">
        <f t="shared" si="17"/>
        <v>426000000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142</v>
      </c>
      <c r="H165" s="103">
        <f t="shared" si="15"/>
        <v>1</v>
      </c>
      <c r="I165" s="103">
        <f t="shared" si="13"/>
        <v>423000000</v>
      </c>
      <c r="J165" s="103">
        <f t="shared" si="16"/>
        <v>0</v>
      </c>
      <c r="K165" s="103">
        <f t="shared" si="17"/>
        <v>423000000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141</v>
      </c>
      <c r="H166" s="103">
        <f t="shared" si="15"/>
        <v>1</v>
      </c>
      <c r="I166" s="103">
        <f t="shared" si="13"/>
        <v>2843960</v>
      </c>
      <c r="J166" s="103">
        <f t="shared" si="16"/>
        <v>8377880</v>
      </c>
      <c r="K166" s="103">
        <f t="shared" si="17"/>
        <v>-5533920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136</v>
      </c>
      <c r="H167" s="103">
        <f t="shared" si="15"/>
        <v>0</v>
      </c>
      <c r="I167" s="103">
        <f t="shared" si="13"/>
        <v>-408122400</v>
      </c>
      <c r="J167" s="103">
        <f t="shared" si="16"/>
        <v>0</v>
      </c>
      <c r="K167" s="103">
        <f t="shared" si="17"/>
        <v>-408122400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118</v>
      </c>
      <c r="H168" s="103">
        <f t="shared" si="15"/>
        <v>0</v>
      </c>
      <c r="I168" s="103">
        <f t="shared" si="13"/>
        <v>-354106200</v>
      </c>
      <c r="J168" s="103">
        <f t="shared" si="16"/>
        <v>0</v>
      </c>
      <c r="K168" s="103">
        <f t="shared" si="17"/>
        <v>-354106200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110</v>
      </c>
      <c r="H169" s="103">
        <f t="shared" si="15"/>
        <v>1</v>
      </c>
      <c r="I169" s="103">
        <f t="shared" si="13"/>
        <v>2365845</v>
      </c>
      <c r="J169" s="103">
        <f t="shared" si="16"/>
        <v>7468135</v>
      </c>
      <c r="K169" s="103">
        <f t="shared" si="17"/>
        <v>-5102290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86</v>
      </c>
      <c r="H170" s="103">
        <f t="shared" si="15"/>
        <v>1</v>
      </c>
      <c r="I170" s="103">
        <f t="shared" si="13"/>
        <v>425000000</v>
      </c>
      <c r="J170" s="103">
        <f t="shared" si="16"/>
        <v>0</v>
      </c>
      <c r="K170" s="103">
        <f t="shared" si="17"/>
        <v>425000000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85</v>
      </c>
      <c r="H171" s="103">
        <f t="shared" si="15"/>
        <v>0</v>
      </c>
      <c r="I171" s="103">
        <f t="shared" si="13"/>
        <v>-425000000</v>
      </c>
      <c r="J171" s="103">
        <f t="shared" si="16"/>
        <v>0</v>
      </c>
      <c r="K171" s="103">
        <f t="shared" si="17"/>
        <v>-425000000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79</v>
      </c>
      <c r="H172" s="103">
        <f t="shared" si="15"/>
        <v>1</v>
      </c>
      <c r="I172" s="103">
        <f t="shared" si="13"/>
        <v>38688</v>
      </c>
      <c r="J172" s="103">
        <f t="shared" si="16"/>
        <v>4889118</v>
      </c>
      <c r="K172" s="103">
        <f t="shared" si="17"/>
        <v>-4850430</v>
      </c>
    </row>
    <row r="173" spans="1:13" x14ac:dyDescent="0.25">
      <c r="A173" s="103" t="s">
        <v>4019</v>
      </c>
      <c r="B173" s="18">
        <v>785000</v>
      </c>
      <c r="C173" s="18">
        <v>0</v>
      </c>
      <c r="D173" s="18">
        <f t="shared" si="18"/>
        <v>785000</v>
      </c>
      <c r="E173" s="103" t="s">
        <v>4020</v>
      </c>
      <c r="F173" s="103">
        <v>11</v>
      </c>
      <c r="G173" s="36">
        <f t="shared" si="14"/>
        <v>78</v>
      </c>
      <c r="H173" s="103">
        <f t="shared" si="15"/>
        <v>1</v>
      </c>
      <c r="I173" s="103">
        <f t="shared" si="13"/>
        <v>60445000</v>
      </c>
      <c r="J173" s="103">
        <f t="shared" si="16"/>
        <v>0</v>
      </c>
      <c r="K173" s="103">
        <f t="shared" si="17"/>
        <v>60445000</v>
      </c>
    </row>
    <row r="174" spans="1:13" x14ac:dyDescent="0.25">
      <c r="A174" s="11" t="s">
        <v>4019</v>
      </c>
      <c r="B174" s="18">
        <v>-32000</v>
      </c>
      <c r="C174" s="18">
        <v>0</v>
      </c>
      <c r="D174" s="18">
        <f t="shared" si="18"/>
        <v>-32000</v>
      </c>
      <c r="E174" s="11" t="s">
        <v>4002</v>
      </c>
      <c r="F174" s="11">
        <v>2</v>
      </c>
      <c r="G174" s="36">
        <f t="shared" si="14"/>
        <v>67</v>
      </c>
      <c r="H174" s="103">
        <f t="shared" si="15"/>
        <v>0</v>
      </c>
      <c r="I174" s="103">
        <f t="shared" si="13"/>
        <v>-2144000</v>
      </c>
      <c r="J174" s="103">
        <f t="shared" si="16"/>
        <v>0</v>
      </c>
      <c r="K174" s="103">
        <f t="shared" si="17"/>
        <v>-2144000</v>
      </c>
    </row>
    <row r="175" spans="1:13" x14ac:dyDescent="0.25">
      <c r="A175" s="103" t="s">
        <v>4021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65</v>
      </c>
      <c r="H175" s="103">
        <f t="shared" si="15"/>
        <v>0</v>
      </c>
      <c r="I175" s="103">
        <f t="shared" si="13"/>
        <v>-48750000</v>
      </c>
      <c r="J175" s="103">
        <f t="shared" si="16"/>
        <v>0</v>
      </c>
      <c r="K175" s="103">
        <f t="shared" si="17"/>
        <v>-48750000</v>
      </c>
    </row>
    <row r="176" spans="1:13" x14ac:dyDescent="0.25">
      <c r="A176" s="103" t="s">
        <v>4053</v>
      </c>
      <c r="B176" s="18">
        <v>-9396</v>
      </c>
      <c r="C176" s="18">
        <v>0</v>
      </c>
      <c r="D176" s="18">
        <f t="shared" si="18"/>
        <v>-9396</v>
      </c>
      <c r="E176" s="103" t="s">
        <v>4054</v>
      </c>
      <c r="F176" s="103">
        <v>1</v>
      </c>
      <c r="G176" s="36">
        <f t="shared" si="14"/>
        <v>56</v>
      </c>
      <c r="H176" s="103">
        <f t="shared" si="15"/>
        <v>0</v>
      </c>
      <c r="I176" s="103">
        <f t="shared" si="13"/>
        <v>-526176</v>
      </c>
      <c r="J176" s="103">
        <f t="shared" si="16"/>
        <v>0</v>
      </c>
      <c r="K176" s="103">
        <f t="shared" si="17"/>
        <v>-526176</v>
      </c>
    </row>
    <row r="177" spans="1:14" x14ac:dyDescent="0.25">
      <c r="A177" s="103" t="s">
        <v>4057</v>
      </c>
      <c r="B177" s="18">
        <v>-43300</v>
      </c>
      <c r="C177" s="18">
        <v>0</v>
      </c>
      <c r="D177" s="18">
        <f t="shared" si="18"/>
        <v>-43300</v>
      </c>
      <c r="E177" s="103" t="s">
        <v>4059</v>
      </c>
      <c r="F177" s="103">
        <v>3</v>
      </c>
      <c r="G177" s="36">
        <f t="shared" si="14"/>
        <v>55</v>
      </c>
      <c r="H177" s="103">
        <f t="shared" si="15"/>
        <v>0</v>
      </c>
      <c r="I177" s="103">
        <f t="shared" si="13"/>
        <v>-2381500</v>
      </c>
      <c r="J177" s="103">
        <f t="shared" si="16"/>
        <v>0</v>
      </c>
      <c r="K177" s="103">
        <f t="shared" si="17"/>
        <v>-2381500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4070</v>
      </c>
      <c r="F178" s="103">
        <v>2</v>
      </c>
      <c r="G178" s="36">
        <f t="shared" si="14"/>
        <v>52</v>
      </c>
      <c r="H178" s="103">
        <f t="shared" si="15"/>
        <v>1</v>
      </c>
      <c r="I178" s="103">
        <f t="shared" si="13"/>
        <v>18360000</v>
      </c>
      <c r="J178" s="103">
        <f t="shared" si="16"/>
        <v>0</v>
      </c>
      <c r="K178" s="103">
        <f t="shared" si="17"/>
        <v>18360000</v>
      </c>
    </row>
    <row r="179" spans="1:14" x14ac:dyDescent="0.25">
      <c r="A179" s="103" t="s">
        <v>4072</v>
      </c>
      <c r="B179" s="18">
        <v>3000000</v>
      </c>
      <c r="C179" s="18">
        <v>0</v>
      </c>
      <c r="D179" s="18">
        <f t="shared" si="18"/>
        <v>3000000</v>
      </c>
      <c r="E179" s="103" t="s">
        <v>4073</v>
      </c>
      <c r="F179" s="103">
        <v>0</v>
      </c>
      <c r="G179" s="36">
        <f t="shared" si="14"/>
        <v>50</v>
      </c>
      <c r="H179" s="103">
        <f t="shared" si="15"/>
        <v>1</v>
      </c>
      <c r="I179" s="103">
        <f t="shared" si="13"/>
        <v>147000000</v>
      </c>
      <c r="J179" s="103">
        <f t="shared" si="16"/>
        <v>0</v>
      </c>
      <c r="K179" s="103">
        <f t="shared" si="17"/>
        <v>147000000</v>
      </c>
    </row>
    <row r="180" spans="1:14" x14ac:dyDescent="0.25">
      <c r="A180" s="103" t="s">
        <v>4072</v>
      </c>
      <c r="B180" s="18">
        <v>-12050</v>
      </c>
      <c r="C180" s="18">
        <v>0</v>
      </c>
      <c r="D180" s="18">
        <f t="shared" si="18"/>
        <v>-12050</v>
      </c>
      <c r="E180" s="103" t="s">
        <v>4054</v>
      </c>
      <c r="F180" s="103">
        <v>2</v>
      </c>
      <c r="G180" s="36">
        <f t="shared" si="14"/>
        <v>50</v>
      </c>
      <c r="H180" s="103">
        <f t="shared" si="15"/>
        <v>0</v>
      </c>
      <c r="I180" s="103">
        <f t="shared" si="13"/>
        <v>-602500</v>
      </c>
      <c r="J180" s="103">
        <f t="shared" si="16"/>
        <v>0</v>
      </c>
      <c r="K180" s="103">
        <f t="shared" si="17"/>
        <v>-602500</v>
      </c>
    </row>
    <row r="181" spans="1:14" x14ac:dyDescent="0.25">
      <c r="A181" s="103" t="s">
        <v>4077</v>
      </c>
      <c r="B181" s="18">
        <v>3000000</v>
      </c>
      <c r="C181" s="18">
        <v>0</v>
      </c>
      <c r="D181" s="18">
        <f t="shared" si="18"/>
        <v>3000000</v>
      </c>
      <c r="E181" s="103" t="s">
        <v>4078</v>
      </c>
      <c r="F181" s="103">
        <v>2</v>
      </c>
      <c r="G181" s="36">
        <f t="shared" si="14"/>
        <v>48</v>
      </c>
      <c r="H181" s="103">
        <f t="shared" si="15"/>
        <v>1</v>
      </c>
      <c r="I181" s="103">
        <f t="shared" si="13"/>
        <v>141000000</v>
      </c>
      <c r="J181" s="103">
        <f t="shared" si="16"/>
        <v>0</v>
      </c>
      <c r="K181" s="103">
        <f t="shared" si="17"/>
        <v>141000000</v>
      </c>
    </row>
    <row r="182" spans="1:14" x14ac:dyDescent="0.25">
      <c r="A182" s="103" t="s">
        <v>4086</v>
      </c>
      <c r="B182" s="18">
        <v>-35800</v>
      </c>
      <c r="C182" s="18">
        <v>0</v>
      </c>
      <c r="D182" s="18">
        <f t="shared" si="18"/>
        <v>-35800</v>
      </c>
      <c r="E182" s="103" t="s">
        <v>4087</v>
      </c>
      <c r="F182" s="103">
        <v>1</v>
      </c>
      <c r="G182" s="36">
        <f t="shared" si="14"/>
        <v>46</v>
      </c>
      <c r="H182" s="103">
        <f t="shared" si="15"/>
        <v>0</v>
      </c>
      <c r="I182" s="103">
        <f t="shared" si="13"/>
        <v>-1646800</v>
      </c>
      <c r="J182" s="103">
        <f t="shared" si="16"/>
        <v>0</v>
      </c>
      <c r="K182" s="103">
        <f t="shared" si="17"/>
        <v>-1646800</v>
      </c>
      <c r="N182" t="s">
        <v>25</v>
      </c>
    </row>
    <row r="183" spans="1:14" x14ac:dyDescent="0.25">
      <c r="A183" s="103" t="s">
        <v>4085</v>
      </c>
      <c r="B183" s="18">
        <v>3600000</v>
      </c>
      <c r="C183" s="18">
        <v>0</v>
      </c>
      <c r="D183" s="18">
        <f t="shared" si="18"/>
        <v>3600000</v>
      </c>
      <c r="E183" s="103" t="s">
        <v>4088</v>
      </c>
      <c r="F183" s="103">
        <v>0</v>
      </c>
      <c r="G183" s="36">
        <f t="shared" si="14"/>
        <v>45</v>
      </c>
      <c r="H183" s="103">
        <f t="shared" si="15"/>
        <v>1</v>
      </c>
      <c r="I183" s="103">
        <f t="shared" si="13"/>
        <v>158400000</v>
      </c>
      <c r="J183" s="103">
        <f t="shared" si="16"/>
        <v>0</v>
      </c>
      <c r="K183" s="103">
        <f t="shared" si="17"/>
        <v>158400000</v>
      </c>
    </row>
    <row r="184" spans="1:14" x14ac:dyDescent="0.25">
      <c r="A184" s="103" t="s">
        <v>4085</v>
      </c>
      <c r="B184" s="18">
        <v>-33377</v>
      </c>
      <c r="C184" s="18">
        <v>0</v>
      </c>
      <c r="D184" s="18">
        <f t="shared" si="18"/>
        <v>-33377</v>
      </c>
      <c r="E184" s="103" t="s">
        <v>4089</v>
      </c>
      <c r="F184" s="103">
        <v>3</v>
      </c>
      <c r="G184" s="36">
        <f t="shared" si="14"/>
        <v>45</v>
      </c>
      <c r="H184" s="103">
        <f t="shared" si="15"/>
        <v>0</v>
      </c>
      <c r="I184" s="103">
        <f t="shared" si="13"/>
        <v>-1501965</v>
      </c>
      <c r="J184" s="103">
        <f t="shared" si="16"/>
        <v>0</v>
      </c>
      <c r="K184" s="103">
        <f t="shared" si="17"/>
        <v>-1501965</v>
      </c>
    </row>
    <row r="185" spans="1:14" x14ac:dyDescent="0.25">
      <c r="A185" s="103" t="s">
        <v>4110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42</v>
      </c>
      <c r="H185" s="103">
        <f t="shared" si="15"/>
        <v>0</v>
      </c>
      <c r="I185" s="103">
        <f t="shared" si="13"/>
        <v>-411600000</v>
      </c>
      <c r="J185" s="103">
        <f t="shared" si="16"/>
        <v>0</v>
      </c>
      <c r="K185" s="103">
        <f t="shared" si="17"/>
        <v>-411600000</v>
      </c>
    </row>
    <row r="186" spans="1:14" x14ac:dyDescent="0.25">
      <c r="A186" s="103" t="s">
        <v>4110</v>
      </c>
      <c r="B186" s="18">
        <v>18000000</v>
      </c>
      <c r="C186" s="18">
        <v>0</v>
      </c>
      <c r="D186" s="18">
        <f t="shared" si="18"/>
        <v>18000000</v>
      </c>
      <c r="E186" s="103" t="s">
        <v>4112</v>
      </c>
      <c r="F186" s="103">
        <v>0</v>
      </c>
      <c r="G186" s="36">
        <f t="shared" si="14"/>
        <v>42</v>
      </c>
      <c r="H186" s="103">
        <f t="shared" si="15"/>
        <v>1</v>
      </c>
      <c r="I186" s="103">
        <f t="shared" si="13"/>
        <v>738000000</v>
      </c>
      <c r="J186" s="103">
        <f t="shared" si="16"/>
        <v>0</v>
      </c>
      <c r="K186" s="103">
        <f t="shared" si="17"/>
        <v>738000000</v>
      </c>
    </row>
    <row r="187" spans="1:14" x14ac:dyDescent="0.25">
      <c r="A187" s="103" t="s">
        <v>4110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42</v>
      </c>
      <c r="H187" s="103">
        <f t="shared" si="15"/>
        <v>0</v>
      </c>
      <c r="I187" s="103">
        <f t="shared" si="13"/>
        <v>-378000000</v>
      </c>
      <c r="J187" s="103">
        <f t="shared" si="16"/>
        <v>0</v>
      </c>
      <c r="K187" s="103">
        <f t="shared" si="17"/>
        <v>-378000000</v>
      </c>
    </row>
    <row r="188" spans="1:14" x14ac:dyDescent="0.25">
      <c r="A188" s="103" t="s">
        <v>4110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42</v>
      </c>
      <c r="H188" s="103">
        <f t="shared" si="15"/>
        <v>0</v>
      </c>
      <c r="I188" s="103">
        <f t="shared" si="13"/>
        <v>-487200</v>
      </c>
      <c r="J188" s="103">
        <f t="shared" si="16"/>
        <v>0</v>
      </c>
      <c r="K188" s="103">
        <f t="shared" si="17"/>
        <v>-487200</v>
      </c>
    </row>
    <row r="189" spans="1:14" x14ac:dyDescent="0.25">
      <c r="A189" s="103" t="s">
        <v>4110</v>
      </c>
      <c r="B189" s="18">
        <v>-3304327</v>
      </c>
      <c r="C189" s="18">
        <v>0</v>
      </c>
      <c r="D189" s="18">
        <f t="shared" si="18"/>
        <v>-3304327</v>
      </c>
      <c r="E189" s="103" t="s">
        <v>4113</v>
      </c>
      <c r="F189" s="103">
        <v>1</v>
      </c>
      <c r="G189" s="36">
        <f t="shared" si="14"/>
        <v>42</v>
      </c>
      <c r="H189" s="103">
        <f t="shared" si="15"/>
        <v>0</v>
      </c>
      <c r="I189" s="103">
        <f t="shared" si="13"/>
        <v>-138781734</v>
      </c>
      <c r="J189" s="103">
        <f t="shared" si="16"/>
        <v>0</v>
      </c>
      <c r="K189" s="103">
        <f t="shared" si="17"/>
        <v>-138781734</v>
      </c>
    </row>
    <row r="190" spans="1:14" x14ac:dyDescent="0.25">
      <c r="A190" s="103" t="s">
        <v>4119</v>
      </c>
      <c r="B190" s="18">
        <v>-3000900</v>
      </c>
      <c r="C190" s="18">
        <v>0</v>
      </c>
      <c r="D190" s="18">
        <f t="shared" si="18"/>
        <v>-3000900</v>
      </c>
      <c r="E190" s="103" t="s">
        <v>4120</v>
      </c>
      <c r="F190" s="103">
        <v>1</v>
      </c>
      <c r="G190" s="36">
        <f t="shared" si="14"/>
        <v>41</v>
      </c>
      <c r="H190" s="103">
        <f t="shared" si="15"/>
        <v>0</v>
      </c>
      <c r="I190" s="103">
        <f t="shared" si="13"/>
        <v>-123036900</v>
      </c>
      <c r="J190" s="103">
        <f t="shared" si="16"/>
        <v>0</v>
      </c>
      <c r="K190" s="103">
        <f t="shared" si="17"/>
        <v>-123036900</v>
      </c>
    </row>
    <row r="191" spans="1:14" x14ac:dyDescent="0.25">
      <c r="A191" s="103" t="s">
        <v>4124</v>
      </c>
      <c r="B191" s="18">
        <v>-2760900</v>
      </c>
      <c r="C191" s="18">
        <v>0</v>
      </c>
      <c r="D191" s="18">
        <f t="shared" si="18"/>
        <v>-2760900</v>
      </c>
      <c r="E191" s="103" t="s">
        <v>4125</v>
      </c>
      <c r="F191" s="103">
        <v>5</v>
      </c>
      <c r="G191" s="36">
        <f t="shared" si="14"/>
        <v>40</v>
      </c>
      <c r="H191" s="103">
        <f t="shared" si="15"/>
        <v>0</v>
      </c>
      <c r="I191" s="103">
        <f t="shared" si="13"/>
        <v>-110436000</v>
      </c>
      <c r="J191" s="103">
        <f t="shared" si="16"/>
        <v>0</v>
      </c>
      <c r="K191" s="103">
        <f t="shared" si="17"/>
        <v>-110436000</v>
      </c>
    </row>
    <row r="192" spans="1:14" x14ac:dyDescent="0.25">
      <c r="A192" s="103" t="s">
        <v>4138</v>
      </c>
      <c r="B192" s="18">
        <v>1000000</v>
      </c>
      <c r="C192" s="18">
        <v>0</v>
      </c>
      <c r="D192" s="18">
        <f t="shared" si="18"/>
        <v>1000000</v>
      </c>
      <c r="E192" s="103" t="s">
        <v>4117</v>
      </c>
      <c r="F192" s="103">
        <v>1</v>
      </c>
      <c r="G192" s="36">
        <f t="shared" si="14"/>
        <v>35</v>
      </c>
      <c r="H192" s="103">
        <f t="shared" si="15"/>
        <v>1</v>
      </c>
      <c r="I192" s="103">
        <f t="shared" si="13"/>
        <v>34000000</v>
      </c>
      <c r="J192" s="103">
        <f t="shared" si="16"/>
        <v>0</v>
      </c>
      <c r="K192" s="103">
        <f t="shared" si="17"/>
        <v>34000000</v>
      </c>
    </row>
    <row r="193" spans="1:11" x14ac:dyDescent="0.25">
      <c r="A193" s="103" t="s">
        <v>4154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34</v>
      </c>
      <c r="H193" s="103">
        <f t="shared" si="15"/>
        <v>0</v>
      </c>
      <c r="I193" s="103">
        <f t="shared" si="13"/>
        <v>-510000</v>
      </c>
      <c r="J193" s="103">
        <f t="shared" si="16"/>
        <v>0</v>
      </c>
      <c r="K193" s="103">
        <f t="shared" si="17"/>
        <v>-510000</v>
      </c>
    </row>
    <row r="194" spans="1:11" x14ac:dyDescent="0.25">
      <c r="A194" s="103" t="s">
        <v>4150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32</v>
      </c>
      <c r="H194" s="103">
        <f t="shared" si="15"/>
        <v>0</v>
      </c>
      <c r="I194" s="103">
        <f t="shared" si="13"/>
        <v>-31680000</v>
      </c>
      <c r="J194" s="103">
        <f t="shared" si="16"/>
        <v>0</v>
      </c>
      <c r="K194" s="103">
        <f t="shared" si="17"/>
        <v>-31680000</v>
      </c>
    </row>
    <row r="195" spans="1:11" x14ac:dyDescent="0.25">
      <c r="A195" s="103" t="s">
        <v>4150</v>
      </c>
      <c r="B195" s="18">
        <v>783000</v>
      </c>
      <c r="C195" s="18">
        <v>0</v>
      </c>
      <c r="D195" s="18">
        <f t="shared" si="18"/>
        <v>783000</v>
      </c>
      <c r="E195" s="103" t="s">
        <v>4158</v>
      </c>
      <c r="F195" s="103">
        <v>2</v>
      </c>
      <c r="G195" s="36">
        <f t="shared" si="14"/>
        <v>32</v>
      </c>
      <c r="H195" s="103">
        <f t="shared" si="15"/>
        <v>1</v>
      </c>
      <c r="I195" s="103">
        <f t="shared" si="13"/>
        <v>24273000</v>
      </c>
      <c r="J195" s="103">
        <f t="shared" si="16"/>
        <v>0</v>
      </c>
      <c r="K195" s="103">
        <f t="shared" si="17"/>
        <v>24273000</v>
      </c>
    </row>
    <row r="196" spans="1:11" x14ac:dyDescent="0.25">
      <c r="A196" s="103" t="s">
        <v>4162</v>
      </c>
      <c r="B196" s="18">
        <v>-750500</v>
      </c>
      <c r="C196" s="18">
        <v>0</v>
      </c>
      <c r="D196" s="18">
        <f t="shared" si="18"/>
        <v>-750500</v>
      </c>
      <c r="E196" s="103" t="s">
        <v>4163</v>
      </c>
      <c r="F196" s="103">
        <v>2</v>
      </c>
      <c r="G196" s="36">
        <f t="shared" si="14"/>
        <v>30</v>
      </c>
      <c r="H196" s="103">
        <f t="shared" si="15"/>
        <v>0</v>
      </c>
      <c r="I196" s="103">
        <f t="shared" si="13"/>
        <v>-22515000</v>
      </c>
      <c r="J196" s="103">
        <f t="shared" si="16"/>
        <v>0</v>
      </c>
      <c r="K196" s="103">
        <f t="shared" si="17"/>
        <v>-22515000</v>
      </c>
    </row>
    <row r="197" spans="1:11" x14ac:dyDescent="0.25">
      <c r="A197" s="103" t="s">
        <v>4175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28</v>
      </c>
      <c r="H197" s="103">
        <f t="shared" si="15"/>
        <v>1</v>
      </c>
      <c r="I197" s="103">
        <f t="shared" si="13"/>
        <v>18900000</v>
      </c>
      <c r="J197" s="103">
        <f t="shared" si="16"/>
        <v>0</v>
      </c>
      <c r="K197" s="103">
        <f t="shared" si="17"/>
        <v>18900000</v>
      </c>
    </row>
    <row r="198" spans="1:11" x14ac:dyDescent="0.25">
      <c r="A198" s="103" t="s">
        <v>4175</v>
      </c>
      <c r="B198" s="18">
        <v>-99000</v>
      </c>
      <c r="C198" s="18">
        <v>0</v>
      </c>
      <c r="D198" s="18">
        <f t="shared" si="18"/>
        <v>-99000</v>
      </c>
      <c r="E198" s="103" t="s">
        <v>4177</v>
      </c>
      <c r="F198" s="103">
        <v>1</v>
      </c>
      <c r="G198" s="36">
        <f t="shared" si="14"/>
        <v>28</v>
      </c>
      <c r="H198" s="103">
        <f t="shared" si="15"/>
        <v>0</v>
      </c>
      <c r="I198" s="103">
        <f t="shared" si="13"/>
        <v>-2772000</v>
      </c>
      <c r="J198" s="103">
        <f t="shared" si="16"/>
        <v>0</v>
      </c>
      <c r="K198" s="103">
        <f t="shared" si="17"/>
        <v>-2772000</v>
      </c>
    </row>
    <row r="199" spans="1:11" x14ac:dyDescent="0.25">
      <c r="A199" s="103" t="s">
        <v>4178</v>
      </c>
      <c r="B199" s="18">
        <v>-205750</v>
      </c>
      <c r="C199" s="18">
        <v>0</v>
      </c>
      <c r="D199" s="18">
        <f t="shared" si="18"/>
        <v>-205750</v>
      </c>
      <c r="E199" s="103" t="s">
        <v>4179</v>
      </c>
      <c r="F199" s="103">
        <v>0</v>
      </c>
      <c r="G199" s="36">
        <f t="shared" si="14"/>
        <v>27</v>
      </c>
      <c r="H199" s="103">
        <f t="shared" si="15"/>
        <v>0</v>
      </c>
      <c r="I199" s="103">
        <f t="shared" si="13"/>
        <v>-5555250</v>
      </c>
      <c r="J199" s="103">
        <f t="shared" si="16"/>
        <v>0</v>
      </c>
      <c r="K199" s="103">
        <f t="shared" si="17"/>
        <v>-5555250</v>
      </c>
    </row>
    <row r="200" spans="1:11" x14ac:dyDescent="0.25">
      <c r="A200" s="103" t="s">
        <v>4178</v>
      </c>
      <c r="B200" s="18">
        <v>-95000</v>
      </c>
      <c r="C200" s="18">
        <v>0</v>
      </c>
      <c r="D200" s="18">
        <f t="shared" si="18"/>
        <v>-95000</v>
      </c>
      <c r="E200" s="103" t="s">
        <v>4180</v>
      </c>
      <c r="F200" s="103">
        <v>3</v>
      </c>
      <c r="G200" s="36">
        <f t="shared" si="14"/>
        <v>27</v>
      </c>
      <c r="H200" s="103">
        <f t="shared" si="15"/>
        <v>0</v>
      </c>
      <c r="I200" s="103">
        <f t="shared" si="13"/>
        <v>-2565000</v>
      </c>
      <c r="J200" s="103">
        <f t="shared" si="16"/>
        <v>0</v>
      </c>
      <c r="K200" s="103">
        <f t="shared" si="17"/>
        <v>-2565000</v>
      </c>
    </row>
    <row r="201" spans="1:11" x14ac:dyDescent="0.25">
      <c r="A201" s="103" t="s">
        <v>4202</v>
      </c>
      <c r="B201" s="18">
        <v>48650000</v>
      </c>
      <c r="C201" s="18">
        <v>0</v>
      </c>
      <c r="D201" s="18">
        <f t="shared" si="18"/>
        <v>48650000</v>
      </c>
      <c r="E201" s="103" t="s">
        <v>4203</v>
      </c>
      <c r="F201" s="103">
        <v>0</v>
      </c>
      <c r="G201" s="36">
        <f t="shared" si="14"/>
        <v>24</v>
      </c>
      <c r="H201" s="103">
        <f t="shared" si="15"/>
        <v>1</v>
      </c>
      <c r="I201" s="103">
        <f t="shared" si="13"/>
        <v>1118950000</v>
      </c>
      <c r="J201" s="103">
        <f t="shared" si="16"/>
        <v>0</v>
      </c>
      <c r="K201" s="103">
        <f t="shared" si="17"/>
        <v>1118950000</v>
      </c>
    </row>
    <row r="202" spans="1:11" x14ac:dyDescent="0.25">
      <c r="A202" s="103" t="s">
        <v>4202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24</v>
      </c>
      <c r="H202" s="103">
        <f t="shared" si="15"/>
        <v>0</v>
      </c>
      <c r="I202" s="103">
        <f t="shared" si="13"/>
        <v>-72021600</v>
      </c>
      <c r="J202" s="103">
        <f t="shared" si="16"/>
        <v>0</v>
      </c>
      <c r="K202" s="103">
        <f t="shared" si="17"/>
        <v>-72021600</v>
      </c>
    </row>
    <row r="203" spans="1:11" x14ac:dyDescent="0.25">
      <c r="A203" s="103" t="s">
        <v>4202</v>
      </c>
      <c r="B203" s="18">
        <v>-5000</v>
      </c>
      <c r="C203" s="18">
        <v>0</v>
      </c>
      <c r="D203" s="18">
        <f t="shared" si="18"/>
        <v>-5000</v>
      </c>
      <c r="E203" s="103" t="s">
        <v>4204</v>
      </c>
      <c r="F203" s="103">
        <v>0</v>
      </c>
      <c r="G203" s="36">
        <f t="shared" si="14"/>
        <v>24</v>
      </c>
      <c r="H203" s="103">
        <f t="shared" si="15"/>
        <v>0</v>
      </c>
      <c r="I203" s="103">
        <f t="shared" si="13"/>
        <v>-120000</v>
      </c>
      <c r="J203" s="103">
        <f t="shared" si="16"/>
        <v>0</v>
      </c>
      <c r="K203" s="103">
        <f t="shared" si="17"/>
        <v>-120000</v>
      </c>
    </row>
    <row r="204" spans="1:11" x14ac:dyDescent="0.25">
      <c r="A204" s="103" t="s">
        <v>4202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24</v>
      </c>
      <c r="H204" s="103">
        <f t="shared" si="15"/>
        <v>0</v>
      </c>
      <c r="I204" s="103">
        <f t="shared" si="13"/>
        <v>-804000000</v>
      </c>
      <c r="J204" s="103">
        <f t="shared" si="16"/>
        <v>0</v>
      </c>
      <c r="K204" s="103">
        <f t="shared" si="17"/>
        <v>-804000000</v>
      </c>
    </row>
    <row r="205" spans="1:11" x14ac:dyDescent="0.25">
      <c r="A205" s="11" t="s">
        <v>4210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66" si="19">G206+F205</f>
        <v>23</v>
      </c>
      <c r="H205" s="103">
        <f t="shared" si="15"/>
        <v>0</v>
      </c>
      <c r="I205" s="103">
        <f t="shared" si="13"/>
        <v>-286005000</v>
      </c>
      <c r="J205" s="103">
        <f t="shared" si="16"/>
        <v>0</v>
      </c>
      <c r="K205" s="103">
        <f t="shared" si="17"/>
        <v>-286005000</v>
      </c>
    </row>
    <row r="206" spans="1:11" x14ac:dyDescent="0.25">
      <c r="A206" s="103" t="s">
        <v>4223</v>
      </c>
      <c r="B206" s="18">
        <v>-18500</v>
      </c>
      <c r="C206" s="18">
        <v>0</v>
      </c>
      <c r="D206" s="18">
        <f t="shared" si="18"/>
        <v>-18500</v>
      </c>
      <c r="E206" s="103" t="s">
        <v>4224</v>
      </c>
      <c r="F206" s="103">
        <v>2</v>
      </c>
      <c r="G206" s="36">
        <f t="shared" si="19"/>
        <v>20</v>
      </c>
      <c r="H206" s="103">
        <f t="shared" si="15"/>
        <v>0</v>
      </c>
      <c r="I206" s="103">
        <f t="shared" si="13"/>
        <v>-370000</v>
      </c>
      <c r="J206" s="103">
        <f t="shared" si="16"/>
        <v>0</v>
      </c>
      <c r="K206" s="103">
        <f t="shared" si="17"/>
        <v>-370000</v>
      </c>
    </row>
    <row r="207" spans="1:11" x14ac:dyDescent="0.25">
      <c r="A207" s="103" t="s">
        <v>4220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18</v>
      </c>
      <c r="H207" s="103">
        <f t="shared" si="15"/>
        <v>1</v>
      </c>
      <c r="I207" s="103">
        <f t="shared" si="13"/>
        <v>246160</v>
      </c>
      <c r="J207" s="103">
        <f t="shared" ref="J207:J266" si="20">C207*(G207-H207)</f>
        <v>1204858</v>
      </c>
      <c r="K207" s="103">
        <f t="shared" si="17"/>
        <v>-958698</v>
      </c>
    </row>
    <row r="208" spans="1:11" x14ac:dyDescent="0.25">
      <c r="A208" s="103" t="s">
        <v>4226</v>
      </c>
      <c r="B208" s="18">
        <v>830000</v>
      </c>
      <c r="C208" s="18">
        <v>0</v>
      </c>
      <c r="D208" s="18">
        <f t="shared" si="18"/>
        <v>830000</v>
      </c>
      <c r="E208" s="103" t="s">
        <v>4227</v>
      </c>
      <c r="F208" s="103">
        <v>2</v>
      </c>
      <c r="G208" s="36">
        <f t="shared" si="19"/>
        <v>17</v>
      </c>
      <c r="H208" s="103">
        <f t="shared" si="15"/>
        <v>1</v>
      </c>
      <c r="I208" s="103">
        <f t="shared" si="13"/>
        <v>13280000</v>
      </c>
      <c r="J208" s="103">
        <f t="shared" si="20"/>
        <v>0</v>
      </c>
      <c r="K208" s="103">
        <f t="shared" si="17"/>
        <v>13280000</v>
      </c>
    </row>
    <row r="209" spans="1:13" x14ac:dyDescent="0.25">
      <c r="A209" s="103" t="s">
        <v>4249</v>
      </c>
      <c r="B209" s="18">
        <v>-52440</v>
      </c>
      <c r="C209" s="18">
        <v>0</v>
      </c>
      <c r="D209" s="18">
        <f t="shared" si="18"/>
        <v>-52440</v>
      </c>
      <c r="E209" s="103" t="s">
        <v>4255</v>
      </c>
      <c r="F209" s="103">
        <v>1</v>
      </c>
      <c r="G209" s="36">
        <f t="shared" si="19"/>
        <v>15</v>
      </c>
      <c r="H209" s="103">
        <f t="shared" si="15"/>
        <v>0</v>
      </c>
      <c r="I209" s="103">
        <f t="shared" si="13"/>
        <v>-786600</v>
      </c>
      <c r="J209" s="103">
        <f t="shared" si="20"/>
        <v>0</v>
      </c>
      <c r="K209" s="103">
        <f t="shared" si="17"/>
        <v>-786600</v>
      </c>
    </row>
    <row r="210" spans="1:13" x14ac:dyDescent="0.25">
      <c r="A210" s="103" t="s">
        <v>4256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14</v>
      </c>
      <c r="H210" s="103">
        <f t="shared" si="15"/>
        <v>0</v>
      </c>
      <c r="I210" s="103">
        <f t="shared" si="13"/>
        <v>-715400</v>
      </c>
      <c r="J210" s="103">
        <f t="shared" si="20"/>
        <v>0</v>
      </c>
      <c r="K210" s="103">
        <f t="shared" si="17"/>
        <v>-715400</v>
      </c>
    </row>
    <row r="211" spans="1:13" x14ac:dyDescent="0.25">
      <c r="A211" s="103" t="s">
        <v>4258</v>
      </c>
      <c r="B211" s="18">
        <v>-200000</v>
      </c>
      <c r="C211" s="18">
        <v>0</v>
      </c>
      <c r="D211" s="18">
        <f t="shared" si="18"/>
        <v>-200000</v>
      </c>
      <c r="E211" s="103" t="s">
        <v>4259</v>
      </c>
      <c r="F211" s="103">
        <v>1</v>
      </c>
      <c r="G211" s="36">
        <f t="shared" si="19"/>
        <v>13</v>
      </c>
      <c r="H211" s="103">
        <f t="shared" si="15"/>
        <v>0</v>
      </c>
      <c r="I211" s="103">
        <f t="shared" si="13"/>
        <v>-2600000</v>
      </c>
      <c r="J211" s="103">
        <f t="shared" si="20"/>
        <v>0</v>
      </c>
      <c r="K211" s="103">
        <f t="shared" si="17"/>
        <v>-2600000</v>
      </c>
    </row>
    <row r="212" spans="1:13" x14ac:dyDescent="0.25">
      <c r="A212" s="103" t="s">
        <v>4260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12</v>
      </c>
      <c r="H212" s="103">
        <f t="shared" si="15"/>
        <v>0</v>
      </c>
      <c r="I212" s="103">
        <f t="shared" si="13"/>
        <v>-336000</v>
      </c>
      <c r="J212" s="103">
        <f t="shared" si="20"/>
        <v>0</v>
      </c>
      <c r="K212" s="103">
        <f t="shared" si="17"/>
        <v>-336000</v>
      </c>
    </row>
    <row r="213" spans="1:13" x14ac:dyDescent="0.25">
      <c r="A213" s="103" t="s">
        <v>4261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11</v>
      </c>
      <c r="H213" s="103">
        <f t="shared" si="15"/>
        <v>0</v>
      </c>
      <c r="I213" s="103">
        <f t="shared" si="13"/>
        <v>-650100</v>
      </c>
      <c r="J213" s="103">
        <f t="shared" si="20"/>
        <v>0</v>
      </c>
      <c r="K213" s="103">
        <f t="shared" si="17"/>
        <v>-650100</v>
      </c>
    </row>
    <row r="214" spans="1:13" x14ac:dyDescent="0.25">
      <c r="A214" s="103" t="s">
        <v>4261</v>
      </c>
      <c r="B214" s="18">
        <v>-30000</v>
      </c>
      <c r="C214" s="18">
        <v>0</v>
      </c>
      <c r="D214" s="18">
        <f t="shared" si="18"/>
        <v>-30000</v>
      </c>
      <c r="E214" s="103" t="s">
        <v>4262</v>
      </c>
      <c r="F214" s="103">
        <v>0</v>
      </c>
      <c r="G214" s="36">
        <f t="shared" si="19"/>
        <v>10</v>
      </c>
      <c r="H214" s="103">
        <f t="shared" si="15"/>
        <v>0</v>
      </c>
      <c r="I214" s="103">
        <f t="shared" si="13"/>
        <v>-300000</v>
      </c>
      <c r="J214" s="103">
        <f t="shared" si="20"/>
        <v>0</v>
      </c>
      <c r="K214" s="103">
        <f t="shared" si="17"/>
        <v>-300000</v>
      </c>
    </row>
    <row r="215" spans="1:13" x14ac:dyDescent="0.25">
      <c r="A215" s="103" t="s">
        <v>4261</v>
      </c>
      <c r="B215" s="18">
        <v>-178000</v>
      </c>
      <c r="C215" s="18">
        <v>0</v>
      </c>
      <c r="D215" s="18">
        <f t="shared" si="18"/>
        <v>-178000</v>
      </c>
      <c r="E215" s="103" t="s">
        <v>4264</v>
      </c>
      <c r="F215" s="103">
        <v>1</v>
      </c>
      <c r="G215" s="36">
        <f t="shared" si="19"/>
        <v>10</v>
      </c>
      <c r="H215" s="103">
        <f t="shared" si="15"/>
        <v>0</v>
      </c>
      <c r="I215" s="103">
        <f t="shared" si="13"/>
        <v>-1780000</v>
      </c>
      <c r="J215" s="103">
        <f t="shared" si="20"/>
        <v>0</v>
      </c>
      <c r="K215" s="103">
        <f t="shared" si="17"/>
        <v>-1780000</v>
      </c>
    </row>
    <row r="216" spans="1:13" x14ac:dyDescent="0.25">
      <c r="A216" s="103" t="s">
        <v>4266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9</v>
      </c>
      <c r="H216" s="103">
        <f t="shared" si="15"/>
        <v>0</v>
      </c>
      <c r="I216" s="103">
        <f t="shared" si="13"/>
        <v>-860490</v>
      </c>
      <c r="J216" s="103">
        <f t="shared" si="20"/>
        <v>0</v>
      </c>
      <c r="K216" s="103">
        <f t="shared" si="17"/>
        <v>-860490</v>
      </c>
    </row>
    <row r="217" spans="1:13" x14ac:dyDescent="0.25">
      <c r="A217" s="103" t="s">
        <v>4219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6</v>
      </c>
      <c r="H217" s="103">
        <f t="shared" si="15"/>
        <v>0</v>
      </c>
      <c r="I217" s="103">
        <f t="shared" si="13"/>
        <v>-504000</v>
      </c>
      <c r="J217" s="103">
        <f t="shared" si="20"/>
        <v>0</v>
      </c>
      <c r="K217" s="103">
        <f t="shared" si="17"/>
        <v>-504000</v>
      </c>
    </row>
    <row r="218" spans="1:13" x14ac:dyDescent="0.25">
      <c r="A218" s="103" t="s">
        <v>4270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3</v>
      </c>
      <c r="G218" s="36">
        <f t="shared" ref="G218:G265" si="21">G219+F218</f>
        <v>4</v>
      </c>
      <c r="H218" s="103">
        <f t="shared" si="15"/>
        <v>0</v>
      </c>
      <c r="I218" s="103">
        <f t="shared" si="13"/>
        <v>-132000</v>
      </c>
      <c r="J218" s="103">
        <f t="shared" si="20"/>
        <v>0</v>
      </c>
      <c r="K218" s="103">
        <f t="shared" si="17"/>
        <v>-132000</v>
      </c>
    </row>
    <row r="219" spans="1:13" x14ac:dyDescent="0.25">
      <c r="A219" s="103" t="s">
        <v>4275</v>
      </c>
      <c r="B219" s="18">
        <v>1548000</v>
      </c>
      <c r="C219" s="18">
        <v>0</v>
      </c>
      <c r="D219" s="18">
        <f t="shared" si="18"/>
        <v>1548000</v>
      </c>
      <c r="E219" s="103" t="s">
        <v>4305</v>
      </c>
      <c r="F219" s="103">
        <v>1</v>
      </c>
      <c r="G219" s="36">
        <f t="shared" si="21"/>
        <v>1</v>
      </c>
      <c r="H219" s="103">
        <f t="shared" si="15"/>
        <v>1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 t="s">
        <v>4306</v>
      </c>
      <c r="B220" s="18">
        <v>-1400700</v>
      </c>
      <c r="C220" s="18">
        <v>0</v>
      </c>
      <c r="D220" s="18">
        <f t="shared" si="18"/>
        <v>-1400700</v>
      </c>
      <c r="E220" s="103" t="s">
        <v>4307</v>
      </c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211867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18780238213</v>
      </c>
      <c r="J267" s="29">
        <f>SUM(J2:J266)</f>
        <v>8194530119</v>
      </c>
      <c r="K267" s="29">
        <f>SUM(K2:K266)</f>
        <v>10585708094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20592366.461622808</v>
      </c>
      <c r="J270" s="29">
        <f>J267/G2</f>
        <v>8985230.3936403506</v>
      </c>
      <c r="K270" s="29">
        <f>K267/G2</f>
        <v>11607136.067982456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632121.00244060007</v>
      </c>
      <c r="K274">
        <f>K267/I267*1448696</f>
        <v>816574.99755939993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4186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4187</v>
      </c>
      <c r="R8" s="119" t="s">
        <v>4188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4066</v>
      </c>
      <c r="L19" t="s">
        <v>4067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4068</v>
      </c>
      <c r="L20" t="s">
        <v>4247</v>
      </c>
      <c r="M20" t="s">
        <v>4069</v>
      </c>
      <c r="N20" t="s">
        <v>4248</v>
      </c>
      <c r="O20" t="s">
        <v>4152</v>
      </c>
      <c r="P20" t="s">
        <v>4153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4000</v>
      </c>
      <c r="B105" s="38">
        <f>SUM(B2:B103)</f>
        <v>59475793</v>
      </c>
      <c r="C105" s="73" t="s">
        <v>3999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3997</v>
      </c>
      <c r="B180" s="38">
        <v>-39030</v>
      </c>
      <c r="C180" s="73" t="s">
        <v>3998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4003</v>
      </c>
      <c r="B181" s="38">
        <v>-32000</v>
      </c>
      <c r="C181" s="73" t="s">
        <v>4004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4007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4009</v>
      </c>
      <c r="B183" s="38">
        <v>-20000</v>
      </c>
      <c r="C183" s="73" t="s">
        <v>4010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4013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4017</v>
      </c>
      <c r="B185" s="38">
        <v>-60100</v>
      </c>
      <c r="C185" s="73" t="s">
        <v>4018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4017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4033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4042</v>
      </c>
      <c r="B188" s="38">
        <v>-16000</v>
      </c>
      <c r="C188" s="73" t="s">
        <v>4043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4045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4051</v>
      </c>
      <c r="B190" s="38">
        <v>-10350</v>
      </c>
      <c r="C190" s="73" t="s">
        <v>4052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I11" zoomScaleNormal="100" workbookViewId="0">
      <selection activeCell="R32" sqref="R3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4207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4208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4199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4200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0">
        <v>3000000</v>
      </c>
      <c r="AQ10" s="103" t="s">
        <v>4209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0">
        <v>2500000</v>
      </c>
      <c r="AQ11" s="103" t="s">
        <v>4201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0">
        <v>2500000</v>
      </c>
      <c r="AQ12" s="103" t="s">
        <v>4211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0">
        <v>-150000</v>
      </c>
      <c r="AQ13" s="103" t="s">
        <v>4220</v>
      </c>
      <c r="AR13" s="103" t="s">
        <v>4236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0">
        <v>-250000</v>
      </c>
      <c r="AQ14" s="103" t="s">
        <v>4226</v>
      </c>
      <c r="AR14" s="103" t="s">
        <v>4242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79" t="s">
        <v>451</v>
      </c>
      <c r="L15" s="179" t="s">
        <v>452</v>
      </c>
      <c r="M15" s="179"/>
      <c r="N15" s="179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0">
        <v>-696454</v>
      </c>
      <c r="AQ15" s="103" t="s">
        <v>4226</v>
      </c>
      <c r="AR15" s="103" t="s">
        <v>4237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79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0">
        <v>-2000000</v>
      </c>
      <c r="AQ16" s="103" t="s">
        <v>4249</v>
      </c>
      <c r="AR16" s="103" t="s">
        <v>4250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79" t="s">
        <v>453</v>
      </c>
      <c r="L17" s="121">
        <f>'مسکن علی سید الشهدا'!B85</f>
        <v>27903</v>
      </c>
      <c r="M17" s="179" t="s">
        <v>657</v>
      </c>
      <c r="N17" s="117">
        <f>سارا!D267</f>
        <v>-7785606</v>
      </c>
      <c r="P17" s="28"/>
      <c r="Q17" s="180">
        <v>74302282</v>
      </c>
      <c r="R17" s="179" t="s">
        <v>4037</v>
      </c>
      <c r="S17" s="179">
        <v>4</v>
      </c>
      <c r="T17" s="179" t="s">
        <v>4082</v>
      </c>
      <c r="U17" s="119"/>
      <c r="V17" s="119"/>
      <c r="W17" s="120"/>
      <c r="X17" s="119"/>
      <c r="Y17" s="119"/>
      <c r="AO17" s="103">
        <v>11</v>
      </c>
      <c r="AP17" s="180">
        <v>-3600000</v>
      </c>
      <c r="AQ17" s="103" t="s">
        <v>4249</v>
      </c>
      <c r="AR17" s="103" t="s">
        <v>4251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79" t="s">
        <v>683</v>
      </c>
      <c r="L18" s="121">
        <v>1000000</v>
      </c>
      <c r="M18" s="103" t="s">
        <v>4121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0">
        <v>-400000</v>
      </c>
      <c r="AQ18" s="103" t="s">
        <v>4256</v>
      </c>
      <c r="AR18" s="103" t="s">
        <v>4257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4184</v>
      </c>
      <c r="K19" s="179" t="s">
        <v>4197</v>
      </c>
      <c r="L19" s="121">
        <f>-مهر97!D57</f>
        <v>49552119</v>
      </c>
      <c r="M19" s="179" t="s">
        <v>4246</v>
      </c>
      <c r="N19" s="117">
        <f>48028*P33</f>
        <v>9615205.5999999996</v>
      </c>
      <c r="O19" s="177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4099</v>
      </c>
      <c r="AJ19" s="69" t="s">
        <v>4091</v>
      </c>
      <c r="AK19" s="69" t="s">
        <v>282</v>
      </c>
      <c r="AL19" s="103"/>
      <c r="AN19" s="100"/>
      <c r="AO19" s="103">
        <v>13</v>
      </c>
      <c r="AP19" s="180">
        <v>-1000000</v>
      </c>
      <c r="AQ19" s="103" t="s">
        <v>4308</v>
      </c>
      <c r="AR19" s="103" t="s">
        <v>4309</v>
      </c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4185</v>
      </c>
      <c r="K20" s="179"/>
      <c r="L20" s="121"/>
      <c r="M20" s="179"/>
      <c r="N20" s="117"/>
      <c r="O20" s="188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186</v>
      </c>
      <c r="AK20" s="117">
        <f>AH20*AJ20</f>
        <v>3348000000</v>
      </c>
      <c r="AL20" s="103"/>
      <c r="AN20" s="100"/>
      <c r="AO20" s="103"/>
      <c r="AP20" s="180"/>
      <c r="AQ20" s="103"/>
      <c r="AR20" s="103"/>
      <c r="AT20" s="100"/>
      <c r="AU20" s="100"/>
      <c r="AV20" s="100"/>
      <c r="AW20" s="100"/>
      <c r="AX20" s="100"/>
      <c r="AY20" s="100"/>
      <c r="AZ20" s="100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311165321</v>
      </c>
      <c r="G21" s="29">
        <f t="shared" si="0"/>
        <v>-49165321</v>
      </c>
      <c r="H21" s="11" t="s">
        <v>4272</v>
      </c>
      <c r="J21" s="25"/>
      <c r="K21" s="179" t="s">
        <v>456</v>
      </c>
      <c r="L21" s="121">
        <v>280000</v>
      </c>
      <c r="M21" s="179"/>
      <c r="N21" s="117"/>
      <c r="O21" s="22"/>
      <c r="P21" t="s">
        <v>1123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185</v>
      </c>
      <c r="AK21" s="117">
        <f t="shared" ref="AK21:AK79" si="5">AH21*AJ21</f>
        <v>462500000</v>
      </c>
      <c r="AL21" s="103"/>
      <c r="AN21" s="100"/>
      <c r="AO21" s="103"/>
      <c r="AP21" s="180"/>
      <c r="AQ21" s="103"/>
      <c r="AR21" s="103"/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100"/>
      <c r="J22" s="100"/>
      <c r="K22" s="179" t="s">
        <v>732</v>
      </c>
      <c r="L22" s="121">
        <v>0</v>
      </c>
      <c r="M22" s="179" t="s">
        <v>757</v>
      </c>
      <c r="N22" s="117">
        <v>3000000</v>
      </c>
      <c r="O22" s="22"/>
      <c r="P22" s="180">
        <v>4700000</v>
      </c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184</v>
      </c>
      <c r="AK22" s="117">
        <f t="shared" si="5"/>
        <v>1472000000</v>
      </c>
      <c r="AL22" s="103"/>
      <c r="AN22" s="100"/>
      <c r="AO22" s="103"/>
      <c r="AP22" s="180"/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100"/>
      <c r="J23" s="100"/>
      <c r="K23" s="179" t="s">
        <v>919</v>
      </c>
      <c r="L23" s="121">
        <v>4800000</v>
      </c>
      <c r="M23" s="179" t="s">
        <v>4198</v>
      </c>
      <c r="N23" s="117">
        <f>-1*L19</f>
        <v>-49552119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4095</v>
      </c>
      <c r="AH23" s="117">
        <v>-79552</v>
      </c>
      <c r="AI23" s="103">
        <v>1</v>
      </c>
      <c r="AJ23" s="103">
        <f t="shared" si="4"/>
        <v>183</v>
      </c>
      <c r="AK23" s="117">
        <f t="shared" si="5"/>
        <v>-14558016</v>
      </c>
      <c r="AL23" s="103"/>
      <c r="AN23" s="100"/>
      <c r="AO23" s="103"/>
      <c r="AP23" s="103"/>
      <c r="AQ23" s="103" t="s">
        <v>25</v>
      </c>
      <c r="AR23" s="103"/>
      <c r="AT23" s="100"/>
      <c r="AU23" s="100"/>
      <c r="AV23" s="100"/>
      <c r="AW23" s="100"/>
      <c r="AX23" s="100"/>
      <c r="AY23" s="100"/>
      <c r="AZ23" s="100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100"/>
      <c r="J24" s="100"/>
      <c r="K24" s="179" t="s">
        <v>930</v>
      </c>
      <c r="L24" s="121">
        <v>0</v>
      </c>
      <c r="M24" s="179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182</v>
      </c>
      <c r="AK24" s="117">
        <f t="shared" si="5"/>
        <v>30121000</v>
      </c>
      <c r="AL24" s="103"/>
      <c r="AN24" s="100"/>
      <c r="AO24" s="103"/>
      <c r="AP24" s="99">
        <f>SUM(AP7:AP23)</f>
        <v>34863546</v>
      </c>
      <c r="AQ24" s="103"/>
      <c r="AR24" s="191" t="s">
        <v>4310</v>
      </c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9" t="s">
        <v>1091</v>
      </c>
      <c r="L25" s="121">
        <f>65*P22</f>
        <v>305500000</v>
      </c>
      <c r="M25" s="179" t="s">
        <v>761</v>
      </c>
      <c r="N25" s="117">
        <v>1200000</v>
      </c>
      <c r="O25" t="s">
        <v>25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170</v>
      </c>
      <c r="AK25" s="117">
        <f t="shared" si="5"/>
        <v>-4901155590</v>
      </c>
      <c r="AL25" s="103"/>
      <c r="AN25" s="100"/>
      <c r="AO25" s="103"/>
      <c r="AP25" s="103" t="s">
        <v>6</v>
      </c>
      <c r="AQ25" s="103"/>
      <c r="AR25" s="103"/>
      <c r="AT25" s="100"/>
      <c r="AU25" s="100"/>
      <c r="AV25" s="100"/>
      <c r="AW25" s="100"/>
      <c r="AX25" s="100"/>
      <c r="AY25" s="100"/>
      <c r="AZ25" s="100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9" t="s">
        <v>4196</v>
      </c>
      <c r="L26" s="121">
        <v>-50000000</v>
      </c>
      <c r="M26" s="73"/>
      <c r="N26" s="117"/>
      <c r="O26" s="22"/>
      <c r="S26" s="26"/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164</v>
      </c>
      <c r="AK26" s="117">
        <f t="shared" si="5"/>
        <v>3034000000</v>
      </c>
      <c r="AL26" s="103"/>
      <c r="AN26" s="100"/>
      <c r="AR26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9"/>
      <c r="L27" s="121"/>
      <c r="M27" s="179" t="s">
        <v>1091</v>
      </c>
      <c r="N27" s="117">
        <f>75*P22</f>
        <v>352500000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163</v>
      </c>
      <c r="AK27" s="117">
        <f t="shared" si="5"/>
        <v>-3023650000</v>
      </c>
      <c r="AL27" s="103"/>
      <c r="AN27" s="100"/>
      <c r="AR27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9"/>
      <c r="L28" s="121"/>
      <c r="M28" s="179" t="s">
        <v>4253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162</v>
      </c>
      <c r="AK28" s="117">
        <f t="shared" si="5"/>
        <v>-10523682</v>
      </c>
      <c r="AL28" s="103"/>
      <c r="AN28" s="100"/>
      <c r="AR28" t="s">
        <v>25</v>
      </c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9"/>
      <c r="L29" s="121"/>
      <c r="M29" s="179" t="s">
        <v>4254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157</v>
      </c>
      <c r="AK29" s="117">
        <f t="shared" si="5"/>
        <v>1004800000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03"/>
      <c r="L30" s="103"/>
      <c r="M30" s="179" t="s">
        <v>3922</v>
      </c>
      <c r="N30" s="117">
        <v>4965400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4096</v>
      </c>
      <c r="AH30" s="117">
        <v>-170000</v>
      </c>
      <c r="AI30" s="103">
        <v>5</v>
      </c>
      <c r="AJ30" s="103">
        <f t="shared" si="4"/>
        <v>156</v>
      </c>
      <c r="AK30" s="117">
        <f t="shared" si="5"/>
        <v>-26520000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03"/>
      <c r="L31" s="103"/>
      <c r="M31" s="179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151</v>
      </c>
      <c r="AK31" s="117">
        <f t="shared" si="5"/>
        <v>-951300000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0">
        <v>235083989</v>
      </c>
      <c r="R32" s="179" t="s">
        <v>4226</v>
      </c>
      <c r="S32" s="179">
        <v>17</v>
      </c>
      <c r="T32" s="179" t="s">
        <v>4326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150</v>
      </c>
      <c r="AK32" s="117">
        <f t="shared" si="5"/>
        <v>-7802250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21"/>
      <c r="M33" s="179" t="s">
        <v>4233</v>
      </c>
      <c r="N33" s="117">
        <f>O33*P33</f>
        <v>249619370</v>
      </c>
      <c r="O33" s="103">
        <v>1246850</v>
      </c>
      <c r="P33" s="103">
        <v>200.2</v>
      </c>
      <c r="Q33" s="180">
        <v>4995629</v>
      </c>
      <c r="R33" s="179" t="s">
        <v>4306</v>
      </c>
      <c r="S33" s="179">
        <f>S32-17</f>
        <v>0</v>
      </c>
      <c r="T33" s="179" t="s">
        <v>4323</v>
      </c>
      <c r="U33" s="100"/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134</v>
      </c>
      <c r="AK33" s="117">
        <f t="shared" si="5"/>
        <v>2682331600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21"/>
      <c r="M34" s="103" t="s">
        <v>4320</v>
      </c>
      <c r="N34" s="117">
        <f>O34*P34</f>
        <v>4977000</v>
      </c>
      <c r="O34" s="103">
        <v>79</v>
      </c>
      <c r="P34" s="103">
        <v>63000</v>
      </c>
      <c r="Q34" s="180">
        <v>4999825</v>
      </c>
      <c r="R34" s="179" t="s">
        <v>4306</v>
      </c>
      <c r="S34" s="179">
        <f>S33</f>
        <v>0</v>
      </c>
      <c r="T34" s="179" t="s">
        <v>4325</v>
      </c>
      <c r="U34" s="100"/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134</v>
      </c>
      <c r="AK34" s="117">
        <f t="shared" si="5"/>
        <v>135938444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21"/>
      <c r="M35" s="103"/>
      <c r="N35" s="103"/>
      <c r="Q35" s="180"/>
      <c r="R35" s="179"/>
      <c r="S35" s="179"/>
      <c r="T35" s="179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122</v>
      </c>
      <c r="AK35" s="117">
        <f t="shared" si="5"/>
        <v>43920000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21"/>
      <c r="M36" s="103" t="s">
        <v>4321</v>
      </c>
      <c r="N36" s="117">
        <f>-O36*P36</f>
        <v>-1305904.5999999999</v>
      </c>
      <c r="O36" s="200">
        <v>6523</v>
      </c>
      <c r="P36" s="103">
        <f>P33</f>
        <v>200.2</v>
      </c>
      <c r="Q36" s="117">
        <f>SUM(N31:N35)-SUM(Q32:Q35)</f>
        <v>9516927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120</v>
      </c>
      <c r="AK36" s="117">
        <f t="shared" si="5"/>
        <v>-42000000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21"/>
      <c r="M37" s="103"/>
      <c r="N37" s="103"/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120</v>
      </c>
      <c r="AK37" s="117">
        <f t="shared" si="5"/>
        <v>120000</v>
      </c>
      <c r="AL37" s="103"/>
      <c r="AN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103"/>
      <c r="L38" s="103"/>
      <c r="M38" s="73" t="s">
        <v>4322</v>
      </c>
      <c r="N38" s="121">
        <v>-1000000</v>
      </c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119</v>
      </c>
      <c r="AK38" s="117">
        <f t="shared" si="5"/>
        <v>3999590000</v>
      </c>
      <c r="AL38" s="103"/>
      <c r="AN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4097</v>
      </c>
      <c r="AH39" s="117">
        <v>-15600000</v>
      </c>
      <c r="AI39" s="103">
        <v>3</v>
      </c>
      <c r="AJ39" s="103">
        <f t="shared" si="4"/>
        <v>115</v>
      </c>
      <c r="AK39" s="117">
        <f t="shared" si="5"/>
        <v>-1794000000</v>
      </c>
      <c r="AL39" s="103"/>
      <c r="AN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103"/>
      <c r="L40" s="103"/>
      <c r="M40" s="179" t="s">
        <v>1179</v>
      </c>
      <c r="N40" s="121">
        <v>14908</v>
      </c>
      <c r="O40" s="100" t="s">
        <v>25</v>
      </c>
      <c r="P40" t="s">
        <v>25</v>
      </c>
      <c r="Q40">
        <f>O33-O36-O42-O43</f>
        <v>965397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112</v>
      </c>
      <c r="AK40" s="117">
        <f t="shared" si="5"/>
        <v>840000000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103"/>
      <c r="L41" s="103"/>
      <c r="M41" s="179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4098</v>
      </c>
      <c r="AH41" s="117">
        <v>-98000</v>
      </c>
      <c r="AI41" s="103">
        <v>1</v>
      </c>
      <c r="AJ41" s="103">
        <f t="shared" si="4"/>
        <v>108</v>
      </c>
      <c r="AK41" s="117">
        <f t="shared" si="5"/>
        <v>-10584000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9"/>
      <c r="L42" s="121"/>
      <c r="M42" s="179" t="s">
        <v>4234</v>
      </c>
      <c r="N42" s="117">
        <f>-O42*P33</f>
        <v>-36542906.399999999</v>
      </c>
      <c r="O42" s="103">
        <v>182532</v>
      </c>
      <c r="P42" s="103">
        <f>P33</f>
        <v>200.2</v>
      </c>
      <c r="R42" t="s">
        <v>25</v>
      </c>
      <c r="T42" t="s">
        <v>25</v>
      </c>
      <c r="U42" s="100"/>
      <c r="AB42" t="s">
        <v>25</v>
      </c>
      <c r="AC42" t="s">
        <v>25</v>
      </c>
      <c r="AF42" s="103">
        <v>23</v>
      </c>
      <c r="AG42" s="117" t="s">
        <v>4092</v>
      </c>
      <c r="AH42" s="117">
        <v>-26000000</v>
      </c>
      <c r="AI42" s="103">
        <v>0</v>
      </c>
      <c r="AJ42" s="103">
        <f t="shared" si="4"/>
        <v>107</v>
      </c>
      <c r="AK42" s="117">
        <f t="shared" si="5"/>
        <v>-2782000000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9" t="s">
        <v>25</v>
      </c>
      <c r="L43" s="121"/>
      <c r="M43" s="179" t="s">
        <v>4235</v>
      </c>
      <c r="N43" s="117">
        <f>-O43*P43</f>
        <v>-18498079.599999998</v>
      </c>
      <c r="O43" s="103">
        <v>92398</v>
      </c>
      <c r="P43" s="103">
        <f>P42</f>
        <v>200.2</v>
      </c>
      <c r="V43"/>
      <c r="AF43" s="103">
        <v>24</v>
      </c>
      <c r="AG43" s="117" t="s">
        <v>4092</v>
      </c>
      <c r="AH43" s="117">
        <v>25000000</v>
      </c>
      <c r="AI43" s="103">
        <v>1</v>
      </c>
      <c r="AJ43" s="103">
        <f t="shared" si="4"/>
        <v>107</v>
      </c>
      <c r="AK43" s="117">
        <f t="shared" si="5"/>
        <v>2675000000</v>
      </c>
      <c r="AL43" s="103"/>
      <c r="AN43" s="100"/>
      <c r="AO43" s="100"/>
      <c r="AP43" s="100"/>
      <c r="AQ43" s="100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9"/>
      <c r="L44" s="121"/>
      <c r="M44" s="179"/>
      <c r="N44" s="117"/>
      <c r="O44" s="100"/>
      <c r="P44" s="100"/>
      <c r="V44"/>
      <c r="AF44" s="103">
        <v>25</v>
      </c>
      <c r="AG44" s="117" t="s">
        <v>4093</v>
      </c>
      <c r="AH44" s="117">
        <v>110000</v>
      </c>
      <c r="AI44" s="103">
        <v>1</v>
      </c>
      <c r="AJ44" s="103">
        <f t="shared" si="4"/>
        <v>106</v>
      </c>
      <c r="AK44" s="117">
        <f t="shared" si="5"/>
        <v>11660000</v>
      </c>
      <c r="AL44" s="103"/>
      <c r="AO44" s="100"/>
      <c r="AP44" s="100"/>
      <c r="AQ44" s="100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9" t="s">
        <v>598</v>
      </c>
      <c r="L45" s="117">
        <f>SUM(L16:L38)</f>
        <v>311165321</v>
      </c>
      <c r="M45" s="179"/>
      <c r="N45" s="117">
        <f>SUM(N16:N44)</f>
        <v>441766550</v>
      </c>
      <c r="O45" t="s">
        <v>25</v>
      </c>
      <c r="V45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105</v>
      </c>
      <c r="AK45" s="117">
        <f t="shared" si="5"/>
        <v>39900000</v>
      </c>
      <c r="AL45" s="103"/>
      <c r="AO45" s="100"/>
      <c r="AP45" s="100"/>
      <c r="AQ45" s="100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9" t="s">
        <v>599</v>
      </c>
      <c r="L46" s="117">
        <f>L16+L17+L21</f>
        <v>313202</v>
      </c>
      <c r="M46" s="179"/>
      <c r="N46" s="117">
        <f>N16+N17+N24</f>
        <v>-7267301</v>
      </c>
      <c r="V46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98</v>
      </c>
      <c r="AK46" s="117">
        <f t="shared" si="5"/>
        <v>44100000</v>
      </c>
      <c r="AL46" s="103"/>
      <c r="AO46" s="103" t="s">
        <v>1080</v>
      </c>
      <c r="AP46" s="103" t="s">
        <v>267</v>
      </c>
      <c r="AQ46" s="103" t="s">
        <v>180</v>
      </c>
      <c r="AR46" s="103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381165321</v>
      </c>
      <c r="M47" s="117"/>
      <c r="N47" s="179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92</v>
      </c>
      <c r="AK47" s="117">
        <f t="shared" si="5"/>
        <v>257600000</v>
      </c>
      <c r="AL47" s="103"/>
      <c r="AO47" s="103">
        <v>1</v>
      </c>
      <c r="AP47" s="180">
        <v>5000000</v>
      </c>
      <c r="AQ47" s="103" t="s">
        <v>4200</v>
      </c>
      <c r="AR47" s="103" t="s">
        <v>4238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4108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91</v>
      </c>
      <c r="AK48" s="117">
        <f t="shared" si="5"/>
        <v>-136500000</v>
      </c>
      <c r="AL48" s="103"/>
      <c r="AO48" s="103">
        <v>2</v>
      </c>
      <c r="AP48" s="180">
        <v>13000000</v>
      </c>
      <c r="AQ48" s="103" t="s">
        <v>4211</v>
      </c>
      <c r="AR48" s="103" t="s">
        <v>4239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4155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91</v>
      </c>
      <c r="AK49" s="117">
        <f t="shared" si="5"/>
        <v>277550000</v>
      </c>
      <c r="AL49" s="103"/>
      <c r="AO49" s="103">
        <v>3</v>
      </c>
      <c r="AP49" s="180">
        <v>-168093</v>
      </c>
      <c r="AQ49" s="103" t="s">
        <v>4226</v>
      </c>
      <c r="AR49" s="103" t="s">
        <v>4240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4123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88</v>
      </c>
      <c r="AK50" s="117">
        <f t="shared" si="5"/>
        <v>-730365856</v>
      </c>
      <c r="AL50" s="103"/>
      <c r="AO50" s="103"/>
      <c r="AP50" s="180"/>
      <c r="AQ50" s="103"/>
      <c r="AR50" s="103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8" t="s">
        <v>4159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86</v>
      </c>
      <c r="AK51" s="117">
        <f t="shared" si="5"/>
        <v>430000000</v>
      </c>
      <c r="AL51" s="103"/>
      <c r="AO51" s="103"/>
      <c r="AP51" s="180"/>
      <c r="AQ51" s="103"/>
      <c r="AR51" s="103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72</v>
      </c>
      <c r="AK52" s="117">
        <f t="shared" si="5"/>
        <v>-6480000</v>
      </c>
      <c r="AL52" s="103"/>
      <c r="AO52" s="103"/>
      <c r="AP52" s="180"/>
      <c r="AQ52" s="103"/>
      <c r="AR52" s="103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4094</v>
      </c>
      <c r="AH53" s="117">
        <v>5600000</v>
      </c>
      <c r="AI53" s="103">
        <v>4</v>
      </c>
      <c r="AJ53" s="103">
        <f t="shared" si="4"/>
        <v>71</v>
      </c>
      <c r="AK53" s="117">
        <f t="shared" si="5"/>
        <v>397600000</v>
      </c>
      <c r="AL53" s="103"/>
      <c r="AO53" s="103"/>
      <c r="AP53" s="180"/>
      <c r="AQ53" s="103"/>
      <c r="AR53" s="103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4021</v>
      </c>
      <c r="AH54" s="117">
        <v>750000</v>
      </c>
      <c r="AI54" s="103">
        <v>2</v>
      </c>
      <c r="AJ54" s="103">
        <f t="shared" si="4"/>
        <v>67</v>
      </c>
      <c r="AK54" s="117">
        <f t="shared" si="5"/>
        <v>50250000</v>
      </c>
      <c r="AL54" s="103"/>
      <c r="AO54" s="103"/>
      <c r="AP54" s="180"/>
      <c r="AQ54" s="103"/>
      <c r="AR54" s="103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سارا!C267</f>
        <v>7906317</v>
      </c>
      <c r="R55" s="116" t="s">
        <v>1156</v>
      </c>
      <c r="AF55" s="182">
        <v>36</v>
      </c>
      <c r="AG55" s="181" t="s">
        <v>4031</v>
      </c>
      <c r="AH55" s="181">
        <v>-4242000</v>
      </c>
      <c r="AI55" s="182">
        <v>2</v>
      </c>
      <c r="AJ55" s="182">
        <f t="shared" si="4"/>
        <v>65</v>
      </c>
      <c r="AK55" s="181">
        <f t="shared" si="5"/>
        <v>-275730000</v>
      </c>
      <c r="AL55" s="182" t="s">
        <v>4103</v>
      </c>
      <c r="AO55" s="103"/>
      <c r="AP55" s="180">
        <f>SUM(AP47:AP53)</f>
        <v>17831907</v>
      </c>
      <c r="AQ55" s="103"/>
      <c r="AR55" s="190" t="s">
        <v>4244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9615205.5999999996</v>
      </c>
      <c r="R56" s="56" t="s">
        <v>3749</v>
      </c>
      <c r="AF56" s="103">
        <v>37</v>
      </c>
      <c r="AG56" s="117" t="s">
        <v>4031</v>
      </c>
      <c r="AH56" s="117">
        <v>4100000</v>
      </c>
      <c r="AI56" s="103">
        <v>0</v>
      </c>
      <c r="AJ56" s="103">
        <f t="shared" si="4"/>
        <v>63</v>
      </c>
      <c r="AK56" s="117">
        <f t="shared" si="5"/>
        <v>258300000</v>
      </c>
      <c r="AL56" s="103"/>
      <c r="AO56" s="103"/>
      <c r="AP56" s="103" t="s">
        <v>6</v>
      </c>
      <c r="AQ56" s="103"/>
      <c r="AR56" s="103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4037</v>
      </c>
      <c r="AH57" s="117">
        <v>4100000</v>
      </c>
      <c r="AI57" s="103">
        <v>1</v>
      </c>
      <c r="AJ57" s="103">
        <f t="shared" si="4"/>
        <v>63</v>
      </c>
      <c r="AK57" s="117">
        <f t="shared" si="5"/>
        <v>258300000</v>
      </c>
      <c r="AL57" s="103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4109</v>
      </c>
      <c r="AF58" s="103">
        <v>39</v>
      </c>
      <c r="AG58" s="117" t="s">
        <v>4046</v>
      </c>
      <c r="AH58" s="117">
        <v>790000</v>
      </c>
      <c r="AI58" s="103">
        <v>15</v>
      </c>
      <c r="AJ58" s="103">
        <f t="shared" si="4"/>
        <v>62</v>
      </c>
      <c r="AK58" s="117">
        <f t="shared" si="5"/>
        <v>48980000</v>
      </c>
      <c r="AL58" s="103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0</v>
      </c>
      <c r="R59" s="56" t="s">
        <v>4183</v>
      </c>
      <c r="AF59" s="182">
        <v>40</v>
      </c>
      <c r="AG59" s="181" t="s">
        <v>4077</v>
      </c>
      <c r="AH59" s="181">
        <v>-3865000</v>
      </c>
      <c r="AI59" s="182">
        <v>6</v>
      </c>
      <c r="AJ59" s="182">
        <f t="shared" si="4"/>
        <v>47</v>
      </c>
      <c r="AK59" s="183">
        <f t="shared" si="5"/>
        <v>-181655000</v>
      </c>
      <c r="AL59" s="182" t="s">
        <v>4104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4182</v>
      </c>
      <c r="AF60" s="20">
        <v>41</v>
      </c>
      <c r="AG60" s="121" t="s">
        <v>4110</v>
      </c>
      <c r="AH60" s="121">
        <v>18800000</v>
      </c>
      <c r="AI60" s="20">
        <v>3</v>
      </c>
      <c r="AJ60" s="103">
        <f t="shared" si="4"/>
        <v>41</v>
      </c>
      <c r="AK60" s="117">
        <f t="shared" si="5"/>
        <v>770800000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4127</v>
      </c>
      <c r="AH61" s="121">
        <v>500000</v>
      </c>
      <c r="AI61" s="20">
        <v>1</v>
      </c>
      <c r="AJ61" s="103">
        <f t="shared" si="4"/>
        <v>38</v>
      </c>
      <c r="AK61" s="117">
        <f t="shared" si="5"/>
        <v>19000000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4131</v>
      </c>
      <c r="AH62" s="121">
        <v>200000</v>
      </c>
      <c r="AI62" s="20">
        <v>3</v>
      </c>
      <c r="AJ62" s="103">
        <f>AJ63+AI62</f>
        <v>37</v>
      </c>
      <c r="AK62" s="117">
        <f t="shared" si="5"/>
        <v>7400000</v>
      </c>
      <c r="AL62" s="20"/>
      <c r="AT62" s="103" t="s">
        <v>1158</v>
      </c>
      <c r="AU62" s="103" t="s">
        <v>4311</v>
      </c>
      <c r="AV62" s="103" t="s">
        <v>939</v>
      </c>
      <c r="AW62" s="103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4138</v>
      </c>
      <c r="AH63" s="121">
        <v>1000000</v>
      </c>
      <c r="AI63" s="20">
        <v>3</v>
      </c>
      <c r="AJ63" s="103">
        <f t="shared" si="4"/>
        <v>34</v>
      </c>
      <c r="AK63" s="117">
        <f t="shared" si="5"/>
        <v>34000000</v>
      </c>
      <c r="AL63" s="20"/>
      <c r="AT63" s="103">
        <v>1</v>
      </c>
      <c r="AU63" s="180" t="s">
        <v>4312</v>
      </c>
      <c r="AV63" s="103">
        <v>18290</v>
      </c>
      <c r="AW63" s="103" t="s">
        <v>4226</v>
      </c>
      <c r="AX63" s="103" t="s">
        <v>4313</v>
      </c>
      <c r="AY63" s="180">
        <v>3465500</v>
      </c>
    </row>
    <row r="64" spans="1:51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4150</v>
      </c>
      <c r="AH64" s="121">
        <v>1300000</v>
      </c>
      <c r="AI64" s="20">
        <v>0</v>
      </c>
      <c r="AJ64" s="103">
        <f>AJ65+AI64</f>
        <v>31</v>
      </c>
      <c r="AK64" s="117">
        <f t="shared" si="5"/>
        <v>40300000</v>
      </c>
      <c r="AL64" s="20"/>
      <c r="AT64" s="103">
        <v>2</v>
      </c>
      <c r="AU64" s="180" t="s">
        <v>4314</v>
      </c>
      <c r="AV64" s="103">
        <v>79</v>
      </c>
      <c r="AW64" s="103" t="s">
        <v>4306</v>
      </c>
      <c r="AX64" s="36" t="s">
        <v>4316</v>
      </c>
      <c r="AY64" s="180">
        <v>4995629</v>
      </c>
    </row>
    <row r="65" spans="1:51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4150</v>
      </c>
      <c r="AH65" s="121">
        <v>995000</v>
      </c>
      <c r="AI65" s="20">
        <v>2</v>
      </c>
      <c r="AJ65" s="103">
        <f t="shared" ref="AJ65:AJ79" si="9">AJ66+AI65</f>
        <v>31</v>
      </c>
      <c r="AK65" s="117">
        <f t="shared" si="5"/>
        <v>30845000</v>
      </c>
      <c r="AL65" s="20"/>
      <c r="AT65" s="103">
        <v>3</v>
      </c>
      <c r="AU65" s="180" t="s">
        <v>4312</v>
      </c>
      <c r="AV65" s="103">
        <v>24813</v>
      </c>
      <c r="AW65" s="103" t="s">
        <v>4306</v>
      </c>
      <c r="AX65" s="103" t="s">
        <v>4315</v>
      </c>
      <c r="AY65" s="180">
        <v>4995629</v>
      </c>
    </row>
    <row r="66" spans="1:51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4162</v>
      </c>
      <c r="AH66" s="121">
        <v>13000000</v>
      </c>
      <c r="AI66" s="20">
        <v>2</v>
      </c>
      <c r="AJ66" s="103">
        <f t="shared" si="9"/>
        <v>29</v>
      </c>
      <c r="AK66" s="117">
        <f t="shared" si="5"/>
        <v>377000000</v>
      </c>
      <c r="AL66" s="20"/>
      <c r="AT66" s="103"/>
      <c r="AU66" s="180"/>
      <c r="AV66" s="103"/>
      <c r="AW66" s="103"/>
      <c r="AX66" s="103"/>
      <c r="AY66" s="180"/>
    </row>
    <row r="67" spans="1:51" x14ac:dyDescent="0.25">
      <c r="A67" t="s">
        <v>25</v>
      </c>
      <c r="F67" t="s">
        <v>310</v>
      </c>
      <c r="G67" t="s">
        <v>4142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4175</v>
      </c>
      <c r="AH67" s="121">
        <v>-3100000</v>
      </c>
      <c r="AI67" s="20">
        <v>3</v>
      </c>
      <c r="AJ67" s="103">
        <f t="shared" si="9"/>
        <v>27</v>
      </c>
      <c r="AK67" s="117">
        <f t="shared" si="5"/>
        <v>-83700000</v>
      </c>
      <c r="AL67" s="20"/>
      <c r="AT67" s="194"/>
      <c r="AU67" s="195" t="s">
        <v>4318</v>
      </c>
      <c r="AV67" s="194"/>
      <c r="AW67" s="194"/>
      <c r="AX67" s="194"/>
      <c r="AY67" s="195"/>
    </row>
    <row r="68" spans="1:51" x14ac:dyDescent="0.25">
      <c r="F68" t="s">
        <v>4146</v>
      </c>
      <c r="G68" t="s">
        <v>4141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4192</v>
      </c>
      <c r="AH68" s="121">
        <v>45640000</v>
      </c>
      <c r="AI68" s="20">
        <v>1</v>
      </c>
      <c r="AJ68" s="103">
        <f t="shared" si="9"/>
        <v>24</v>
      </c>
      <c r="AK68" s="117">
        <f t="shared" si="5"/>
        <v>1095360000</v>
      </c>
      <c r="AL68" s="20"/>
      <c r="AT68" s="194"/>
      <c r="AU68" s="195" t="s">
        <v>4312</v>
      </c>
      <c r="AV68" s="194">
        <f>AV65-AV63</f>
        <v>6523</v>
      </c>
      <c r="AW68" s="194" t="s">
        <v>4306</v>
      </c>
      <c r="AX68" s="194" t="s">
        <v>4317</v>
      </c>
      <c r="AY68" s="195"/>
    </row>
    <row r="69" spans="1:51" x14ac:dyDescent="0.25">
      <c r="F69" t="s">
        <v>4147</v>
      </c>
      <c r="G69" t="s">
        <v>4143</v>
      </c>
      <c r="K69" s="32" t="s">
        <v>320</v>
      </c>
      <c r="L69" s="1">
        <v>40000</v>
      </c>
      <c r="N69" s="100"/>
      <c r="Q69" s="117">
        <f>SUM(Q53:Q67)</f>
        <v>89443430.599999994</v>
      </c>
      <c r="R69" s="56" t="s">
        <v>1159</v>
      </c>
      <c r="S69" s="119"/>
      <c r="T69" s="119"/>
      <c r="W69" s="119"/>
      <c r="AF69" s="20">
        <v>49</v>
      </c>
      <c r="AG69" s="121" t="s">
        <v>4202</v>
      </c>
      <c r="AH69" s="121">
        <v>33500000</v>
      </c>
      <c r="AI69" s="20">
        <v>1</v>
      </c>
      <c r="AJ69" s="103">
        <f t="shared" si="9"/>
        <v>23</v>
      </c>
      <c r="AK69" s="117">
        <f t="shared" si="5"/>
        <v>770500000</v>
      </c>
      <c r="AL69" s="20"/>
      <c r="AT69" s="194"/>
      <c r="AU69" s="195" t="s">
        <v>3940</v>
      </c>
      <c r="AV69" s="194">
        <v>79</v>
      </c>
      <c r="AW69" s="194" t="s">
        <v>4306</v>
      </c>
      <c r="AX69" s="194" t="s">
        <v>4319</v>
      </c>
      <c r="AY69" s="195"/>
    </row>
    <row r="70" spans="1:51" x14ac:dyDescent="0.25">
      <c r="G70" t="s">
        <v>4144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4210</v>
      </c>
      <c r="AH70" s="121">
        <v>12000000</v>
      </c>
      <c r="AI70" s="20">
        <v>1</v>
      </c>
      <c r="AJ70" s="103">
        <f t="shared" si="9"/>
        <v>22</v>
      </c>
      <c r="AK70" s="121">
        <f t="shared" si="5"/>
        <v>264000000</v>
      </c>
      <c r="AL70" s="20"/>
      <c r="AT70" s="103"/>
      <c r="AU70" s="180"/>
      <c r="AV70" s="103"/>
      <c r="AW70" s="103"/>
      <c r="AX70" s="103"/>
      <c r="AY70" s="180"/>
    </row>
    <row r="71" spans="1:51" ht="18.75" x14ac:dyDescent="0.3">
      <c r="G71" t="s">
        <v>4145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4216</v>
      </c>
      <c r="AH71" s="121">
        <v>15500000</v>
      </c>
      <c r="AI71" s="20">
        <v>4</v>
      </c>
      <c r="AJ71" s="103">
        <f t="shared" si="9"/>
        <v>21</v>
      </c>
      <c r="AK71" s="121">
        <f t="shared" si="5"/>
        <v>325500000</v>
      </c>
      <c r="AL71" s="20"/>
      <c r="AT71" s="103"/>
      <c r="AU71" s="180"/>
      <c r="AV71" s="103"/>
      <c r="AW71" s="190"/>
      <c r="AX71" s="103"/>
      <c r="AY71" s="180"/>
    </row>
    <row r="72" spans="1:51" x14ac:dyDescent="0.25">
      <c r="G72" t="s">
        <v>4149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4220</v>
      </c>
      <c r="AH72" s="121">
        <v>150000</v>
      </c>
      <c r="AI72" s="20">
        <v>1</v>
      </c>
      <c r="AJ72" s="103">
        <f t="shared" si="9"/>
        <v>17</v>
      </c>
      <c r="AK72" s="121">
        <f t="shared" si="5"/>
        <v>2550000</v>
      </c>
      <c r="AL72" s="20"/>
      <c r="AT72" s="103"/>
      <c r="AU72" s="103"/>
      <c r="AV72" s="103"/>
      <c r="AW72" s="103"/>
      <c r="AX72" s="103"/>
      <c r="AY72" s="180"/>
    </row>
    <row r="73" spans="1:51" x14ac:dyDescent="0.25">
      <c r="G73" t="s">
        <v>4148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2">
        <v>53</v>
      </c>
      <c r="AG73" s="193" t="s">
        <v>4226</v>
      </c>
      <c r="AH73" s="193">
        <v>29000000</v>
      </c>
      <c r="AI73" s="192">
        <v>15</v>
      </c>
      <c r="AJ73" s="192">
        <f t="shared" si="9"/>
        <v>16</v>
      </c>
      <c r="AK73" s="193">
        <f t="shared" si="5"/>
        <v>464000000</v>
      </c>
      <c r="AL73" s="192" t="s">
        <v>4245</v>
      </c>
    </row>
    <row r="74" spans="1:51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>
        <v>54</v>
      </c>
      <c r="AG74" s="121" t="s">
        <v>4275</v>
      </c>
      <c r="AH74" s="121">
        <v>-130000</v>
      </c>
      <c r="AI74" s="20">
        <v>1</v>
      </c>
      <c r="AJ74" s="103">
        <f t="shared" si="9"/>
        <v>1</v>
      </c>
      <c r="AK74" s="121">
        <f t="shared" si="5"/>
        <v>-130000</v>
      </c>
      <c r="AL74" s="20" t="s">
        <v>4277</v>
      </c>
    </row>
    <row r="75" spans="1:51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9"/>
        <v>0</v>
      </c>
      <c r="AK75" s="121">
        <f>AH75*AJ75</f>
        <v>0</v>
      </c>
      <c r="AL75" s="20"/>
    </row>
    <row r="76" spans="1:51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9"/>
        <v>0</v>
      </c>
      <c r="AK76" s="121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9"/>
        <v>0</v>
      </c>
      <c r="AK77" s="121">
        <f t="shared" si="5"/>
        <v>0</v>
      </c>
      <c r="AL77" s="20"/>
    </row>
    <row r="78" spans="1:51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9"/>
        <v>0</v>
      </c>
      <c r="AK78" s="121">
        <f t="shared" si="5"/>
        <v>0</v>
      </c>
      <c r="AL78" s="103"/>
    </row>
    <row r="79" spans="1:51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9"/>
        <v>0</v>
      </c>
      <c r="AK79" s="121">
        <f t="shared" si="5"/>
        <v>0</v>
      </c>
      <c r="AL79" s="103"/>
    </row>
    <row r="80" spans="1:51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222461899</v>
      </c>
      <c r="AI80" s="103"/>
      <c r="AJ80" s="103"/>
      <c r="AK80" s="99">
        <f>SUM(AK20:AK79)</f>
        <v>11025161650</v>
      </c>
      <c r="AL80" s="99">
        <f>AK80*AL83/31</f>
        <v>7113007.5161290327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4100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4101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4102</v>
      </c>
      <c r="AH85" s="99">
        <f>AH80+AL80</f>
        <v>229574906.51612905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4105</v>
      </c>
      <c r="AH86" s="118">
        <f>SUM(N33:N36)</f>
        <v>253290465.40000001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4181</v>
      </c>
      <c r="AH87" s="118">
        <f>AH86-AH80</f>
        <v>30828566.400000006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7113007.5161290327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4106</v>
      </c>
      <c r="AH89" s="118">
        <f>AH86-AH85</f>
        <v>23715558.883870959</v>
      </c>
      <c r="AO89" t="s">
        <v>25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  <c r="AR91" s="100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4064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4007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4009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4065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4031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4063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4061</v>
      </c>
      <c r="B41" s="117">
        <v>-315101</v>
      </c>
      <c r="C41" s="103" t="s">
        <v>4062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4071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4019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4019</v>
      </c>
      <c r="B4" s="18">
        <v>-32000</v>
      </c>
      <c r="C4" s="18">
        <v>0</v>
      </c>
      <c r="D4" s="117">
        <f t="shared" si="0"/>
        <v>-32000</v>
      </c>
      <c r="E4" s="103" t="s">
        <v>4002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4021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4053</v>
      </c>
      <c r="B6" s="18">
        <v>-9396</v>
      </c>
      <c r="C6" s="18">
        <v>0</v>
      </c>
      <c r="D6" s="117">
        <f t="shared" si="0"/>
        <v>-9396</v>
      </c>
      <c r="E6" s="19" t="s">
        <v>4056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4057</v>
      </c>
      <c r="B7" s="18">
        <v>-43300</v>
      </c>
      <c r="C7" s="18">
        <v>0</v>
      </c>
      <c r="D7" s="117">
        <f t="shared" si="0"/>
        <v>-43300</v>
      </c>
      <c r="E7" s="19" t="s">
        <v>4056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4070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4074</v>
      </c>
      <c r="B9" s="18">
        <v>3000000</v>
      </c>
      <c r="C9" s="18">
        <v>0</v>
      </c>
      <c r="D9" s="117">
        <f t="shared" si="0"/>
        <v>3000000</v>
      </c>
      <c r="E9" s="21" t="s">
        <v>4073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4072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4001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4002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4005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4012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4014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4015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4016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4025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4026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4027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4028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4029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4032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4036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4038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4039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4041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4047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4048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4049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4050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4055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4058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4060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4076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4080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4077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4079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4086</v>
      </c>
      <c r="B4" s="18">
        <v>-35800</v>
      </c>
      <c r="C4" s="18">
        <v>0</v>
      </c>
      <c r="D4" s="117">
        <f t="shared" si="0"/>
        <v>-35800</v>
      </c>
      <c r="E4" s="103" t="s">
        <v>4002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4085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4085</v>
      </c>
      <c r="B6" s="18">
        <v>-33377</v>
      </c>
      <c r="C6" s="18">
        <v>0</v>
      </c>
      <c r="D6" s="117">
        <f t="shared" si="0"/>
        <v>-33377</v>
      </c>
      <c r="E6" s="19" t="s">
        <v>4089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4110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4110</v>
      </c>
      <c r="B8" s="18">
        <v>18000000</v>
      </c>
      <c r="C8" s="18">
        <v>0</v>
      </c>
      <c r="D8" s="117">
        <f t="shared" si="0"/>
        <v>18000000</v>
      </c>
      <c r="E8" s="19" t="s">
        <v>4111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4110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4110</v>
      </c>
      <c r="B10" s="18">
        <v>-11600</v>
      </c>
      <c r="C10" s="18">
        <v>0</v>
      </c>
      <c r="D10" s="117">
        <f t="shared" si="0"/>
        <v>-11600</v>
      </c>
      <c r="E10" s="19" t="s">
        <v>4114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4110</v>
      </c>
      <c r="B11" s="18">
        <v>-3304327</v>
      </c>
      <c r="C11" s="18">
        <v>0</v>
      </c>
      <c r="D11" s="117">
        <f t="shared" si="0"/>
        <v>-3304327</v>
      </c>
      <c r="E11" s="19" t="s">
        <v>4115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4119</v>
      </c>
      <c r="B12" s="18">
        <v>-3000900</v>
      </c>
      <c r="C12" s="18">
        <v>0</v>
      </c>
      <c r="D12" s="117">
        <f t="shared" si="0"/>
        <v>-3000900</v>
      </c>
      <c r="E12" s="20" t="s">
        <v>4120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4124</v>
      </c>
      <c r="B13" s="18">
        <v>-2760900</v>
      </c>
      <c r="C13" s="18">
        <v>0</v>
      </c>
      <c r="D13" s="117">
        <f t="shared" si="0"/>
        <v>-2760900</v>
      </c>
      <c r="E13" s="20" t="s">
        <v>4125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4138</v>
      </c>
      <c r="B14" s="18">
        <v>1000000</v>
      </c>
      <c r="C14" s="18">
        <v>0</v>
      </c>
      <c r="D14" s="117">
        <f t="shared" si="0"/>
        <v>1000000</v>
      </c>
      <c r="E14" s="20" t="s">
        <v>4117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4150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4150</v>
      </c>
      <c r="B17" s="18">
        <v>783000</v>
      </c>
      <c r="C17" s="18">
        <v>0</v>
      </c>
      <c r="D17" s="117">
        <f t="shared" si="0"/>
        <v>783000</v>
      </c>
      <c r="E17" s="20" t="s">
        <v>4158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4162</v>
      </c>
      <c r="B18" s="18">
        <v>-750500</v>
      </c>
      <c r="C18" s="18">
        <v>0</v>
      </c>
      <c r="D18" s="117">
        <f t="shared" si="0"/>
        <v>-750500</v>
      </c>
      <c r="E18" s="20" t="s">
        <v>4163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4175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4175</v>
      </c>
      <c r="B20" s="18">
        <v>-99000</v>
      </c>
      <c r="C20" s="18">
        <v>0</v>
      </c>
      <c r="D20" s="117">
        <f t="shared" si="0"/>
        <v>-99000</v>
      </c>
      <c r="E20" s="19" t="s">
        <v>4177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4178</v>
      </c>
      <c r="B21" s="18">
        <v>-205750</v>
      </c>
      <c r="C21" s="18">
        <v>0</v>
      </c>
      <c r="D21" s="117">
        <f t="shared" si="0"/>
        <v>-205750</v>
      </c>
      <c r="E21" s="19" t="s">
        <v>4179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4178</v>
      </c>
      <c r="B22" s="18">
        <v>-95000</v>
      </c>
      <c r="C22" s="18">
        <v>0</v>
      </c>
      <c r="D22" s="117">
        <f t="shared" si="0"/>
        <v>-95000</v>
      </c>
      <c r="E22" s="19" t="s">
        <v>4180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4202</v>
      </c>
      <c r="B23" s="18">
        <v>48650000</v>
      </c>
      <c r="C23" s="18">
        <v>0</v>
      </c>
      <c r="D23" s="117">
        <f t="shared" si="0"/>
        <v>48650000</v>
      </c>
      <c r="E23" s="19" t="s">
        <v>4203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4202</v>
      </c>
      <c r="B24" s="18">
        <v>-3005900</v>
      </c>
      <c r="C24" s="18">
        <v>0</v>
      </c>
      <c r="D24" s="117">
        <f t="shared" si="0"/>
        <v>-3005900</v>
      </c>
      <c r="E24" s="19" t="s">
        <v>4205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4210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4210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79" t="s">
        <v>4223</v>
      </c>
      <c r="B27" s="18">
        <v>-18500</v>
      </c>
      <c r="C27" s="18">
        <v>0</v>
      </c>
      <c r="D27" s="18">
        <f t="shared" ref="D27" si="4">B27-C27</f>
        <v>-18500</v>
      </c>
      <c r="E27" s="179" t="s">
        <v>4224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4220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4081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4084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4118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4126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4128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4137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4140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4151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4151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4156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4169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4167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4164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4165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4166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4168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4172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4173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4174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4176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4177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4190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4191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4193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4194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-45640000</v>
      </c>
      <c r="E75" s="41" t="s">
        <v>4195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4206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4212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4213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4214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4215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4217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4221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4222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4225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-46434117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76146.625214657921</v>
      </c>
      <c r="C2" s="91">
        <f t="shared" ref="C2:C36" si="0">$S2/(1+($AC$3-$O2+$P2)/36500)^$N2</f>
        <v>79539.180134133669</v>
      </c>
      <c r="D2" s="91">
        <f t="shared" ref="D2:D36" si="1">$S2/(1+($AC$4-$O2+$P2)/36500)^$N2</f>
        <v>79973.768666291988</v>
      </c>
      <c r="E2" s="91">
        <f t="shared" ref="E2:E36" si="2">$S2/(1+($AC$5-$O2+$P2)/36500)^$N2</f>
        <v>80410.737714950767</v>
      </c>
      <c r="F2" s="91">
        <f t="shared" ref="F2:F36" si="3">$S2/(1+($AC$6-$O2+$P2)/36500)^$N2</f>
        <v>80850.100352575784</v>
      </c>
      <c r="G2" s="91">
        <f t="shared" ref="G2:G36" si="4">$S2/(1+($AC$7-$O2+$P2)/36500)^$N2</f>
        <v>81291.869723579046</v>
      </c>
      <c r="H2" s="91">
        <f t="shared" ref="H2:H36" si="5">$S2/(1+($AC$8-$O2+$P2)/36500)^$N2</f>
        <v>81736.059044757785</v>
      </c>
      <c r="I2" s="91">
        <f t="shared" ref="I2:I36" si="6">$S2/(1+($AC$9-$O2+$P2)/36500)^$N2</f>
        <v>82182.681605656064</v>
      </c>
      <c r="J2" s="91">
        <f t="shared" ref="J2:J36" si="7">$S2/(1+($AC$10-$O2+$P2)/36500)^$N2</f>
        <v>82631.750768990372</v>
      </c>
      <c r="K2" s="91">
        <f>$S2/(1+($AC$11-$O2+$P2)/36500)^$N2</f>
        <v>83083.279971058786</v>
      </c>
      <c r="L2" s="91">
        <f t="shared" ref="L2:L36" si="8">$S2/(1+($AC$5-$O2+$P2)/36500)^$N2</f>
        <v>80410.737714950767</v>
      </c>
      <c r="M2" s="90" t="s">
        <v>993</v>
      </c>
      <c r="N2" s="90">
        <f>601-$AD$19</f>
        <v>398</v>
      </c>
      <c r="O2" s="90">
        <v>0</v>
      </c>
      <c r="P2" s="90">
        <v>0</v>
      </c>
      <c r="Q2" s="90">
        <v>0</v>
      </c>
      <c r="R2" s="90">
        <f t="shared" ref="R2:R36" si="9">N2/30.5</f>
        <v>13.049180327868852</v>
      </c>
      <c r="S2" s="91">
        <v>100000</v>
      </c>
      <c r="T2" s="91">
        <v>73200</v>
      </c>
      <c r="U2" s="91">
        <f t="shared" ref="U2:U36" si="10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11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0" t="s">
        <v>4287</v>
      </c>
      <c r="B3" s="91">
        <f>$S3/(1+($B$1-$O3+$P3)/36500)^$N3</f>
        <v>95385.453677579193</v>
      </c>
      <c r="C3" s="91">
        <f t="shared" si="0"/>
        <v>96109.000729470063</v>
      </c>
      <c r="D3" s="91">
        <f t="shared" si="1"/>
        <v>96199.834766714441</v>
      </c>
      <c r="E3" s="91">
        <f t="shared" si="2"/>
        <v>96290.755897924391</v>
      </c>
      <c r="F3" s="91">
        <f t="shared" si="3"/>
        <v>96381.764207804008</v>
      </c>
      <c r="G3" s="91">
        <f t="shared" si="4"/>
        <v>96472.859781136547</v>
      </c>
      <c r="H3" s="91">
        <f t="shared" si="5"/>
        <v>96564.042702793231</v>
      </c>
      <c r="I3" s="91">
        <f t="shared" si="6"/>
        <v>96655.313057725623</v>
      </c>
      <c r="J3" s="91">
        <f t="shared" si="7"/>
        <v>96746.670930970504</v>
      </c>
      <c r="K3" s="91">
        <f>$S3/(1+($AC$11-$O3+$P3)/36500)^$N3</f>
        <v>96838.116407651032</v>
      </c>
      <c r="L3" s="91">
        <f t="shared" si="8"/>
        <v>96290.755897924391</v>
      </c>
      <c r="M3" s="90" t="s">
        <v>4296</v>
      </c>
      <c r="N3" s="90">
        <f>272-$AD$19</f>
        <v>69</v>
      </c>
      <c r="O3" s="90">
        <v>0</v>
      </c>
      <c r="P3" s="90">
        <v>0</v>
      </c>
      <c r="Q3" s="90">
        <v>0</v>
      </c>
      <c r="R3" s="90"/>
      <c r="S3" s="91">
        <v>100000</v>
      </c>
      <c r="T3" s="91"/>
      <c r="U3" s="91"/>
      <c r="W3">
        <v>97</v>
      </c>
      <c r="X3">
        <v>2</v>
      </c>
      <c r="Y3">
        <f>$AF$2</f>
        <v>1185</v>
      </c>
      <c r="Z3" s="3">
        <f t="shared" ref="Z3:Z49" si="12">Z2*(1+($AC$2+0.1875)/1200)</f>
        <v>89126.886853027347</v>
      </c>
      <c r="AA3" s="3">
        <f t="shared" si="11"/>
        <v>2394.6875</v>
      </c>
      <c r="AC3">
        <v>21</v>
      </c>
    </row>
    <row r="4" spans="1:39" x14ac:dyDescent="0.25">
      <c r="A4" s="94" t="s">
        <v>968</v>
      </c>
      <c r="B4" s="91">
        <f t="shared" ref="B4:B36" si="13">$S4/(1+($B$1-$O4+$P4)/36500)^$N4</f>
        <v>77620.555153413108</v>
      </c>
      <c r="C4" s="95">
        <f t="shared" si="0"/>
        <v>80830.525796107584</v>
      </c>
      <c r="D4" s="95">
        <f t="shared" si="1"/>
        <v>81241.020816184246</v>
      </c>
      <c r="E4" s="95">
        <f t="shared" si="2"/>
        <v>81653.606183931712</v>
      </c>
      <c r="F4" s="95">
        <f t="shared" si="3"/>
        <v>82068.292572792678</v>
      </c>
      <c r="G4" s="95">
        <f t="shared" si="4"/>
        <v>82485.090710836826</v>
      </c>
      <c r="H4" s="95">
        <f t="shared" si="5"/>
        <v>82904.011381080287</v>
      </c>
      <c r="I4" s="95">
        <f t="shared" si="6"/>
        <v>83325.065421732594</v>
      </c>
      <c r="J4" s="95">
        <f t="shared" si="7"/>
        <v>83748.263726502279</v>
      </c>
      <c r="K4" s="95">
        <f t="shared" ref="K4:K36" si="14">$S4/(1+($AC$11-$O4+$P4)/36500)^$N4</f>
        <v>84173.617244887108</v>
      </c>
      <c r="L4" s="95">
        <f t="shared" si="8"/>
        <v>81653.606183931712</v>
      </c>
      <c r="M4" s="94" t="s">
        <v>994</v>
      </c>
      <c r="N4" s="94">
        <f>573-$AD$19</f>
        <v>370</v>
      </c>
      <c r="O4" s="94">
        <v>0</v>
      </c>
      <c r="P4" s="94">
        <v>0</v>
      </c>
      <c r="Q4" s="94">
        <v>0</v>
      </c>
      <c r="R4" s="94">
        <f t="shared" si="9"/>
        <v>12.131147540983607</v>
      </c>
      <c r="S4" s="95">
        <v>100000</v>
      </c>
      <c r="T4" s="95">
        <v>73600</v>
      </c>
      <c r="U4" s="95">
        <f t="shared" si="10"/>
        <v>100000</v>
      </c>
      <c r="W4">
        <v>97</v>
      </c>
      <c r="X4">
        <v>3</v>
      </c>
      <c r="Y4">
        <f t="shared" ref="Y4:Y49" si="15">$AF$2</f>
        <v>1185</v>
      </c>
      <c r="Z4" s="3">
        <f t="shared" si="12"/>
        <v>90997.62307186953</v>
      </c>
      <c r="AA4" s="3">
        <f t="shared" si="11"/>
        <v>3629.5768229166665</v>
      </c>
      <c r="AC4">
        <v>20.5</v>
      </c>
    </row>
    <row r="5" spans="1:39" x14ac:dyDescent="0.25">
      <c r="A5" s="90" t="s">
        <v>969</v>
      </c>
      <c r="B5" s="91">
        <f t="shared" si="13"/>
        <v>94475.480098813918</v>
      </c>
      <c r="C5" s="91">
        <f t="shared" si="0"/>
        <v>95338.192711435928</v>
      </c>
      <c r="D5" s="91">
        <f t="shared" si="1"/>
        <v>95446.590918877977</v>
      </c>
      <c r="E5" s="91">
        <f t="shared" si="2"/>
        <v>95555.113860197758</v>
      </c>
      <c r="F5" s="91">
        <f t="shared" si="3"/>
        <v>95663.761680639756</v>
      </c>
      <c r="G5" s="91">
        <f t="shared" si="4"/>
        <v>95772.53452561445</v>
      </c>
      <c r="H5" s="91">
        <f t="shared" si="5"/>
        <v>95881.43254070876</v>
      </c>
      <c r="I5" s="91">
        <f t="shared" si="6"/>
        <v>95990.455871677026</v>
      </c>
      <c r="J5" s="91">
        <f t="shared" si="7"/>
        <v>96099.604664447164</v>
      </c>
      <c r="K5" s="91">
        <f t="shared" si="14"/>
        <v>96208.879065121873</v>
      </c>
      <c r="L5" s="91">
        <f t="shared" si="8"/>
        <v>95555.113860197758</v>
      </c>
      <c r="M5" s="90" t="s">
        <v>996</v>
      </c>
      <c r="N5" s="90">
        <f>286-$AD$19</f>
        <v>83</v>
      </c>
      <c r="O5" s="90">
        <v>0</v>
      </c>
      <c r="P5" s="90">
        <v>0</v>
      </c>
      <c r="Q5" s="90">
        <v>0</v>
      </c>
      <c r="R5" s="90">
        <f t="shared" si="9"/>
        <v>2.721311475409836</v>
      </c>
      <c r="S5" s="91">
        <v>100000</v>
      </c>
      <c r="T5" s="91">
        <v>86700</v>
      </c>
      <c r="U5" s="91">
        <f t="shared" si="10"/>
        <v>100000</v>
      </c>
      <c r="W5">
        <v>97</v>
      </c>
      <c r="X5">
        <v>4</v>
      </c>
      <c r="Y5">
        <f t="shared" si="15"/>
        <v>1185</v>
      </c>
      <c r="Z5" s="3">
        <f t="shared" si="12"/>
        <v>92907.62526447179</v>
      </c>
      <c r="AA5" s="3">
        <f t="shared" si="11"/>
        <v>4890.1930067274297</v>
      </c>
      <c r="AB5" t="s">
        <v>951</v>
      </c>
      <c r="AC5">
        <v>20</v>
      </c>
    </row>
    <row r="6" spans="1:39" x14ac:dyDescent="0.25">
      <c r="A6" s="92" t="s">
        <v>985</v>
      </c>
      <c r="B6" s="91">
        <f>$S6/(1+($B$1-$O6+$P6)/36500)^$N6</f>
        <v>83349.346700164853</v>
      </c>
      <c r="C6" s="93">
        <f t="shared" si="0"/>
        <v>85813.222133330433</v>
      </c>
      <c r="D6" s="93">
        <f t="shared" si="1"/>
        <v>86126.303486180885</v>
      </c>
      <c r="E6" s="93">
        <f t="shared" si="2"/>
        <v>86440.53139635452</v>
      </c>
      <c r="F6" s="93">
        <f t="shared" si="3"/>
        <v>86755.910078530942</v>
      </c>
      <c r="G6" s="93">
        <f t="shared" si="4"/>
        <v>87072.443762925715</v>
      </c>
      <c r="H6" s="93">
        <f t="shared" si="5"/>
        <v>87390.136695377849</v>
      </c>
      <c r="I6" s="93">
        <f t="shared" si="6"/>
        <v>87708.993137380778</v>
      </c>
      <c r="J6" s="93">
        <f t="shared" si="7"/>
        <v>88029.017366157335</v>
      </c>
      <c r="K6" s="93">
        <f t="shared" si="14"/>
        <v>88350.213674721905</v>
      </c>
      <c r="L6" s="93">
        <f t="shared" si="8"/>
        <v>86440.53139635452</v>
      </c>
      <c r="M6" s="92" t="s">
        <v>995</v>
      </c>
      <c r="N6" s="92">
        <f>469-$AD$19</f>
        <v>266</v>
      </c>
      <c r="O6" s="92">
        <v>0</v>
      </c>
      <c r="P6" s="92">
        <v>0</v>
      </c>
      <c r="Q6" s="92">
        <v>0</v>
      </c>
      <c r="R6" s="92">
        <f t="shared" si="9"/>
        <v>8.721311475409836</v>
      </c>
      <c r="S6" s="93">
        <v>100000</v>
      </c>
      <c r="T6" s="93">
        <v>78300</v>
      </c>
      <c r="U6" s="93">
        <f t="shared" si="10"/>
        <v>100000</v>
      </c>
      <c r="W6">
        <v>97</v>
      </c>
      <c r="X6">
        <v>5</v>
      </c>
      <c r="Y6">
        <f t="shared" si="15"/>
        <v>1185</v>
      </c>
      <c r="Z6" s="3">
        <f t="shared" si="12"/>
        <v>94857.71760726253</v>
      </c>
      <c r="AA6" s="3">
        <f t="shared" si="11"/>
        <v>6177.0720277009177</v>
      </c>
      <c r="AC6">
        <v>19.5</v>
      </c>
    </row>
    <row r="7" spans="1:39" x14ac:dyDescent="0.25">
      <c r="A7" s="94" t="s">
        <v>986</v>
      </c>
      <c r="B7" s="91">
        <f t="shared" si="13"/>
        <v>83349.346700164853</v>
      </c>
      <c r="C7" s="95">
        <f t="shared" si="0"/>
        <v>85813.222133330433</v>
      </c>
      <c r="D7" s="95">
        <f t="shared" si="1"/>
        <v>86126.303486180885</v>
      </c>
      <c r="E7" s="95">
        <f t="shared" si="2"/>
        <v>86440.53139635452</v>
      </c>
      <c r="F7" s="95">
        <f t="shared" si="3"/>
        <v>86755.910078530942</v>
      </c>
      <c r="G7" s="95">
        <f t="shared" si="4"/>
        <v>87072.443762925715</v>
      </c>
      <c r="H7" s="95">
        <f t="shared" si="5"/>
        <v>87390.136695377849</v>
      </c>
      <c r="I7" s="95">
        <f t="shared" si="6"/>
        <v>87708.993137380778</v>
      </c>
      <c r="J7" s="95">
        <f t="shared" si="7"/>
        <v>88029.017366157335</v>
      </c>
      <c r="K7" s="95">
        <f t="shared" si="14"/>
        <v>88350.213674721905</v>
      </c>
      <c r="L7" s="95">
        <f t="shared" si="8"/>
        <v>86440.53139635452</v>
      </c>
      <c r="M7" s="94" t="s">
        <v>995</v>
      </c>
      <c r="N7" s="94">
        <f>469-$AD$19</f>
        <v>266</v>
      </c>
      <c r="O7" s="94">
        <v>0</v>
      </c>
      <c r="P7" s="94">
        <v>0</v>
      </c>
      <c r="Q7" s="94">
        <v>0</v>
      </c>
      <c r="R7" s="94">
        <f t="shared" si="9"/>
        <v>8.721311475409836</v>
      </c>
      <c r="S7" s="95">
        <v>100000</v>
      </c>
      <c r="T7" s="95">
        <v>77700</v>
      </c>
      <c r="U7" s="95">
        <f t="shared" si="10"/>
        <v>100000</v>
      </c>
      <c r="W7">
        <v>97</v>
      </c>
      <c r="X7">
        <v>6</v>
      </c>
      <c r="Y7">
        <f t="shared" si="15"/>
        <v>1185</v>
      </c>
      <c r="Z7" s="3">
        <f t="shared" si="12"/>
        <v>96848.741575789973</v>
      </c>
      <c r="AA7" s="3">
        <f t="shared" si="11"/>
        <v>7490.7610282780197</v>
      </c>
      <c r="AC7">
        <v>19</v>
      </c>
    </row>
    <row r="8" spans="1:39" x14ac:dyDescent="0.25">
      <c r="A8" s="90" t="s">
        <v>987</v>
      </c>
      <c r="B8" s="91">
        <f t="shared" si="13"/>
        <v>75059.574338666891</v>
      </c>
      <c r="C8" s="91">
        <f t="shared" si="0"/>
        <v>78584.227764068477</v>
      </c>
      <c r="D8" s="91">
        <f t="shared" si="1"/>
        <v>79036.31888996037</v>
      </c>
      <c r="E8" s="91">
        <f t="shared" si="2"/>
        <v>79491.017116524337</v>
      </c>
      <c r="F8" s="91">
        <f t="shared" si="3"/>
        <v>79948.337514295868</v>
      </c>
      <c r="G8" s="91">
        <f t="shared" si="4"/>
        <v>80408.295241113126</v>
      </c>
      <c r="H8" s="91">
        <f t="shared" si="5"/>
        <v>80870.905542667548</v>
      </c>
      <c r="I8" s="91">
        <f t="shared" si="6"/>
        <v>81336.183752975077</v>
      </c>
      <c r="J8" s="91">
        <f t="shared" si="7"/>
        <v>81804.145294913716</v>
      </c>
      <c r="K8" s="91">
        <f t="shared" si="14"/>
        <v>82274.805680745645</v>
      </c>
      <c r="L8" s="91">
        <f t="shared" si="8"/>
        <v>79491.017116524337</v>
      </c>
      <c r="M8" s="90" t="s">
        <v>999</v>
      </c>
      <c r="N8" s="90">
        <f>622-$AD$19</f>
        <v>419</v>
      </c>
      <c r="O8" s="90">
        <v>0</v>
      </c>
      <c r="P8" s="90">
        <v>0</v>
      </c>
      <c r="Q8" s="90">
        <v>0</v>
      </c>
      <c r="R8" s="90">
        <f t="shared" si="9"/>
        <v>13.737704918032787</v>
      </c>
      <c r="S8" s="91">
        <v>100000</v>
      </c>
      <c r="T8" s="91">
        <v>71800</v>
      </c>
      <c r="U8" s="91">
        <f t="shared" si="10"/>
        <v>100000</v>
      </c>
      <c r="W8">
        <v>97</v>
      </c>
      <c r="X8">
        <v>7</v>
      </c>
      <c r="Y8">
        <f t="shared" si="15"/>
        <v>1185</v>
      </c>
      <c r="Z8" s="3">
        <f t="shared" si="12"/>
        <v>98881.556307823485</v>
      </c>
      <c r="AA8" s="3">
        <f t="shared" si="11"/>
        <v>8831.8185497004779</v>
      </c>
      <c r="AC8">
        <v>18.5</v>
      </c>
    </row>
    <row r="9" spans="1:39" x14ac:dyDescent="0.25">
      <c r="A9" s="90" t="s">
        <v>4288</v>
      </c>
      <c r="B9" s="91">
        <f t="shared" si="13"/>
        <v>96238.275357686885</v>
      </c>
      <c r="C9" s="91">
        <f t="shared" si="0"/>
        <v>96830.330119171238</v>
      </c>
      <c r="D9" s="91">
        <f t="shared" si="1"/>
        <v>96904.597182400496</v>
      </c>
      <c r="E9" s="91">
        <f t="shared" si="2"/>
        <v>96978.922225048766</v>
      </c>
      <c r="F9" s="91">
        <f t="shared" si="3"/>
        <v>97053.305293176294</v>
      </c>
      <c r="G9" s="91">
        <f t="shared" si="4"/>
        <v>97127.746432877015</v>
      </c>
      <c r="H9" s="91">
        <f t="shared" si="5"/>
        <v>97202.245690285694</v>
      </c>
      <c r="I9" s="91">
        <f t="shared" si="6"/>
        <v>97276.803111571557</v>
      </c>
      <c r="J9" s="91">
        <f t="shared" si="7"/>
        <v>97351.418742942289</v>
      </c>
      <c r="K9" s="91">
        <f t="shared" si="14"/>
        <v>97426.092630645115</v>
      </c>
      <c r="L9" s="91">
        <f t="shared" si="8"/>
        <v>96978.922225048766</v>
      </c>
      <c r="M9" s="90" t="s">
        <v>4297</v>
      </c>
      <c r="N9" s="90">
        <f>259-$AD$19</f>
        <v>56</v>
      </c>
      <c r="O9" s="90">
        <v>0</v>
      </c>
      <c r="P9" s="90">
        <v>0</v>
      </c>
      <c r="Q9" s="90">
        <v>0</v>
      </c>
      <c r="R9" s="90">
        <f t="shared" si="9"/>
        <v>1.8360655737704918</v>
      </c>
      <c r="S9" s="91">
        <v>100000</v>
      </c>
      <c r="T9" s="91"/>
      <c r="U9" s="91"/>
      <c r="W9">
        <v>97</v>
      </c>
      <c r="X9">
        <v>8</v>
      </c>
      <c r="Y9">
        <f t="shared" si="15"/>
        <v>1185</v>
      </c>
      <c r="Z9" s="3">
        <f t="shared" si="12"/>
        <v>100957.03897407623</v>
      </c>
      <c r="AA9" s="3">
        <f t="shared" si="11"/>
        <v>10200.814769485904</v>
      </c>
      <c r="AC9">
        <v>18</v>
      </c>
    </row>
    <row r="10" spans="1:39" x14ac:dyDescent="0.25">
      <c r="A10" s="94" t="s">
        <v>988</v>
      </c>
      <c r="B10" s="91">
        <f t="shared" si="13"/>
        <v>71890.649579647579</v>
      </c>
      <c r="C10" s="95">
        <f t="shared" si="0"/>
        <v>75787.613005236504</v>
      </c>
      <c r="D10" s="95">
        <f t="shared" si="1"/>
        <v>76289.388356632087</v>
      </c>
      <c r="E10" s="95">
        <f t="shared" si="2"/>
        <v>76794.492805206333</v>
      </c>
      <c r="F10" s="95">
        <f t="shared" si="3"/>
        <v>77302.948484354551</v>
      </c>
      <c r="G10" s="95">
        <f t="shared" si="4"/>
        <v>77814.777674907004</v>
      </c>
      <c r="H10" s="95">
        <f t="shared" si="5"/>
        <v>78330.00280616169</v>
      </c>
      <c r="I10" s="95">
        <f t="shared" si="6"/>
        <v>78848.646456832008</v>
      </c>
      <c r="J10" s="95">
        <f t="shared" si="7"/>
        <v>79370.73135607173</v>
      </c>
      <c r="K10" s="95">
        <f t="shared" si="14"/>
        <v>79896.280384486119</v>
      </c>
      <c r="L10" s="95">
        <f t="shared" si="8"/>
        <v>76794.492805206333</v>
      </c>
      <c r="M10" s="94" t="s">
        <v>1000</v>
      </c>
      <c r="N10" s="94">
        <f>685-$AD$19</f>
        <v>482</v>
      </c>
      <c r="O10" s="94">
        <v>0</v>
      </c>
      <c r="P10" s="94">
        <v>0</v>
      </c>
      <c r="Q10" s="94">
        <v>0</v>
      </c>
      <c r="R10" s="94">
        <f t="shared" si="9"/>
        <v>15.803278688524591</v>
      </c>
      <c r="S10" s="95">
        <v>100000</v>
      </c>
      <c r="T10" s="95">
        <v>70000</v>
      </c>
      <c r="U10" s="95">
        <f t="shared" si="10"/>
        <v>99999.999999999985</v>
      </c>
      <c r="W10">
        <v>97</v>
      </c>
      <c r="X10">
        <v>9</v>
      </c>
      <c r="Y10">
        <f t="shared" si="15"/>
        <v>1185</v>
      </c>
      <c r="Z10" s="3">
        <f t="shared" si="12"/>
        <v>103076.08515670919</v>
      </c>
      <c r="AA10" s="3">
        <f t="shared" si="11"/>
        <v>11598.331743850193</v>
      </c>
      <c r="AC10">
        <v>17.5</v>
      </c>
      <c r="AF10" s="26"/>
    </row>
    <row r="11" spans="1:39" x14ac:dyDescent="0.25">
      <c r="A11" s="90" t="s">
        <v>989</v>
      </c>
      <c r="B11" s="91">
        <f t="shared" si="13"/>
        <v>73282.198849668333</v>
      </c>
      <c r="C11" s="91">
        <f t="shared" si="0"/>
        <v>77018.050697963889</v>
      </c>
      <c r="D11" s="91">
        <f t="shared" si="1"/>
        <v>77498.258377655104</v>
      </c>
      <c r="E11" s="91">
        <f t="shared" si="2"/>
        <v>77981.466789170037</v>
      </c>
      <c r="F11" s="91">
        <f t="shared" si="3"/>
        <v>78467.694725024761</v>
      </c>
      <c r="G11" s="91">
        <f t="shared" si="4"/>
        <v>78956.961095662584</v>
      </c>
      <c r="H11" s="91">
        <f t="shared" si="5"/>
        <v>79449.284930242444</v>
      </c>
      <c r="I11" s="91">
        <f t="shared" si="6"/>
        <v>79944.685377343776</v>
      </c>
      <c r="J11" s="91">
        <f t="shared" si="7"/>
        <v>80443.181705744253</v>
      </c>
      <c r="K11" s="91">
        <f t="shared" si="14"/>
        <v>80944.793305181956</v>
      </c>
      <c r="L11" s="91">
        <f t="shared" si="8"/>
        <v>77981.466789170037</v>
      </c>
      <c r="M11" s="90" t="s">
        <v>1001</v>
      </c>
      <c r="N11" s="90">
        <f>657-$AD$19</f>
        <v>454</v>
      </c>
      <c r="O11" s="90">
        <v>0</v>
      </c>
      <c r="P11" s="90">
        <v>0</v>
      </c>
      <c r="Q11" s="90">
        <v>0</v>
      </c>
      <c r="R11" s="90">
        <f t="shared" si="9"/>
        <v>14.885245901639344</v>
      </c>
      <c r="S11" s="91">
        <v>100000</v>
      </c>
      <c r="T11" s="91">
        <v>70700</v>
      </c>
      <c r="U11" s="91">
        <f t="shared" si="10"/>
        <v>100000</v>
      </c>
      <c r="W11">
        <v>97</v>
      </c>
      <c r="X11">
        <v>10</v>
      </c>
      <c r="Y11">
        <f t="shared" si="15"/>
        <v>1185</v>
      </c>
      <c r="Z11" s="3">
        <f t="shared" si="12"/>
        <v>105239.6092357797</v>
      </c>
      <c r="AA11" s="3">
        <f t="shared" si="11"/>
        <v>13024.963655180403</v>
      </c>
      <c r="AC11">
        <v>17</v>
      </c>
      <c r="AF11" s="26"/>
    </row>
    <row r="12" spans="1:39" x14ac:dyDescent="0.25">
      <c r="A12" s="92" t="s">
        <v>990</v>
      </c>
      <c r="B12" s="91">
        <f t="shared" si="13"/>
        <v>73282.198849668333</v>
      </c>
      <c r="C12" s="93">
        <f t="shared" si="0"/>
        <v>77018.050697963889</v>
      </c>
      <c r="D12" s="93">
        <f t="shared" si="1"/>
        <v>77498.258377655104</v>
      </c>
      <c r="E12" s="93">
        <f t="shared" si="2"/>
        <v>77981.466789170037</v>
      </c>
      <c r="F12" s="93">
        <f t="shared" si="3"/>
        <v>78467.694725024761</v>
      </c>
      <c r="G12" s="93">
        <f t="shared" si="4"/>
        <v>78956.961095662584</v>
      </c>
      <c r="H12" s="93">
        <f t="shared" si="5"/>
        <v>79449.284930242444</v>
      </c>
      <c r="I12" s="93">
        <f t="shared" si="6"/>
        <v>79944.685377343776</v>
      </c>
      <c r="J12" s="93">
        <f t="shared" si="7"/>
        <v>80443.181705744253</v>
      </c>
      <c r="K12" s="93">
        <f t="shared" si="14"/>
        <v>80944.793305181956</v>
      </c>
      <c r="L12" s="93">
        <f t="shared" si="8"/>
        <v>77981.466789170037</v>
      </c>
      <c r="M12" s="92" t="s">
        <v>1001</v>
      </c>
      <c r="N12" s="92">
        <f>657-$AD$19</f>
        <v>454</v>
      </c>
      <c r="O12" s="92">
        <v>0</v>
      </c>
      <c r="P12" s="92">
        <v>0</v>
      </c>
      <c r="Q12" s="92">
        <v>0</v>
      </c>
      <c r="R12" s="92">
        <f t="shared" si="9"/>
        <v>14.885245901639344</v>
      </c>
      <c r="S12" s="93">
        <v>100000</v>
      </c>
      <c r="T12" s="93">
        <v>71000</v>
      </c>
      <c r="U12" s="93">
        <f t="shared" si="10"/>
        <v>100000</v>
      </c>
      <c r="W12">
        <v>97</v>
      </c>
      <c r="X12">
        <v>11</v>
      </c>
      <c r="Y12">
        <f t="shared" si="15"/>
        <v>1185</v>
      </c>
      <c r="Z12" s="3">
        <f t="shared" si="12"/>
        <v>107448.54478380154</v>
      </c>
      <c r="AA12" s="3">
        <f t="shared" si="11"/>
        <v>14481.317064663328</v>
      </c>
      <c r="AF12" s="26"/>
    </row>
    <row r="13" spans="1:39" x14ac:dyDescent="0.25">
      <c r="A13" s="94" t="s">
        <v>991</v>
      </c>
      <c r="B13" s="91">
        <f t="shared" si="13"/>
        <v>76146.625214657921</v>
      </c>
      <c r="C13" s="95">
        <f t="shared" si="0"/>
        <v>79539.180134133669</v>
      </c>
      <c r="D13" s="95">
        <f t="shared" si="1"/>
        <v>79973.768666291988</v>
      </c>
      <c r="E13" s="95">
        <f t="shared" si="2"/>
        <v>80410.737714950767</v>
      </c>
      <c r="F13" s="95">
        <f t="shared" si="3"/>
        <v>80850.100352575784</v>
      </c>
      <c r="G13" s="95">
        <f>$S13/(1+($AC$7-$O13+$P13)/36500)^$N13</f>
        <v>81291.869723579046</v>
      </c>
      <c r="H13" s="95">
        <f t="shared" si="5"/>
        <v>81736.059044757785</v>
      </c>
      <c r="I13" s="95">
        <f t="shared" si="6"/>
        <v>82182.681605656064</v>
      </c>
      <c r="J13" s="95">
        <f t="shared" si="7"/>
        <v>82631.750768990372</v>
      </c>
      <c r="K13" s="95">
        <f t="shared" si="14"/>
        <v>83083.279971058786</v>
      </c>
      <c r="L13" s="95">
        <f t="shared" si="8"/>
        <v>80410.737714950767</v>
      </c>
      <c r="M13" s="94" t="s">
        <v>993</v>
      </c>
      <c r="N13" s="94">
        <f>601-$AD$19</f>
        <v>398</v>
      </c>
      <c r="O13" s="94">
        <v>0</v>
      </c>
      <c r="P13" s="94">
        <v>0</v>
      </c>
      <c r="Q13" s="94">
        <v>0</v>
      </c>
      <c r="R13" s="94">
        <f t="shared" si="9"/>
        <v>13.049180327868852</v>
      </c>
      <c r="S13" s="95">
        <v>100000</v>
      </c>
      <c r="T13" s="95">
        <v>73100</v>
      </c>
      <c r="U13" s="95">
        <f t="shared" si="10"/>
        <v>100000</v>
      </c>
      <c r="W13">
        <v>97</v>
      </c>
      <c r="X13">
        <v>12</v>
      </c>
      <c r="Y13">
        <f t="shared" si="15"/>
        <v>1185</v>
      </c>
      <c r="Z13" s="3">
        <f t="shared" si="12"/>
        <v>109703.84496858653</v>
      </c>
      <c r="AA13" s="3">
        <f t="shared" si="11"/>
        <v>15968.011170177146</v>
      </c>
      <c r="AF13" s="26"/>
    </row>
    <row r="14" spans="1:39" x14ac:dyDescent="0.25">
      <c r="A14" s="169" t="s">
        <v>3885</v>
      </c>
      <c r="B14" s="91">
        <f t="shared" si="13"/>
        <v>80931.150391740986</v>
      </c>
      <c r="C14" s="171">
        <f t="shared" si="0"/>
        <v>83716.868035857289</v>
      </c>
      <c r="D14" s="171">
        <f t="shared" si="1"/>
        <v>84071.780071769259</v>
      </c>
      <c r="E14" s="171">
        <f t="shared" si="2"/>
        <v>84428.20162344366</v>
      </c>
      <c r="F14" s="171">
        <f t="shared" si="3"/>
        <v>84786.139131976568</v>
      </c>
      <c r="G14" s="171">
        <f t="shared" si="4"/>
        <v>85145.5990660198</v>
      </c>
      <c r="H14" s="171">
        <f t="shared" si="5"/>
        <v>85506.587921933446</v>
      </c>
      <c r="I14" s="171">
        <f t="shared" si="6"/>
        <v>85869.11222387437</v>
      </c>
      <c r="J14" s="171">
        <f t="shared" si="7"/>
        <v>86233.178523934563</v>
      </c>
      <c r="K14" s="171">
        <f t="shared" si="14"/>
        <v>86598.793402265946</v>
      </c>
      <c r="L14" s="171">
        <f t="shared" si="8"/>
        <v>84428.20162344366</v>
      </c>
      <c r="M14" s="169" t="s">
        <v>3886</v>
      </c>
      <c r="N14" s="169">
        <f>512-$AD$19</f>
        <v>309</v>
      </c>
      <c r="O14" s="169">
        <v>0</v>
      </c>
      <c r="P14" s="169">
        <v>0</v>
      </c>
      <c r="Q14" s="169">
        <v>0</v>
      </c>
      <c r="R14" s="169">
        <f t="shared" si="9"/>
        <v>10.131147540983607</v>
      </c>
      <c r="S14" s="171">
        <v>100000</v>
      </c>
      <c r="T14" s="171">
        <v>50000</v>
      </c>
      <c r="U14" s="171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2"/>
        <v>112006.48296454176</v>
      </c>
      <c r="AA14" s="3">
        <f t="shared" si="11"/>
        <v>17485.678069555834</v>
      </c>
      <c r="AF14" s="26"/>
    </row>
    <row r="15" spans="1:39" x14ac:dyDescent="0.25">
      <c r="A15" s="94" t="s">
        <v>3940</v>
      </c>
      <c r="B15" s="91">
        <f t="shared" si="13"/>
        <v>62819.208226113027</v>
      </c>
      <c r="C15" s="95">
        <f t="shared" ref="C15:C23" si="16">$S15/(1+($AC$3-$O15+$P15)/36500)^$N15</f>
        <v>67668.784613416981</v>
      </c>
      <c r="D15" s="95">
        <f t="shared" si="1"/>
        <v>68300.772348642713</v>
      </c>
      <c r="E15" s="95">
        <f t="shared" si="2"/>
        <v>68938.671261782511</v>
      </c>
      <c r="F15" s="95">
        <f t="shared" si="3"/>
        <v>69582.536724005608</v>
      </c>
      <c r="G15" s="95">
        <f t="shared" si="4"/>
        <v>70232.424625891857</v>
      </c>
      <c r="H15" s="95">
        <f t="shared" si="5"/>
        <v>70888.391382373142</v>
      </c>
      <c r="I15" s="95">
        <f t="shared" si="6"/>
        <v>71550.493937604304</v>
      </c>
      <c r="J15" s="95">
        <f t="shared" si="7"/>
        <v>72218.789769970259</v>
      </c>
      <c r="K15" s="95">
        <f t="shared" si="14"/>
        <v>72893.336897113913</v>
      </c>
      <c r="L15" s="95">
        <f t="shared" si="8"/>
        <v>68938.671261782511</v>
      </c>
      <c r="M15" s="94" t="s">
        <v>3941</v>
      </c>
      <c r="N15" s="94">
        <f>882-$AD$19</f>
        <v>679</v>
      </c>
      <c r="O15" s="94">
        <v>0</v>
      </c>
      <c r="P15" s="94">
        <v>0</v>
      </c>
      <c r="Q15" s="94">
        <v>0</v>
      </c>
      <c r="R15" s="169">
        <f t="shared" si="9"/>
        <v>22.262295081967213</v>
      </c>
      <c r="S15" s="95">
        <v>100000</v>
      </c>
      <c r="T15" s="95"/>
      <c r="U15" s="95">
        <v>100000</v>
      </c>
      <c r="W15">
        <v>98</v>
      </c>
      <c r="X15">
        <v>2</v>
      </c>
      <c r="Y15">
        <f t="shared" si="15"/>
        <v>1185</v>
      </c>
      <c r="Z15" s="3">
        <f t="shared" si="12"/>
        <v>114357.4523725996</v>
      </c>
      <c r="AA15" s="3">
        <f t="shared" si="11"/>
        <v>19034.963029338247</v>
      </c>
      <c r="AC15" s="85">
        <f>AE2*((1+$AC$2/36500)^365)</f>
        <v>128391.55378787059</v>
      </c>
      <c r="AD15">
        <v>21.4</v>
      </c>
      <c r="AF15" s="26"/>
    </row>
    <row r="16" spans="1:39" x14ac:dyDescent="0.25">
      <c r="A16" s="94" t="s">
        <v>3993</v>
      </c>
      <c r="B16" s="91">
        <f t="shared" si="13"/>
        <v>61626.339770710154</v>
      </c>
      <c r="C16" s="95">
        <f t="shared" si="16"/>
        <v>66587.710469695492</v>
      </c>
      <c r="D16" s="95">
        <f t="shared" si="1"/>
        <v>67235.370908230529</v>
      </c>
      <c r="E16" s="95">
        <f t="shared" si="2"/>
        <v>67889.339764877077</v>
      </c>
      <c r="F16" s="95">
        <f t="shared" si="3"/>
        <v>68549.678573277575</v>
      </c>
      <c r="G16" s="95">
        <f t="shared" si="4"/>
        <v>69216.449468109757</v>
      </c>
      <c r="H16" s="95">
        <f t="shared" si="5"/>
        <v>69889.71519102926</v>
      </c>
      <c r="I16" s="95">
        <f t="shared" si="6"/>
        <v>70569.539096550157</v>
      </c>
      <c r="J16" s="95">
        <f t="shared" si="7"/>
        <v>71255.985158076117</v>
      </c>
      <c r="K16" s="95">
        <f t="shared" si="14"/>
        <v>71949.117973963424</v>
      </c>
      <c r="L16" s="95">
        <f t="shared" si="8"/>
        <v>67889.339764877077</v>
      </c>
      <c r="M16" s="94" t="s">
        <v>4274</v>
      </c>
      <c r="N16" s="94">
        <f>910-$AD$19</f>
        <v>707</v>
      </c>
      <c r="O16" s="94">
        <v>0</v>
      </c>
      <c r="P16" s="94">
        <v>0</v>
      </c>
      <c r="Q16" s="94">
        <v>0</v>
      </c>
      <c r="R16" s="169">
        <f t="shared" si="9"/>
        <v>23.180327868852459</v>
      </c>
      <c r="S16" s="95">
        <v>100000</v>
      </c>
      <c r="T16" s="95"/>
      <c r="U16" s="95"/>
      <c r="W16">
        <v>98</v>
      </c>
      <c r="X16">
        <v>3</v>
      </c>
      <c r="Y16">
        <f t="shared" si="15"/>
        <v>1185</v>
      </c>
      <c r="Z16" s="3">
        <f t="shared" si="12"/>
        <v>116757.76764896198</v>
      </c>
      <c r="AA16" s="3">
        <f t="shared" si="11"/>
        <v>20616.524759116124</v>
      </c>
      <c r="AF16" s="26"/>
    </row>
    <row r="17" spans="1:32" x14ac:dyDescent="0.25">
      <c r="A17" s="94" t="s">
        <v>4289</v>
      </c>
      <c r="B17" s="91">
        <f t="shared" si="13"/>
        <v>95778.120530338769</v>
      </c>
      <c r="C17" s="95">
        <f t="shared" si="16"/>
        <v>96441.251840982455</v>
      </c>
      <c r="D17" s="95">
        <f t="shared" si="1"/>
        <v>96524.470557449968</v>
      </c>
      <c r="E17" s="95">
        <f t="shared" si="2"/>
        <v>96607.762223792859</v>
      </c>
      <c r="F17" s="95">
        <f t="shared" si="3"/>
        <v>96691.126904961231</v>
      </c>
      <c r="G17" s="95">
        <f t="shared" si="4"/>
        <v>96774.564665959901</v>
      </c>
      <c r="H17" s="95">
        <f t="shared" si="5"/>
        <v>96858.075571856578</v>
      </c>
      <c r="I17" s="95">
        <f t="shared" si="6"/>
        <v>96941.659687774489</v>
      </c>
      <c r="J17" s="95">
        <f t="shared" si="7"/>
        <v>97025.317078897191</v>
      </c>
      <c r="K17" s="95">
        <f t="shared" si="14"/>
        <v>97109.047810469419</v>
      </c>
      <c r="L17" s="95">
        <f t="shared" si="8"/>
        <v>96607.762223792859</v>
      </c>
      <c r="M17" s="94" t="s">
        <v>4298</v>
      </c>
      <c r="N17" s="94">
        <f>266-$AD$19</f>
        <v>63</v>
      </c>
      <c r="O17" s="94">
        <v>0</v>
      </c>
      <c r="P17" s="94">
        <v>0</v>
      </c>
      <c r="Q17" s="94">
        <v>0</v>
      </c>
      <c r="R17" s="169">
        <f t="shared" si="9"/>
        <v>2.0655737704918034</v>
      </c>
      <c r="S17" s="95">
        <v>100000</v>
      </c>
      <c r="T17" s="95"/>
      <c r="U17" s="95"/>
      <c r="W17">
        <v>98</v>
      </c>
      <c r="X17">
        <v>4</v>
      </c>
      <c r="Y17">
        <f t="shared" si="15"/>
        <v>1185</v>
      </c>
      <c r="Z17" s="3">
        <f t="shared" si="12"/>
        <v>119208.46454284384</v>
      </c>
      <c r="AA17" s="3">
        <f t="shared" si="11"/>
        <v>22231.03569159771</v>
      </c>
      <c r="AF17" s="26"/>
    </row>
    <row r="18" spans="1:32" x14ac:dyDescent="0.25">
      <c r="A18" s="94" t="s">
        <v>4290</v>
      </c>
      <c r="B18" s="91">
        <f t="shared" si="13"/>
        <v>93574.18763317565</v>
      </c>
      <c r="C18" s="95">
        <f t="shared" si="16"/>
        <v>94573.566684642559</v>
      </c>
      <c r="D18" s="95">
        <f t="shared" si="1"/>
        <v>94699.244963648933</v>
      </c>
      <c r="E18" s="95">
        <f t="shared" si="2"/>
        <v>94825.091979905992</v>
      </c>
      <c r="F18" s="95">
        <f t="shared" si="3"/>
        <v>94951.107962280308</v>
      </c>
      <c r="G18" s="95">
        <f t="shared" si="4"/>
        <v>95077.293139945876</v>
      </c>
      <c r="H18" s="95">
        <f t="shared" si="5"/>
        <v>95203.647742396744</v>
      </c>
      <c r="I18" s="95">
        <f t="shared" si="6"/>
        <v>95330.171999436599</v>
      </c>
      <c r="J18" s="95">
        <f t="shared" si="7"/>
        <v>95456.866141186067</v>
      </c>
      <c r="K18" s="95">
        <f t="shared" si="14"/>
        <v>95583.73039808459</v>
      </c>
      <c r="L18" s="95">
        <f t="shared" si="8"/>
        <v>94825.091979905992</v>
      </c>
      <c r="M18" s="94" t="s">
        <v>4299</v>
      </c>
      <c r="N18" s="94">
        <f>300-$AD$19</f>
        <v>97</v>
      </c>
      <c r="O18" s="94">
        <v>0</v>
      </c>
      <c r="P18" s="94">
        <v>0</v>
      </c>
      <c r="Q18" s="94">
        <v>0</v>
      </c>
      <c r="R18" s="169">
        <f t="shared" si="9"/>
        <v>3.180327868852459</v>
      </c>
      <c r="S18" s="95">
        <v>100000</v>
      </c>
      <c r="T18" s="95"/>
      <c r="U18" s="95"/>
      <c r="W18">
        <v>98</v>
      </c>
      <c r="X18">
        <v>5</v>
      </c>
      <c r="Y18">
        <f t="shared" si="15"/>
        <v>1185</v>
      </c>
      <c r="Z18" s="3">
        <f t="shared" si="12"/>
        <v>121710.60054340457</v>
      </c>
      <c r="AA18" s="3">
        <f t="shared" si="11"/>
        <v>23879.182268505992</v>
      </c>
      <c r="AC18" t="s">
        <v>1003</v>
      </c>
      <c r="AD18" t="s">
        <v>1042</v>
      </c>
      <c r="AF18" s="26"/>
    </row>
    <row r="19" spans="1:32" x14ac:dyDescent="0.25">
      <c r="A19" s="94" t="s">
        <v>4291</v>
      </c>
      <c r="B19" s="91">
        <f t="shared" si="13"/>
        <v>56843.115934689522</v>
      </c>
      <c r="C19" s="95">
        <f t="shared" si="16"/>
        <v>62218.298507798463</v>
      </c>
      <c r="D19" s="95">
        <f t="shared" si="1"/>
        <v>62925.034762890515</v>
      </c>
      <c r="E19" s="95">
        <f t="shared" si="2"/>
        <v>63639.808660449264</v>
      </c>
      <c r="F19" s="95">
        <f t="shared" si="3"/>
        <v>64362.711723741006</v>
      </c>
      <c r="G19" s="95">
        <f t="shared" si="4"/>
        <v>65093.836519431708</v>
      </c>
      <c r="H19" s="95">
        <f t="shared" si="5"/>
        <v>65833.276669566418</v>
      </c>
      <c r="I19" s="95">
        <f t="shared" si="6"/>
        <v>66581.126863553742</v>
      </c>
      <c r="J19" s="95">
        <f t="shared" si="7"/>
        <v>67337.482870389213</v>
      </c>
      <c r="K19" s="95">
        <f t="shared" si="14"/>
        <v>68102.441550988951</v>
      </c>
      <c r="L19" s="95">
        <f t="shared" si="8"/>
        <v>63639.808660449264</v>
      </c>
      <c r="M19" s="94" t="s">
        <v>4300</v>
      </c>
      <c r="N19" s="94">
        <f>1028-$AD$19</f>
        <v>825</v>
      </c>
      <c r="O19" s="94">
        <v>0</v>
      </c>
      <c r="P19" s="94">
        <v>0</v>
      </c>
      <c r="Q19" s="94">
        <v>0</v>
      </c>
      <c r="R19" s="169">
        <f t="shared" si="9"/>
        <v>27.049180327868854</v>
      </c>
      <c r="S19" s="95">
        <v>100000</v>
      </c>
      <c r="T19" s="95"/>
      <c r="U19" s="95"/>
      <c r="W19">
        <v>98</v>
      </c>
      <c r="X19">
        <v>6</v>
      </c>
      <c r="Y19">
        <f t="shared" si="15"/>
        <v>1185</v>
      </c>
      <c r="Z19" s="3">
        <f t="shared" si="12"/>
        <v>124265.25533606041</v>
      </c>
      <c r="AA19" s="3">
        <f t="shared" si="11"/>
        <v>25561.665232433199</v>
      </c>
      <c r="AC19" t="s">
        <v>1051</v>
      </c>
      <c r="AD19">
        <v>203</v>
      </c>
      <c r="AF19" s="26"/>
    </row>
    <row r="20" spans="1:32" x14ac:dyDescent="0.25">
      <c r="A20" s="94" t="s">
        <v>4292</v>
      </c>
      <c r="B20" s="91">
        <f t="shared" si="13"/>
        <v>80931.150391740986</v>
      </c>
      <c r="C20" s="95">
        <f t="shared" si="16"/>
        <v>83716.868035857289</v>
      </c>
      <c r="D20" s="95">
        <f t="shared" si="1"/>
        <v>84071.780071769259</v>
      </c>
      <c r="E20" s="95">
        <f t="shared" si="2"/>
        <v>84428.20162344366</v>
      </c>
      <c r="F20" s="95">
        <f t="shared" si="3"/>
        <v>84786.139131976568</v>
      </c>
      <c r="G20" s="95">
        <f t="shared" si="4"/>
        <v>85145.5990660198</v>
      </c>
      <c r="H20" s="95">
        <f t="shared" si="5"/>
        <v>85506.587921933446</v>
      </c>
      <c r="I20" s="95">
        <f t="shared" si="6"/>
        <v>85869.11222387437</v>
      </c>
      <c r="J20" s="95">
        <f t="shared" si="7"/>
        <v>86233.178523934563</v>
      </c>
      <c r="K20" s="95">
        <f t="shared" si="14"/>
        <v>86598.793402265946</v>
      </c>
      <c r="L20" s="95">
        <f t="shared" si="8"/>
        <v>84428.20162344366</v>
      </c>
      <c r="M20" s="94" t="s">
        <v>3886</v>
      </c>
      <c r="N20" s="94">
        <f>512-$AD$19</f>
        <v>309</v>
      </c>
      <c r="O20" s="94">
        <v>0</v>
      </c>
      <c r="P20" s="94">
        <v>0</v>
      </c>
      <c r="Q20" s="94">
        <v>0</v>
      </c>
      <c r="R20" s="169">
        <f t="shared" si="9"/>
        <v>10.131147540983607</v>
      </c>
      <c r="S20" s="95">
        <v>100000</v>
      </c>
      <c r="T20" s="95"/>
      <c r="U20" s="95"/>
      <c r="W20">
        <v>98</v>
      </c>
      <c r="X20" s="9">
        <v>7</v>
      </c>
      <c r="Y20">
        <f t="shared" si="15"/>
        <v>1185</v>
      </c>
      <c r="Z20" s="3">
        <f t="shared" si="12"/>
        <v>126873.53126837459</v>
      </c>
      <c r="AA20" s="3">
        <f t="shared" si="11"/>
        <v>27279.199924775556</v>
      </c>
      <c r="AF20" s="26"/>
    </row>
    <row r="21" spans="1:32" x14ac:dyDescent="0.25">
      <c r="A21" s="94" t="s">
        <v>4293</v>
      </c>
      <c r="B21" s="91">
        <f t="shared" si="13"/>
        <v>64386.886327485139</v>
      </c>
      <c r="C21" s="95">
        <f t="shared" si="16"/>
        <v>69084.566962157041</v>
      </c>
      <c r="D21" s="95">
        <f t="shared" si="1"/>
        <v>69695.418012986149</v>
      </c>
      <c r="E21" s="95">
        <f t="shared" si="2"/>
        <v>70311.678730071275</v>
      </c>
      <c r="F21" s="95">
        <f t="shared" si="3"/>
        <v>70933.39709620965</v>
      </c>
      <c r="G21" s="95">
        <f t="shared" si="4"/>
        <v>71560.621520433546</v>
      </c>
      <c r="H21" s="95">
        <f t="shared" si="5"/>
        <v>72193.400841862123</v>
      </c>
      <c r="I21" s="95">
        <f t="shared" si="6"/>
        <v>72831.78433347473</v>
      </c>
      <c r="J21" s="95">
        <f t="shared" si="7"/>
        <v>73475.821706005067</v>
      </c>
      <c r="K21" s="95">
        <f t="shared" si="14"/>
        <v>74125.563111844574</v>
      </c>
      <c r="L21" s="95">
        <f t="shared" si="8"/>
        <v>70311.678730071275</v>
      </c>
      <c r="M21" s="94" t="s">
        <v>4301</v>
      </c>
      <c r="N21" s="94">
        <f>846-$AD$19</f>
        <v>643</v>
      </c>
      <c r="O21" s="94">
        <v>0</v>
      </c>
      <c r="P21" s="94">
        <v>0</v>
      </c>
      <c r="Q21" s="94">
        <v>0</v>
      </c>
      <c r="R21" s="169">
        <f t="shared" si="9"/>
        <v>21.081967213114755</v>
      </c>
      <c r="S21" s="95">
        <v>100000</v>
      </c>
      <c r="T21" s="95"/>
      <c r="U21" s="95"/>
      <c r="W21">
        <v>98</v>
      </c>
      <c r="X21">
        <v>8</v>
      </c>
      <c r="Y21">
        <f t="shared" si="15"/>
        <v>1185</v>
      </c>
      <c r="Z21" s="3">
        <f t="shared" si="12"/>
        <v>129536.55382572641</v>
      </c>
      <c r="AA21" s="3">
        <f t="shared" si="11"/>
        <v>29032.516589875046</v>
      </c>
      <c r="AE21" s="25"/>
      <c r="AF21" s="26"/>
    </row>
    <row r="22" spans="1:32" x14ac:dyDescent="0.25">
      <c r="A22" s="94" t="s">
        <v>4294</v>
      </c>
      <c r="B22" s="91">
        <f t="shared" si="13"/>
        <v>82272.05727236958</v>
      </c>
      <c r="C22" s="95">
        <f t="shared" si="16"/>
        <v>84880.529742699946</v>
      </c>
      <c r="D22" s="95">
        <f t="shared" si="1"/>
        <v>85212.371334841722</v>
      </c>
      <c r="E22" s="95">
        <f t="shared" si="2"/>
        <v>85545.514836144226</v>
      </c>
      <c r="F22" s="95">
        <f t="shared" si="3"/>
        <v>85879.965372305422</v>
      </c>
      <c r="G22" s="95">
        <f t="shared" si="4"/>
        <v>86215.728089258046</v>
      </c>
      <c r="H22" s="95">
        <f t="shared" si="5"/>
        <v>86552.808153281818</v>
      </c>
      <c r="I22" s="95">
        <f t="shared" si="6"/>
        <v>86891.210751055449</v>
      </c>
      <c r="J22" s="95">
        <f t="shared" si="7"/>
        <v>87230.941089755521</v>
      </c>
      <c r="K22" s="95">
        <f t="shared" si="14"/>
        <v>87572.004397142126</v>
      </c>
      <c r="L22" s="95">
        <f t="shared" si="8"/>
        <v>85545.514836144226</v>
      </c>
      <c r="M22" s="94" t="s">
        <v>4302</v>
      </c>
      <c r="N22" s="94">
        <f>488-$AD$19</f>
        <v>285</v>
      </c>
      <c r="O22" s="94">
        <v>0</v>
      </c>
      <c r="P22" s="94">
        <v>0</v>
      </c>
      <c r="Q22" s="94">
        <v>0</v>
      </c>
      <c r="R22" s="169">
        <f t="shared" si="9"/>
        <v>9.3442622950819665</v>
      </c>
      <c r="S22" s="95">
        <v>100000</v>
      </c>
      <c r="T22" s="95"/>
      <c r="U22" s="95"/>
      <c r="W22">
        <v>98</v>
      </c>
      <c r="X22" s="9">
        <v>9</v>
      </c>
      <c r="Y22">
        <f t="shared" si="15"/>
        <v>1185</v>
      </c>
      <c r="Z22" s="3">
        <f t="shared" si="12"/>
        <v>132255.47211696432</v>
      </c>
      <c r="AA22" s="3">
        <f t="shared" si="11"/>
        <v>30822.360685497439</v>
      </c>
      <c r="AE22" s="25"/>
      <c r="AF22" s="26"/>
    </row>
    <row r="23" spans="1:32" x14ac:dyDescent="0.25">
      <c r="A23" s="94" t="s">
        <v>4295</v>
      </c>
      <c r="B23" s="91">
        <f t="shared" si="13"/>
        <v>80544.185232637843</v>
      </c>
      <c r="C23" s="95">
        <f t="shared" si="16"/>
        <v>83380.481545894218</v>
      </c>
      <c r="D23" s="95">
        <f t="shared" si="1"/>
        <v>83741.992600983838</v>
      </c>
      <c r="E23" s="95">
        <f t="shared" si="2"/>
        <v>84105.076033865858</v>
      </c>
      <c r="F23" s="95">
        <f t="shared" si="3"/>
        <v>84469.738705210722</v>
      </c>
      <c r="G23" s="95">
        <f t="shared" si="4"/>
        <v>84835.987505700788</v>
      </c>
      <c r="H23" s="95">
        <f t="shared" si="5"/>
        <v>85203.829356196904</v>
      </c>
      <c r="I23" s="95">
        <f t="shared" si="6"/>
        <v>85573.271207839774</v>
      </c>
      <c r="J23" s="95">
        <f t="shared" si="7"/>
        <v>85944.320042202409</v>
      </c>
      <c r="K23" s="95">
        <f t="shared" si="14"/>
        <v>86316.982871428612</v>
      </c>
      <c r="L23" s="95">
        <f t="shared" si="8"/>
        <v>84105.076033865858</v>
      </c>
      <c r="M23" s="94" t="s">
        <v>4303</v>
      </c>
      <c r="N23" s="94">
        <f>519-$AD$19</f>
        <v>316</v>
      </c>
      <c r="O23" s="94">
        <v>0</v>
      </c>
      <c r="P23" s="94">
        <v>0</v>
      </c>
      <c r="Q23" s="94">
        <v>0</v>
      </c>
      <c r="R23" s="169">
        <f t="shared" si="9"/>
        <v>10.360655737704919</v>
      </c>
      <c r="S23" s="95">
        <v>100000</v>
      </c>
      <c r="T23" s="95"/>
      <c r="U23" s="95"/>
      <c r="W23">
        <v>98</v>
      </c>
      <c r="X23">
        <v>10</v>
      </c>
      <c r="Y23">
        <f t="shared" si="15"/>
        <v>1185</v>
      </c>
      <c r="Z23" s="3">
        <f t="shared" si="12"/>
        <v>135031.45937025268</v>
      </c>
      <c r="AA23" s="3">
        <f t="shared" si="11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1005</v>
      </c>
      <c r="B24" s="91">
        <f t="shared" si="13"/>
        <v>75628.98240744244</v>
      </c>
      <c r="C24" s="91">
        <f t="shared" si="0"/>
        <v>86199.592386880016</v>
      </c>
      <c r="D24" s="91">
        <f t="shared" si="1"/>
        <v>87620.912022261997</v>
      </c>
      <c r="E24" s="91">
        <f t="shared" si="2"/>
        <v>89065.687328981745</v>
      </c>
      <c r="F24" s="91">
        <f t="shared" si="3"/>
        <v>90534.305719141877</v>
      </c>
      <c r="G24" s="91">
        <f t="shared" si="4"/>
        <v>92027.161009163479</v>
      </c>
      <c r="H24" s="91">
        <f t="shared" si="5"/>
        <v>93544.653525677451</v>
      </c>
      <c r="I24" s="91">
        <f t="shared" si="6"/>
        <v>95087.190213098249</v>
      </c>
      <c r="J24" s="91">
        <f t="shared" si="7"/>
        <v>96655.184743415506</v>
      </c>
      <c r="K24" s="91">
        <f t="shared" si="14"/>
        <v>98249.057627191898</v>
      </c>
      <c r="L24" s="91">
        <f t="shared" si="8"/>
        <v>89065.687328981745</v>
      </c>
      <c r="M24" s="90" t="s">
        <v>1006</v>
      </c>
      <c r="N24" s="90">
        <f>1397-$AD$19</f>
        <v>1194</v>
      </c>
      <c r="O24" s="90">
        <v>17</v>
      </c>
      <c r="P24" s="90">
        <f>$AI$2</f>
        <v>0.54</v>
      </c>
      <c r="Q24" s="90">
        <v>6</v>
      </c>
      <c r="R24" s="90">
        <f t="shared" si="9"/>
        <v>39.147540983606561</v>
      </c>
      <c r="S24" s="91">
        <v>100000</v>
      </c>
      <c r="T24" s="91">
        <v>96000</v>
      </c>
      <c r="U24" s="91">
        <f t="shared" si="10"/>
        <v>171291.68277470546</v>
      </c>
      <c r="W24">
        <v>98</v>
      </c>
      <c r="X24">
        <v>11</v>
      </c>
      <c r="Y24">
        <f t="shared" si="15"/>
        <v>1185</v>
      </c>
      <c r="Z24" s="3">
        <f t="shared" si="12"/>
        <v>137865.71343932621</v>
      </c>
      <c r="AA24" s="3">
        <f t="shared" si="11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92" t="s">
        <v>962</v>
      </c>
      <c r="B25" s="91">
        <f t="shared" si="13"/>
        <v>95632.980241907659</v>
      </c>
      <c r="C25" s="93">
        <f t="shared" si="0"/>
        <v>99491.942429553237</v>
      </c>
      <c r="D25" s="93">
        <f>$S25/(1+($AC$4-$O25+$P25)/36500)^$N25</f>
        <v>99985.16548703461</v>
      </c>
      <c r="E25" s="93">
        <f t="shared" si="2"/>
        <v>100480.84046375615</v>
      </c>
      <c r="F25" s="93">
        <f t="shared" si="3"/>
        <v>100978.97958258793</v>
      </c>
      <c r="G25" s="93">
        <f t="shared" si="4"/>
        <v>101479.59512749045</v>
      </c>
      <c r="H25" s="93">
        <f t="shared" si="5"/>
        <v>101982.6994438385</v>
      </c>
      <c r="I25" s="93">
        <f t="shared" si="6"/>
        <v>102488.30493870558</v>
      </c>
      <c r="J25" s="93">
        <f t="shared" si="7"/>
        <v>102996.42408120782</v>
      </c>
      <c r="K25" s="93">
        <f t="shared" si="14"/>
        <v>103507.06940278604</v>
      </c>
      <c r="L25" s="93">
        <f t="shared" si="8"/>
        <v>100480.84046375615</v>
      </c>
      <c r="M25" s="92" t="s">
        <v>977</v>
      </c>
      <c r="N25" s="92">
        <f>564-$AD$19</f>
        <v>361</v>
      </c>
      <c r="O25" s="92">
        <v>21</v>
      </c>
      <c r="P25" s="92">
        <f t="shared" ref="P25:P30" si="17">$AI$1</f>
        <v>0.51500000000000001</v>
      </c>
      <c r="Q25" s="92">
        <v>3</v>
      </c>
      <c r="R25" s="92">
        <f t="shared" si="9"/>
        <v>11.836065573770492</v>
      </c>
      <c r="S25" s="93">
        <v>100000</v>
      </c>
      <c r="T25" s="93">
        <v>100000</v>
      </c>
      <c r="U25" s="93">
        <f t="shared" si="10"/>
        <v>122448.84814510751</v>
      </c>
      <c r="W25">
        <v>98</v>
      </c>
      <c r="X25">
        <v>12</v>
      </c>
      <c r="Y25">
        <f t="shared" si="15"/>
        <v>1185</v>
      </c>
      <c r="Z25" s="3">
        <f t="shared" si="12"/>
        <v>140759.45732037039</v>
      </c>
      <c r="AA25" s="3">
        <f t="shared" si="11"/>
        <v>36418.747036748478</v>
      </c>
      <c r="AE25" s="25"/>
      <c r="AF25" s="26"/>
    </row>
    <row r="26" spans="1:32" x14ac:dyDescent="0.25">
      <c r="A26" s="94" t="s">
        <v>963</v>
      </c>
      <c r="B26" s="91">
        <f t="shared" si="13"/>
        <v>90617.2075162822</v>
      </c>
      <c r="C26" s="95">
        <f t="shared" si="0"/>
        <v>94449.02338209383</v>
      </c>
      <c r="D26" s="95">
        <f t="shared" si="1"/>
        <v>94939.285683419643</v>
      </c>
      <c r="E26" s="95">
        <f t="shared" si="2"/>
        <v>95432.099586548778</v>
      </c>
      <c r="F26" s="95">
        <f t="shared" si="3"/>
        <v>95927.478406660681</v>
      </c>
      <c r="G26" s="95">
        <f t="shared" si="4"/>
        <v>96425.435528637317</v>
      </c>
      <c r="H26" s="95">
        <f t="shared" si="5"/>
        <v>96925.984407364434</v>
      </c>
      <c r="I26" s="95">
        <f t="shared" si="6"/>
        <v>97429.138568146678</v>
      </c>
      <c r="J26" s="95">
        <f t="shared" si="7"/>
        <v>97934.91160706144</v>
      </c>
      <c r="K26" s="95">
        <f t="shared" si="14"/>
        <v>98443.317191306749</v>
      </c>
      <c r="L26" s="95">
        <f t="shared" si="8"/>
        <v>95432.099586548778</v>
      </c>
      <c r="M26" s="94" t="s">
        <v>978</v>
      </c>
      <c r="N26" s="94">
        <f>581-$AD$19</f>
        <v>378</v>
      </c>
      <c r="O26" s="94">
        <v>16</v>
      </c>
      <c r="P26" s="94">
        <f t="shared" si="17"/>
        <v>0.51500000000000001</v>
      </c>
      <c r="Q26" s="94">
        <v>3</v>
      </c>
      <c r="R26" s="94">
        <f t="shared" si="9"/>
        <v>12.39344262295082</v>
      </c>
      <c r="S26" s="95">
        <v>100000</v>
      </c>
      <c r="T26" s="95">
        <v>92000</v>
      </c>
      <c r="U26" s="95">
        <f t="shared" si="10"/>
        <v>117385.0559688402</v>
      </c>
      <c r="W26">
        <v>99</v>
      </c>
      <c r="X26">
        <v>1</v>
      </c>
      <c r="Y26">
        <f t="shared" si="15"/>
        <v>1185</v>
      </c>
      <c r="Z26" s="3">
        <f t="shared" si="12"/>
        <v>143713.93967975109</v>
      </c>
      <c r="AA26" s="3">
        <f t="shared" si="11"/>
        <v>38362.470933347402</v>
      </c>
      <c r="AE26" s="25"/>
      <c r="AF26" s="26"/>
    </row>
    <row r="27" spans="1:32" x14ac:dyDescent="0.25">
      <c r="A27" s="90" t="s">
        <v>956</v>
      </c>
      <c r="B27" s="91">
        <f t="shared" si="13"/>
        <v>94820.256685147586</v>
      </c>
      <c r="C27" s="91">
        <f t="shared" si="0"/>
        <v>99395.128708241828</v>
      </c>
      <c r="D27" s="91">
        <f t="shared" si="1"/>
        <v>99982.330332026322</v>
      </c>
      <c r="E27" s="91">
        <f t="shared" si="2"/>
        <v>100573.00911179201</v>
      </c>
      <c r="F27" s="91">
        <f t="shared" si="3"/>
        <v>101167.18568582834</v>
      </c>
      <c r="G27" s="91">
        <f t="shared" si="4"/>
        <v>101764.88081519504</v>
      </c>
      <c r="H27" s="91">
        <f t="shared" si="5"/>
        <v>102366.11538447514</v>
      </c>
      <c r="I27" s="91">
        <f t="shared" si="6"/>
        <v>102970.91040248369</v>
      </c>
      <c r="J27" s="91">
        <f t="shared" si="7"/>
        <v>103579.28700304987</v>
      </c>
      <c r="K27" s="91">
        <f t="shared" si="14"/>
        <v>104191.26644572793</v>
      </c>
      <c r="L27" s="91">
        <f t="shared" si="8"/>
        <v>100573.00911179201</v>
      </c>
      <c r="M27" s="90" t="s">
        <v>979</v>
      </c>
      <c r="N27" s="90">
        <f>633-$AD$19</f>
        <v>430</v>
      </c>
      <c r="O27" s="90">
        <v>21</v>
      </c>
      <c r="P27" s="90">
        <f t="shared" si="17"/>
        <v>0.51500000000000001</v>
      </c>
      <c r="Q27" s="90">
        <v>3</v>
      </c>
      <c r="R27" s="90">
        <f t="shared" si="9"/>
        <v>14.098360655737705</v>
      </c>
      <c r="S27" s="91">
        <v>100000</v>
      </c>
      <c r="T27" s="91">
        <v>100000</v>
      </c>
      <c r="U27" s="91">
        <f t="shared" si="10"/>
        <v>127281.70700112128</v>
      </c>
      <c r="W27">
        <v>99</v>
      </c>
      <c r="X27">
        <v>2</v>
      </c>
      <c r="Y27">
        <f t="shared" si="15"/>
        <v>1185</v>
      </c>
      <c r="Z27" s="3">
        <f t="shared" si="12"/>
        <v>146730.43539282086</v>
      </c>
      <c r="AA27" s="3">
        <f t="shared" si="11"/>
        <v>40346.689077792136</v>
      </c>
      <c r="AE27" s="25"/>
      <c r="AF27" s="26"/>
    </row>
    <row r="28" spans="1:32" x14ac:dyDescent="0.25">
      <c r="A28" s="92" t="s">
        <v>949</v>
      </c>
      <c r="B28" s="91">
        <f t="shared" si="13"/>
        <v>94026.069403721413</v>
      </c>
      <c r="C28" s="93">
        <f t="shared" si="0"/>
        <v>99299.810254271724</v>
      </c>
      <c r="D28" s="93">
        <f t="shared" si="1"/>
        <v>99979.53634487481</v>
      </c>
      <c r="E28" s="93">
        <f t="shared" si="2"/>
        <v>100663.92469699249</v>
      </c>
      <c r="F28" s="93">
        <f t="shared" si="3"/>
        <v>101353.00735374991</v>
      </c>
      <c r="G28" s="93">
        <f t="shared" si="4"/>
        <v>102046.81657893068</v>
      </c>
      <c r="H28" s="93">
        <f t="shared" si="5"/>
        <v>102745.38485852419</v>
      </c>
      <c r="I28" s="93">
        <f t="shared" si="6"/>
        <v>103448.74490222619</v>
      </c>
      <c r="J28" s="93">
        <f t="shared" si="7"/>
        <v>104156.9296450309</v>
      </c>
      <c r="K28" s="93">
        <f t="shared" si="14"/>
        <v>104869.97224874533</v>
      </c>
      <c r="L28" s="93">
        <f t="shared" si="8"/>
        <v>100663.92469699249</v>
      </c>
      <c r="M28" s="92" t="s">
        <v>980</v>
      </c>
      <c r="N28" s="92">
        <f>701-$AD$19</f>
        <v>498</v>
      </c>
      <c r="O28" s="92">
        <v>21</v>
      </c>
      <c r="P28" s="92">
        <f t="shared" si="17"/>
        <v>0.51500000000000001</v>
      </c>
      <c r="Q28" s="92">
        <v>3</v>
      </c>
      <c r="R28" s="92">
        <f t="shared" si="9"/>
        <v>16.327868852459016</v>
      </c>
      <c r="S28" s="93">
        <v>100000</v>
      </c>
      <c r="T28" s="93">
        <v>100000</v>
      </c>
      <c r="U28" s="93">
        <f t="shared" si="10"/>
        <v>132231.10774764433</v>
      </c>
      <c r="W28">
        <v>99</v>
      </c>
      <c r="X28">
        <v>3</v>
      </c>
      <c r="Y28">
        <f t="shared" si="15"/>
        <v>1185</v>
      </c>
      <c r="Z28" s="3">
        <f t="shared" si="12"/>
        <v>149810.24609403475</v>
      </c>
      <c r="AA28" s="3">
        <f t="shared" si="11"/>
        <v>42372.245100246138</v>
      </c>
      <c r="AC28" s="85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4" t="s">
        <v>964</v>
      </c>
      <c r="B29" s="91">
        <f t="shared" si="13"/>
        <v>89755.458665876213</v>
      </c>
      <c r="C29" s="95">
        <f t="shared" si="0"/>
        <v>95070.089241843234</v>
      </c>
      <c r="D29" s="95">
        <f t="shared" si="1"/>
        <v>95756.2153884</v>
      </c>
      <c r="E29" s="95">
        <f t="shared" si="2"/>
        <v>96447.30284587713</v>
      </c>
      <c r="F29" s="95">
        <f t="shared" si="3"/>
        <v>97143.387557736176</v>
      </c>
      <c r="G29" s="95">
        <f t="shared" si="4"/>
        <v>97844.505728310018</v>
      </c>
      <c r="H29" s="95">
        <f t="shared" si="5"/>
        <v>98550.69382475852</v>
      </c>
      <c r="I29" s="95">
        <f t="shared" si="6"/>
        <v>99261.988578911827</v>
      </c>
      <c r="J29" s="95">
        <f t="shared" si="7"/>
        <v>99978.426989278945</v>
      </c>
      <c r="K29" s="95">
        <f t="shared" si="14"/>
        <v>100700.04632290006</v>
      </c>
      <c r="L29" s="95">
        <f t="shared" si="8"/>
        <v>96447.30284587713</v>
      </c>
      <c r="M29" s="94" t="s">
        <v>1004</v>
      </c>
      <c r="N29" s="94">
        <f>728-$AD$19</f>
        <v>525</v>
      </c>
      <c r="O29" s="94">
        <v>18</v>
      </c>
      <c r="P29" s="94">
        <f t="shared" si="17"/>
        <v>0.51500000000000001</v>
      </c>
      <c r="Q29" s="94">
        <v>3</v>
      </c>
      <c r="R29" s="94">
        <f t="shared" si="9"/>
        <v>17.21311475409836</v>
      </c>
      <c r="S29" s="95">
        <v>100000</v>
      </c>
      <c r="T29" s="95">
        <v>95000</v>
      </c>
      <c r="U29" s="95">
        <f t="shared" si="10"/>
        <v>128580.45234030685</v>
      </c>
      <c r="W29">
        <v>99</v>
      </c>
      <c r="X29">
        <v>4</v>
      </c>
      <c r="Y29">
        <f t="shared" si="15"/>
        <v>1185</v>
      </c>
      <c r="Z29" s="3">
        <f t="shared" si="12"/>
        <v>152954.70073861268</v>
      </c>
      <c r="AA29" s="3">
        <f t="shared" si="11"/>
        <v>44440.000206501267</v>
      </c>
      <c r="AE29" s="25"/>
      <c r="AF29" s="26"/>
    </row>
    <row r="30" spans="1:32" x14ac:dyDescent="0.25">
      <c r="A30" s="90" t="s">
        <v>965</v>
      </c>
      <c r="B30" s="91">
        <f t="shared" si="13"/>
        <v>88516.195664703904</v>
      </c>
      <c r="C30" s="91">
        <f t="shared" si="0"/>
        <v>93173.435193512531</v>
      </c>
      <c r="D30" s="91">
        <f t="shared" si="1"/>
        <v>93772.598383698802</v>
      </c>
      <c r="E30" s="91">
        <f t="shared" si="2"/>
        <v>94375.622852115528</v>
      </c>
      <c r="F30" s="91">
        <f t="shared" si="3"/>
        <v>94982.533535959868</v>
      </c>
      <c r="G30" s="91">
        <f t="shared" si="4"/>
        <v>95593.355533868409</v>
      </c>
      <c r="H30" s="91">
        <f t="shared" si="5"/>
        <v>96208.114106885288</v>
      </c>
      <c r="I30" s="91">
        <f t="shared" si="6"/>
        <v>96826.834679574458</v>
      </c>
      <c r="J30" s="91">
        <f t="shared" si="7"/>
        <v>97449.542841061018</v>
      </c>
      <c r="K30" s="91">
        <f t="shared" si="14"/>
        <v>98076.264346069744</v>
      </c>
      <c r="L30" s="91">
        <f t="shared" si="8"/>
        <v>94375.622852115528</v>
      </c>
      <c r="M30" s="90" t="s">
        <v>981</v>
      </c>
      <c r="N30" s="90">
        <f>671-$AD$19</f>
        <v>468</v>
      </c>
      <c r="O30" s="90">
        <v>16</v>
      </c>
      <c r="P30" s="90">
        <f t="shared" si="17"/>
        <v>0.51500000000000001</v>
      </c>
      <c r="Q30" s="90">
        <v>3</v>
      </c>
      <c r="R30" s="90">
        <f t="shared" si="9"/>
        <v>15.344262295081966</v>
      </c>
      <c r="S30" s="91">
        <v>100000</v>
      </c>
      <c r="T30" s="91">
        <v>90600</v>
      </c>
      <c r="U30" s="91">
        <f t="shared" si="10"/>
        <v>121951.54037026947</v>
      </c>
      <c r="W30">
        <v>99</v>
      </c>
      <c r="X30">
        <v>5</v>
      </c>
      <c r="Y30">
        <f t="shared" si="15"/>
        <v>1185</v>
      </c>
      <c r="Z30" s="3">
        <f t="shared" si="12"/>
        <v>156165.15617599085</v>
      </c>
      <c r="AA30" s="3">
        <f t="shared" si="11"/>
        <v>46550.833544136709</v>
      </c>
      <c r="AD30" s="25"/>
      <c r="AE30" s="26"/>
    </row>
    <row r="31" spans="1:32" x14ac:dyDescent="0.25">
      <c r="A31" s="92" t="s">
        <v>966</v>
      </c>
      <c r="B31" s="91">
        <f t="shared" si="13"/>
        <v>79789.099182703168</v>
      </c>
      <c r="C31" s="93">
        <f t="shared" si="0"/>
        <v>86926.72107048631</v>
      </c>
      <c r="D31" s="93">
        <f>$S31/(1+($AC$4-$O31+$P31)/36500)^$N31</f>
        <v>87862.75196600765</v>
      </c>
      <c r="E31" s="93">
        <f t="shared" si="2"/>
        <v>88808.875112752939</v>
      </c>
      <c r="F31" s="93">
        <f t="shared" si="3"/>
        <v>89765.199465485814</v>
      </c>
      <c r="G31" s="93">
        <f t="shared" si="4"/>
        <v>90731.83515676872</v>
      </c>
      <c r="H31" s="93">
        <f t="shared" si="5"/>
        <v>91708.893509625908</v>
      </c>
      <c r="I31" s="93">
        <f t="shared" si="6"/>
        <v>92696.487050569034</v>
      </c>
      <c r="J31" s="93">
        <f t="shared" si="7"/>
        <v>93694.729522479014</v>
      </c>
      <c r="K31" s="93">
        <f t="shared" si="14"/>
        <v>94703.735897896549</v>
      </c>
      <c r="L31" s="93">
        <f t="shared" si="8"/>
        <v>88808.875112752939</v>
      </c>
      <c r="M31" s="92" t="s">
        <v>982</v>
      </c>
      <c r="N31" s="92">
        <f>985-$AD$19</f>
        <v>782</v>
      </c>
      <c r="O31" s="92">
        <v>15</v>
      </c>
      <c r="P31" s="92">
        <f>$AI$2</f>
        <v>0.54</v>
      </c>
      <c r="Q31" s="92">
        <v>6</v>
      </c>
      <c r="R31" s="92">
        <f t="shared" si="9"/>
        <v>25.639344262295083</v>
      </c>
      <c r="S31" s="93">
        <v>100000</v>
      </c>
      <c r="T31" s="93">
        <v>85800</v>
      </c>
      <c r="U31" s="93">
        <f t="shared" si="10"/>
        <v>136294.77251630044</v>
      </c>
      <c r="W31">
        <v>99</v>
      </c>
      <c r="X31">
        <v>6</v>
      </c>
      <c r="Y31">
        <f t="shared" si="15"/>
        <v>1185</v>
      </c>
      <c r="Z31" s="3">
        <f t="shared" si="12"/>
        <v>159442.99773530982</v>
      </c>
      <c r="AA31" s="3">
        <f t="shared" si="11"/>
        <v>48705.642576306222</v>
      </c>
      <c r="AD31" s="25"/>
      <c r="AE31" s="26"/>
    </row>
    <row r="32" spans="1:32" x14ac:dyDescent="0.25">
      <c r="A32" s="94" t="s">
        <v>940</v>
      </c>
      <c r="B32" s="91">
        <f t="shared" si="13"/>
        <v>89623.598216588303</v>
      </c>
      <c r="C32" s="95">
        <f t="shared" si="0"/>
        <v>91207.931621335592</v>
      </c>
      <c r="D32" s="95">
        <f t="shared" si="1"/>
        <v>91407.944823064754</v>
      </c>
      <c r="E32" s="95">
        <f t="shared" si="2"/>
        <v>91608.399388440506</v>
      </c>
      <c r="F32" s="95">
        <f t="shared" si="3"/>
        <v>91809.296297475215</v>
      </c>
      <c r="G32" s="95">
        <f t="shared" si="4"/>
        <v>92010.636532361212</v>
      </c>
      <c r="H32" s="95">
        <f t="shared" si="5"/>
        <v>92212.421077494757</v>
      </c>
      <c r="I32" s="95">
        <f t="shared" si="6"/>
        <v>92414.650919463907</v>
      </c>
      <c r="J32" s="95">
        <f t="shared" si="7"/>
        <v>92617.327047064231</v>
      </c>
      <c r="K32" s="95">
        <f t="shared" si="14"/>
        <v>92820.450451306184</v>
      </c>
      <c r="L32" s="95">
        <f t="shared" si="8"/>
        <v>91608.399388440506</v>
      </c>
      <c r="M32" s="94" t="s">
        <v>983</v>
      </c>
      <c r="N32" s="94">
        <f>363-$AD$19</f>
        <v>160</v>
      </c>
      <c r="O32" s="94">
        <v>0</v>
      </c>
      <c r="P32" s="94">
        <v>0</v>
      </c>
      <c r="Q32" s="94">
        <v>0</v>
      </c>
      <c r="R32" s="94">
        <f t="shared" si="9"/>
        <v>5.2459016393442619</v>
      </c>
      <c r="S32" s="95">
        <v>100000</v>
      </c>
      <c r="T32" s="95">
        <v>82800</v>
      </c>
      <c r="U32" s="95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2"/>
        <v>162789.6398231916</v>
      </c>
      <c r="AA32" s="3">
        <f t="shared" si="11"/>
        <v>50905.343463312594</v>
      </c>
      <c r="AD32" s="25"/>
      <c r="AE32" s="26"/>
    </row>
    <row r="33" spans="1:31" x14ac:dyDescent="0.25">
      <c r="A33" s="90" t="s">
        <v>971</v>
      </c>
      <c r="B33" s="91">
        <f>$S33/(1+($B$1-$O33+$P33)/36500)^$N33</f>
        <v>85049.406300243252</v>
      </c>
      <c r="C33" s="91">
        <f t="shared" si="0"/>
        <v>95598.05795113559</v>
      </c>
      <c r="D33" s="91">
        <f t="shared" si="1"/>
        <v>97005.572695881172</v>
      </c>
      <c r="E33" s="91">
        <f t="shared" si="2"/>
        <v>98433.830349277821</v>
      </c>
      <c r="F33" s="91">
        <f t="shared" si="3"/>
        <v>99883.136895400996</v>
      </c>
      <c r="G33" s="91">
        <f t="shared" si="4"/>
        <v>101353.80283622351</v>
      </c>
      <c r="H33" s="91">
        <f t="shared" si="5"/>
        <v>102846.14325845729</v>
      </c>
      <c r="I33" s="91">
        <f t="shared" si="6"/>
        <v>104360.47790126434</v>
      </c>
      <c r="J33" s="91">
        <f t="shared" si="7"/>
        <v>105897.13122502033</v>
      </c>
      <c r="K33" s="91">
        <f t="shared" si="14"/>
        <v>107456.43248114538</v>
      </c>
      <c r="L33" s="91">
        <f t="shared" si="8"/>
        <v>98433.830349277821</v>
      </c>
      <c r="M33" s="90" t="s">
        <v>974</v>
      </c>
      <c r="N33" s="90">
        <f>1270-$AD$19</f>
        <v>1067</v>
      </c>
      <c r="O33" s="90">
        <v>20</v>
      </c>
      <c r="P33" s="90">
        <f>$AI$2</f>
        <v>0.54</v>
      </c>
      <c r="Q33" s="90">
        <v>6</v>
      </c>
      <c r="R33" s="90">
        <f t="shared" si="9"/>
        <v>34.983606557377051</v>
      </c>
      <c r="S33" s="91">
        <v>100000</v>
      </c>
      <c r="T33" s="91">
        <v>100000</v>
      </c>
      <c r="U33" s="91">
        <f t="shared" si="10"/>
        <v>176585.3075981389</v>
      </c>
      <c r="W33">
        <v>99</v>
      </c>
      <c r="X33">
        <v>8</v>
      </c>
      <c r="Y33">
        <f t="shared" si="15"/>
        <v>1185</v>
      </c>
      <c r="Z33" s="3">
        <f t="shared" si="12"/>
        <v>166206.5265340638</v>
      </c>
      <c r="AA33" s="3">
        <f t="shared" si="11"/>
        <v>53150.8714521316</v>
      </c>
      <c r="AD33" s="25"/>
      <c r="AE33" s="26"/>
    </row>
    <row r="34" spans="1:31" x14ac:dyDescent="0.25">
      <c r="A34" s="92" t="s">
        <v>975</v>
      </c>
      <c r="B34" s="91">
        <f t="shared" si="13"/>
        <v>98556.440027040109</v>
      </c>
      <c r="C34" s="93">
        <f t="shared" si="0"/>
        <v>100200.84659578706</v>
      </c>
      <c r="D34" s="93">
        <f t="shared" si="1"/>
        <v>100408.33005383339</v>
      </c>
      <c r="E34" s="93">
        <f t="shared" si="2"/>
        <v>100616.24599400144</v>
      </c>
      <c r="F34" s="93">
        <f t="shared" si="3"/>
        <v>100824.59532370965</v>
      </c>
      <c r="G34" s="93">
        <f t="shared" si="4"/>
        <v>101033.37895228669</v>
      </c>
      <c r="H34" s="93">
        <f t="shared" si="5"/>
        <v>101242.59779098946</v>
      </c>
      <c r="I34" s="93">
        <f t="shared" si="6"/>
        <v>101452.25275299551</v>
      </c>
      <c r="J34" s="93">
        <f t="shared" si="7"/>
        <v>101662.34475341049</v>
      </c>
      <c r="K34" s="93">
        <f t="shared" si="14"/>
        <v>101872.87470927396</v>
      </c>
      <c r="L34" s="93">
        <f t="shared" si="8"/>
        <v>100616.24599400144</v>
      </c>
      <c r="M34" s="92" t="s">
        <v>976</v>
      </c>
      <c r="N34" s="92">
        <f>354-$AD$19</f>
        <v>151</v>
      </c>
      <c r="O34" s="92">
        <v>22</v>
      </c>
      <c r="P34" s="92">
        <f>AI1</f>
        <v>0.51500000000000001</v>
      </c>
      <c r="Q34" s="92">
        <v>3</v>
      </c>
      <c r="R34" s="92">
        <f t="shared" si="9"/>
        <v>4.9508196721311473</v>
      </c>
      <c r="S34" s="93">
        <v>100000</v>
      </c>
      <c r="T34" s="93">
        <v>103000</v>
      </c>
      <c r="U34" s="93">
        <f t="shared" si="10"/>
        <v>109291.50098656547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11"/>
        <v>55443.181274051007</v>
      </c>
      <c r="AD34" s="25"/>
      <c r="AE34" s="26"/>
    </row>
    <row r="35" spans="1:31" x14ac:dyDescent="0.25">
      <c r="A35" s="94" t="s">
        <v>997</v>
      </c>
      <c r="B35" s="91">
        <f t="shared" si="13"/>
        <v>93924.25776636161</v>
      </c>
      <c r="C35" s="95">
        <f t="shared" si="0"/>
        <v>100000</v>
      </c>
      <c r="D35" s="95">
        <f t="shared" si="1"/>
        <v>100786.64493098587</v>
      </c>
      <c r="E35" s="95">
        <f t="shared" si="2"/>
        <v>101579.4888680001</v>
      </c>
      <c r="F35" s="95">
        <f t="shared" si="3"/>
        <v>102378.58074706876</v>
      </c>
      <c r="G35" s="95">
        <f t="shared" si="4"/>
        <v>103183.96989117409</v>
      </c>
      <c r="H35" s="95">
        <f t="shared" si="5"/>
        <v>103995.7060133981</v>
      </c>
      <c r="I35" s="95">
        <f t="shared" si="6"/>
        <v>104813.8392199284</v>
      </c>
      <c r="J35" s="95">
        <f t="shared" si="7"/>
        <v>105638.42001322797</v>
      </c>
      <c r="K35" s="95">
        <f t="shared" si="14"/>
        <v>106469.49929514348</v>
      </c>
      <c r="L35" s="95">
        <f t="shared" si="8"/>
        <v>101579.4888680001</v>
      </c>
      <c r="M35" s="94" t="s">
        <v>998</v>
      </c>
      <c r="N35" s="94">
        <f>775-$AD$19</f>
        <v>572</v>
      </c>
      <c r="O35" s="94">
        <v>21</v>
      </c>
      <c r="P35" s="94">
        <v>0</v>
      </c>
      <c r="Q35" s="94">
        <v>1</v>
      </c>
      <c r="R35" s="94">
        <f t="shared" si="9"/>
        <v>18.754098360655739</v>
      </c>
      <c r="S35" s="95">
        <v>100000</v>
      </c>
      <c r="T35" s="95">
        <v>104000</v>
      </c>
      <c r="U35" s="95">
        <f t="shared" si="10"/>
        <v>138952.95195048847</v>
      </c>
      <c r="W35">
        <v>99</v>
      </c>
      <c r="X35">
        <v>10</v>
      </c>
      <c r="Y35">
        <f t="shared" si="15"/>
        <v>1185</v>
      </c>
      <c r="Z35" s="3">
        <f t="shared" si="12"/>
        <v>173256.96239340576</v>
      </c>
      <c r="AA35" s="3">
        <f t="shared" si="11"/>
        <v>57783.247550593733</v>
      </c>
      <c r="AD35" s="25"/>
      <c r="AE35" s="26"/>
    </row>
    <row r="36" spans="1:31" x14ac:dyDescent="0.25">
      <c r="A36" s="90" t="s">
        <v>1046</v>
      </c>
      <c r="B36" s="91">
        <f t="shared" si="13"/>
        <v>76805.784815487234</v>
      </c>
      <c r="C36" s="91">
        <f t="shared" si="0"/>
        <v>86910.100214024336</v>
      </c>
      <c r="D36" s="91">
        <f t="shared" si="1"/>
        <v>88263.308801264604</v>
      </c>
      <c r="E36" s="91">
        <f t="shared" si="2"/>
        <v>89637.606101153549</v>
      </c>
      <c r="F36" s="91">
        <f t="shared" si="3"/>
        <v>91033.321060604489</v>
      </c>
      <c r="G36" s="91">
        <f t="shared" si="4"/>
        <v>92450.787762213338</v>
      </c>
      <c r="H36" s="91">
        <f t="shared" si="5"/>
        <v>93890.345504446494</v>
      </c>
      <c r="I36" s="91">
        <f t="shared" si="6"/>
        <v>95352.338883015385</v>
      </c>
      <c r="J36" s="91">
        <f t="shared" si="7"/>
        <v>96837.11787393791</v>
      </c>
      <c r="K36" s="91">
        <f t="shared" si="14"/>
        <v>98345.037917319176</v>
      </c>
      <c r="L36" s="91">
        <f t="shared" si="8"/>
        <v>89637.606101153549</v>
      </c>
      <c r="M36" s="90" t="s">
        <v>1047</v>
      </c>
      <c r="N36" s="90">
        <f>1331-$AD$19</f>
        <v>1128</v>
      </c>
      <c r="O36" s="90">
        <v>17</v>
      </c>
      <c r="P36" s="90">
        <f>AI2</f>
        <v>0.54</v>
      </c>
      <c r="Q36" s="90">
        <v>6</v>
      </c>
      <c r="R36" s="90">
        <f t="shared" si="9"/>
        <v>36.983606557377051</v>
      </c>
      <c r="S36" s="91">
        <v>100000</v>
      </c>
      <c r="T36" s="91"/>
      <c r="U36" s="91">
        <f t="shared" si="10"/>
        <v>166270.87423084001</v>
      </c>
      <c r="W36">
        <v>99</v>
      </c>
      <c r="X36">
        <v>11</v>
      </c>
      <c r="Y36">
        <f t="shared" si="15"/>
        <v>1185</v>
      </c>
      <c r="Z36" s="3">
        <f t="shared" si="12"/>
        <v>176893.55384364235</v>
      </c>
      <c r="AA36" s="3">
        <f t="shared" si="11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6"/>
      <c r="W37">
        <v>99</v>
      </c>
      <c r="X37">
        <v>12</v>
      </c>
      <c r="Y37">
        <f t="shared" si="15"/>
        <v>1185</v>
      </c>
      <c r="Z37" s="3">
        <f t="shared" si="12"/>
        <v>180606.47583317297</v>
      </c>
      <c r="AA37" s="3">
        <f t="shared" si="11"/>
        <v>62610.649899728967</v>
      </c>
      <c r="AD37" s="25"/>
      <c r="AE37" s="26"/>
    </row>
    <row r="38" spans="1:31" x14ac:dyDescent="0.25">
      <c r="A38" s="25"/>
      <c r="B38" s="178" t="s">
        <v>4075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6"/>
      <c r="W38">
        <v>100</v>
      </c>
      <c r="X38">
        <v>1</v>
      </c>
      <c r="Y38">
        <f t="shared" si="15"/>
        <v>1185</v>
      </c>
      <c r="Z38" s="3">
        <f t="shared" si="12"/>
        <v>184397.330508213</v>
      </c>
      <c r="AA38" s="3">
        <f t="shared" si="11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6"/>
      <c r="W39">
        <v>100</v>
      </c>
      <c r="X39">
        <v>2</v>
      </c>
      <c r="Y39">
        <f t="shared" si="15"/>
        <v>1185</v>
      </c>
      <c r="Z39" s="3">
        <f t="shared" si="12"/>
        <v>188267.75364335935</v>
      </c>
      <c r="AA39" s="3">
        <f t="shared" si="11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6"/>
      <c r="W40">
        <v>100</v>
      </c>
      <c r="X40">
        <v>3</v>
      </c>
      <c r="Y40">
        <f t="shared" si="15"/>
        <v>1185</v>
      </c>
      <c r="Z40" s="3">
        <f t="shared" si="12"/>
        <v>192219.41534743612</v>
      </c>
      <c r="AA40" s="3">
        <f t="shared" si="11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2"/>
        <v>196254.02078415576</v>
      </c>
      <c r="AA41" s="3">
        <f t="shared" si="11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2"/>
        <v>200373.31090790653</v>
      </c>
      <c r="AA42" s="3">
        <f t="shared" si="11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2"/>
        <v>204579.06321498394</v>
      </c>
      <c r="AA43" s="3">
        <f t="shared" si="11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2"/>
        <v>208873.0925105901</v>
      </c>
      <c r="AA44" s="3">
        <f t="shared" si="11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2"/>
        <v>213257.25169193218</v>
      </c>
      <c r="AA45" s="3">
        <f t="shared" si="11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2"/>
        <v>217733.43254775763</v>
      </c>
      <c r="AA46" s="3">
        <f t="shared" si="11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2"/>
        <v>222303.56657467151</v>
      </c>
      <c r="AA47" s="3">
        <f t="shared" si="11"/>
        <v>89972.839985485858</v>
      </c>
      <c r="AD47" s="25"/>
      <c r="AE47" s="26"/>
    </row>
    <row r="48" spans="1:31" x14ac:dyDescent="0.25">
      <c r="D48" t="s">
        <v>1111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2"/>
        <v>226969.62581058778</v>
      </c>
      <c r="AA48" s="3">
        <f t="shared" si="11"/>
        <v>93032.274151850143</v>
      </c>
      <c r="AD48" s="25"/>
      <c r="AE48" s="26"/>
    </row>
    <row r="49" spans="1:31" x14ac:dyDescent="0.25">
      <c r="D49" t="s">
        <v>1112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2"/>
        <v>231733.6236856746</v>
      </c>
      <c r="AA49" s="3">
        <f t="shared" si="11"/>
        <v>96155.44653001368</v>
      </c>
      <c r="AD49" s="25"/>
      <c r="AE49" s="26"/>
    </row>
    <row r="50" spans="1:31" x14ac:dyDescent="0.25">
      <c r="D50" t="s">
        <v>1113</v>
      </c>
      <c r="E50">
        <v>0.125</v>
      </c>
      <c r="AD50" s="25"/>
      <c r="AE50" s="26"/>
    </row>
    <row r="51" spans="1:31" x14ac:dyDescent="0.25">
      <c r="D51" t="s">
        <v>3817</v>
      </c>
      <c r="E51">
        <v>0.49</v>
      </c>
      <c r="AD51" s="25"/>
      <c r="AE51" s="26"/>
    </row>
    <row r="52" spans="1:31" x14ac:dyDescent="0.25">
      <c r="D52" t="s">
        <v>3818</v>
      </c>
      <c r="E52">
        <v>1.03</v>
      </c>
      <c r="H52">
        <v>120377</v>
      </c>
      <c r="I52" s="91">
        <v>72.585300000000004</v>
      </c>
      <c r="J52" s="91">
        <f>H52*I52</f>
        <v>8737600.6580999997</v>
      </c>
      <c r="AD52" s="25"/>
      <c r="AE52" s="26"/>
    </row>
    <row r="53" spans="1:31" x14ac:dyDescent="0.25">
      <c r="H53">
        <v>25183</v>
      </c>
      <c r="I53" s="91">
        <v>71.859800000000007</v>
      </c>
      <c r="J53" s="91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8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4286</v>
      </c>
      <c r="AD61" s="25"/>
      <c r="AE61" s="26"/>
    </row>
    <row r="62" spans="1:31" x14ac:dyDescent="0.25">
      <c r="A62">
        <v>611</v>
      </c>
      <c r="B62" t="s">
        <v>4278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4279</v>
      </c>
      <c r="AD64" s="25"/>
      <c r="AE64" s="26"/>
    </row>
    <row r="65" spans="1:31" x14ac:dyDescent="0.25">
      <c r="A65">
        <v>702</v>
      </c>
      <c r="B65" t="s">
        <v>4280</v>
      </c>
      <c r="AD65" s="25"/>
      <c r="AE65" s="26"/>
    </row>
    <row r="66" spans="1:31" x14ac:dyDescent="0.25">
      <c r="A66">
        <v>704</v>
      </c>
      <c r="B66" t="s">
        <v>4281</v>
      </c>
      <c r="AD66" s="25"/>
      <c r="AE66" s="26"/>
    </row>
    <row r="67" spans="1:31" x14ac:dyDescent="0.25">
      <c r="A67">
        <v>705</v>
      </c>
      <c r="B67" t="s">
        <v>4282</v>
      </c>
      <c r="AD67" s="25"/>
      <c r="AE67" s="26"/>
    </row>
    <row r="68" spans="1:31" x14ac:dyDescent="0.25">
      <c r="A68">
        <v>706</v>
      </c>
      <c r="B68" t="s">
        <v>4283</v>
      </c>
      <c r="AD68" s="25"/>
      <c r="AE68" s="26"/>
    </row>
    <row r="69" spans="1:31" x14ac:dyDescent="0.25">
      <c r="A69" s="25">
        <v>711</v>
      </c>
      <c r="B69" s="25" t="s">
        <v>4284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6">
        <v>712</v>
      </c>
      <c r="B70" s="126" t="s">
        <v>4285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8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4219</v>
      </c>
      <c r="M39" s="69" t="s">
        <v>4218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14000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3959050.1607717038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89"/>
      <c r="AH52" s="103" t="s">
        <v>4129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4" t="s">
        <v>4189</v>
      </c>
      <c r="AH54" s="184">
        <v>2182188507</v>
      </c>
      <c r="AI54" s="185" t="s">
        <v>1100</v>
      </c>
      <c r="AJ54" s="185" t="s">
        <v>4130</v>
      </c>
      <c r="AK54" s="185" t="s">
        <v>4135</v>
      </c>
      <c r="AL54" s="185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4"/>
      <c r="AH55" s="184">
        <v>2123095122</v>
      </c>
      <c r="AI55" s="186" t="s">
        <v>1102</v>
      </c>
      <c r="AJ55" s="186" t="s">
        <v>1103</v>
      </c>
      <c r="AK55" s="186" t="s">
        <v>1104</v>
      </c>
      <c r="AL55" s="186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4" t="s">
        <v>4268</v>
      </c>
      <c r="AH56" s="184">
        <v>2188831909</v>
      </c>
      <c r="AI56" s="103" t="s">
        <v>4132</v>
      </c>
      <c r="AJ56" s="103" t="s">
        <v>4133</v>
      </c>
      <c r="AK56" s="103" t="s">
        <v>4134</v>
      </c>
      <c r="AL56" s="187" t="s">
        <v>4136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4122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-87</v>
      </c>
      <c r="C91" s="150">
        <f>$B$89/(1+(C$90/36500))^$B91</f>
        <v>3131480.2705320255</v>
      </c>
      <c r="D91" s="150">
        <f>$B$89/(1+(D$90/36500))^$B91</f>
        <v>3138949.4591418956</v>
      </c>
      <c r="E91" s="150">
        <f t="shared" ref="E91:K106" si="5">$B$89/(1+(E$90/36500))^$B91</f>
        <v>3146436.2579590324</v>
      </c>
      <c r="F91" s="150">
        <f t="shared" si="5"/>
        <v>3153940.7080193493</v>
      </c>
      <c r="G91" s="150">
        <f t="shared" si="5"/>
        <v>3161462.8504531505</v>
      </c>
      <c r="H91" s="150">
        <f t="shared" si="5"/>
        <v>3169002.7264857162</v>
      </c>
      <c r="I91" s="150">
        <f t="shared" si="5"/>
        <v>3176560.3774370356</v>
      </c>
      <c r="J91" s="150">
        <f t="shared" si="5"/>
        <v>3184135.8447222486</v>
      </c>
      <c r="K91" s="150">
        <f>$B$89/(1+(K$90/36500))^$B91</f>
        <v>3191729.1698519257</v>
      </c>
      <c r="L91" s="103"/>
    </row>
    <row r="92" spans="1:12" x14ac:dyDescent="0.25">
      <c r="A92" s="151" t="s">
        <v>3889</v>
      </c>
      <c r="B92" s="92">
        <f>120-'اوراق بدون ریسک'!$AD$19</f>
        <v>-83</v>
      </c>
      <c r="C92" s="152">
        <f t="shared" ref="C92:K112" si="6">$B$89/(1+(C$90/36500))^$B92</f>
        <v>3125310.712150895</v>
      </c>
      <c r="D92" s="152">
        <f t="shared" si="6"/>
        <v>3132422.0611470263</v>
      </c>
      <c r="E92" s="152">
        <f t="shared" si="5"/>
        <v>3139549.3959529581</v>
      </c>
      <c r="F92" s="152">
        <f t="shared" si="5"/>
        <v>3146692.7520644581</v>
      </c>
      <c r="G92" s="152">
        <f t="shared" si="5"/>
        <v>3153852.1650550351</v>
      </c>
      <c r="H92" s="152">
        <f t="shared" si="5"/>
        <v>3161027.6705764616</v>
      </c>
      <c r="I92" s="152">
        <f t="shared" si="5"/>
        <v>3168219.3043584838</v>
      </c>
      <c r="J92" s="152">
        <f t="shared" si="5"/>
        <v>3175427.1022092043</v>
      </c>
      <c r="K92" s="152">
        <f t="shared" si="5"/>
        <v>3182651.1000153078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-66</v>
      </c>
      <c r="C93" s="155">
        <f t="shared" si="6"/>
        <v>3099225.405237684</v>
      </c>
      <c r="D93" s="155">
        <f t="shared" si="6"/>
        <v>3104831.7096882425</v>
      </c>
      <c r="E93" s="155">
        <f t="shared" si="5"/>
        <v>3110448.0016599908</v>
      </c>
      <c r="F93" s="155">
        <f t="shared" si="5"/>
        <v>3116074.2986712898</v>
      </c>
      <c r="G93" s="155">
        <f t="shared" si="5"/>
        <v>3121710.6182706715</v>
      </c>
      <c r="H93" s="155">
        <f t="shared" si="5"/>
        <v>3127356.9780371618</v>
      </c>
      <c r="I93" s="155">
        <f t="shared" si="5"/>
        <v>3133013.3955799765</v>
      </c>
      <c r="J93" s="155">
        <f t="shared" si="5"/>
        <v>3138679.8885387378</v>
      </c>
      <c r="K93" s="155">
        <f t="shared" si="5"/>
        <v>3144356.4745835708</v>
      </c>
      <c r="L93" s="150">
        <f t="shared" ref="L93:L114" si="7">$B$89/(1+(L$92/36500))^$B91</f>
        <v>3199340.3944322178</v>
      </c>
    </row>
    <row r="94" spans="1:12" x14ac:dyDescent="0.25">
      <c r="A94" s="156" t="s">
        <v>3891</v>
      </c>
      <c r="B94" s="157">
        <f>116-'اوراق بدون ریسک'!$AD$19</f>
        <v>-87</v>
      </c>
      <c r="C94" s="158">
        <f t="shared" si="6"/>
        <v>3131480.2705320255</v>
      </c>
      <c r="D94" s="158">
        <f t="shared" si="6"/>
        <v>3138949.4591418956</v>
      </c>
      <c r="E94" s="158">
        <f t="shared" si="5"/>
        <v>3146436.2579590324</v>
      </c>
      <c r="F94" s="158">
        <f t="shared" si="5"/>
        <v>3153940.7080193493</v>
      </c>
      <c r="G94" s="158">
        <f t="shared" si="5"/>
        <v>3161462.8504531505</v>
      </c>
      <c r="H94" s="158">
        <f t="shared" si="5"/>
        <v>3169002.7264857162</v>
      </c>
      <c r="I94" s="158">
        <f t="shared" si="5"/>
        <v>3176560.3774370356</v>
      </c>
      <c r="J94" s="158">
        <f t="shared" si="5"/>
        <v>3184135.8447222486</v>
      </c>
      <c r="K94" s="158">
        <f t="shared" si="5"/>
        <v>3191729.1698519257</v>
      </c>
      <c r="L94" s="152">
        <f t="shared" si="7"/>
        <v>3189891.3337421776</v>
      </c>
    </row>
    <row r="95" spans="1:12" x14ac:dyDescent="0.25">
      <c r="A95" s="159" t="s">
        <v>3892</v>
      </c>
      <c r="B95" s="160">
        <f>167-'اوراق بدون ریسک'!$AD$19</f>
        <v>-36</v>
      </c>
      <c r="C95" s="161">
        <f t="shared" si="6"/>
        <v>3053722.4968839958</v>
      </c>
      <c r="D95" s="161">
        <f t="shared" si="6"/>
        <v>3056734.3460637992</v>
      </c>
      <c r="E95" s="161">
        <f t="shared" si="5"/>
        <v>3059749.0831992538</v>
      </c>
      <c r="F95" s="161">
        <f t="shared" si="5"/>
        <v>3062766.710980325</v>
      </c>
      <c r="G95" s="161">
        <f t="shared" si="5"/>
        <v>3065787.2320993701</v>
      </c>
      <c r="H95" s="161">
        <f t="shared" si="5"/>
        <v>3068810.649251285</v>
      </c>
      <c r="I95" s="161">
        <f t="shared" si="5"/>
        <v>3071836.9651333177</v>
      </c>
      <c r="J95" s="161">
        <f t="shared" si="5"/>
        <v>3074866.1824451555</v>
      </c>
      <c r="K95" s="161">
        <f t="shared" si="5"/>
        <v>3077898.3038889524</v>
      </c>
      <c r="L95" s="155">
        <f t="shared" si="7"/>
        <v>3150043.1714151162</v>
      </c>
    </row>
    <row r="96" spans="1:12" x14ac:dyDescent="0.25">
      <c r="A96" s="164" t="s">
        <v>3893</v>
      </c>
      <c r="B96" s="23">
        <f>181-'اوراق بدون ریسک'!$AD$19</f>
        <v>-22</v>
      </c>
      <c r="C96" s="165">
        <f t="shared" si="6"/>
        <v>3032717.0365319191</v>
      </c>
      <c r="D96" s="165">
        <f t="shared" si="6"/>
        <v>3034544.5999857131</v>
      </c>
      <c r="E96" s="165">
        <f t="shared" si="5"/>
        <v>3036373.2146695368</v>
      </c>
      <c r="F96" s="165">
        <f t="shared" si="5"/>
        <v>3038202.8811592562</v>
      </c>
      <c r="G96" s="165">
        <f t="shared" si="5"/>
        <v>3040033.600031015</v>
      </c>
      <c r="H96" s="165">
        <f t="shared" si="5"/>
        <v>3041865.3718613153</v>
      </c>
      <c r="I96" s="165">
        <f t="shared" si="5"/>
        <v>3043698.1972269122</v>
      </c>
      <c r="J96" s="165">
        <f t="shared" si="5"/>
        <v>3045532.0767048607</v>
      </c>
      <c r="K96" s="165">
        <f t="shared" si="5"/>
        <v>3047367.0108725331</v>
      </c>
      <c r="L96" s="158">
        <f t="shared" si="7"/>
        <v>3199340.3944322178</v>
      </c>
    </row>
    <row r="97" spans="1:12" x14ac:dyDescent="0.25">
      <c r="A97" s="166" t="s">
        <v>3894</v>
      </c>
      <c r="B97" s="88">
        <f>197-'اوراق بدون ریسک'!$AD$19</f>
        <v>-6</v>
      </c>
      <c r="C97" s="146">
        <f t="shared" si="6"/>
        <v>3008887.6634193249</v>
      </c>
      <c r="D97" s="146">
        <f t="shared" si="6"/>
        <v>3009382.0651375279</v>
      </c>
      <c r="E97" s="146">
        <f t="shared" si="5"/>
        <v>3009876.5345513914</v>
      </c>
      <c r="F97" s="146">
        <f t="shared" si="5"/>
        <v>3010371.0716683315</v>
      </c>
      <c r="G97" s="146">
        <f t="shared" si="5"/>
        <v>3010865.6764957579</v>
      </c>
      <c r="H97" s="146">
        <f t="shared" si="5"/>
        <v>3011360.3490410964</v>
      </c>
      <c r="I97" s="146">
        <f t="shared" si="5"/>
        <v>3011855.0893117613</v>
      </c>
      <c r="J97" s="146">
        <f t="shared" si="5"/>
        <v>3012349.897315166</v>
      </c>
      <c r="K97" s="146">
        <f t="shared" si="5"/>
        <v>3012844.7730587316</v>
      </c>
      <c r="L97" s="161">
        <f t="shared" si="7"/>
        <v>3080933.3321693134</v>
      </c>
    </row>
    <row r="98" spans="1:12" x14ac:dyDescent="0.25">
      <c r="A98" s="167" t="s">
        <v>3895</v>
      </c>
      <c r="B98" s="23">
        <f>214-'اوراق بدون ریسک'!$AD$19</f>
        <v>11</v>
      </c>
      <c r="C98" s="110">
        <f t="shared" si="6"/>
        <v>2983774.0777964573</v>
      </c>
      <c r="D98" s="110">
        <f t="shared" si="6"/>
        <v>2982875.4490972543</v>
      </c>
      <c r="E98" s="110">
        <f t="shared" si="5"/>
        <v>2981977.115635403</v>
      </c>
      <c r="F98" s="110">
        <f t="shared" si="5"/>
        <v>2981079.077305824</v>
      </c>
      <c r="G98" s="110">
        <f t="shared" si="5"/>
        <v>2980181.3340034923</v>
      </c>
      <c r="H98" s="110">
        <f t="shared" si="5"/>
        <v>2979283.8856233908</v>
      </c>
      <c r="I98" s="110">
        <f t="shared" si="5"/>
        <v>2978386.7320605689</v>
      </c>
      <c r="J98" s="110">
        <f t="shared" si="5"/>
        <v>2977489.873210114</v>
      </c>
      <c r="K98" s="110">
        <f t="shared" si="5"/>
        <v>2976593.3089671452</v>
      </c>
      <c r="L98" s="165">
        <f t="shared" si="7"/>
        <v>3049203.0003076037</v>
      </c>
    </row>
    <row r="99" spans="1:12" x14ac:dyDescent="0.25">
      <c r="A99" s="168" t="s">
        <v>3896</v>
      </c>
      <c r="B99" s="169">
        <f>272-'اوراق بدون ریسک'!$AD$19</f>
        <v>69</v>
      </c>
      <c r="C99" s="170">
        <f t="shared" si="6"/>
        <v>2899659.3917317688</v>
      </c>
      <c r="D99" s="170">
        <f t="shared" si="6"/>
        <v>2894185.793434096</v>
      </c>
      <c r="E99" s="170">
        <f t="shared" si="5"/>
        <v>2888722.6769377314</v>
      </c>
      <c r="F99" s="170">
        <f t="shared" si="5"/>
        <v>2883270.0218841019</v>
      </c>
      <c r="G99" s="170">
        <f t="shared" si="5"/>
        <v>2877827.807954804</v>
      </c>
      <c r="H99" s="170">
        <f t="shared" si="5"/>
        <v>2872396.0148712629</v>
      </c>
      <c r="I99" s="170">
        <f t="shared" si="5"/>
        <v>2866974.6223949967</v>
      </c>
      <c r="J99" s="170">
        <f t="shared" si="5"/>
        <v>2861563.6103273756</v>
      </c>
      <c r="K99" s="170">
        <f t="shared" si="5"/>
        <v>2856162.9585095001</v>
      </c>
      <c r="L99" s="146">
        <f t="shared" si="7"/>
        <v>3013339.716549878</v>
      </c>
    </row>
    <row r="100" spans="1:12" x14ac:dyDescent="0.25">
      <c r="A100" s="153" t="s">
        <v>3897</v>
      </c>
      <c r="B100" s="154">
        <f>302-'اوراق بدون ریسک'!$AD$19</f>
        <v>99</v>
      </c>
      <c r="C100" s="155">
        <f t="shared" si="6"/>
        <v>2857086.5168011822</v>
      </c>
      <c r="D100" s="155">
        <f t="shared" si="6"/>
        <v>2849351.5738951969</v>
      </c>
      <c r="E100" s="155">
        <f t="shared" si="5"/>
        <v>2841637.7826152458</v>
      </c>
      <c r="F100" s="155">
        <f t="shared" si="5"/>
        <v>2833945.0845442391</v>
      </c>
      <c r="G100" s="155">
        <f t="shared" si="5"/>
        <v>2826273.4214281244</v>
      </c>
      <c r="H100" s="155">
        <f t="shared" si="5"/>
        <v>2818622.7351750499</v>
      </c>
      <c r="I100" s="155">
        <f t="shared" si="5"/>
        <v>2810992.9678554013</v>
      </c>
      <c r="J100" s="155">
        <f t="shared" si="5"/>
        <v>2803384.061701111</v>
      </c>
      <c r="K100" s="155">
        <f t="shared" si="5"/>
        <v>2795795.9591051443</v>
      </c>
      <c r="L100" s="110">
        <f t="shared" si="7"/>
        <v>2975697.0392268258</v>
      </c>
    </row>
    <row r="101" spans="1:12" x14ac:dyDescent="0.25">
      <c r="A101" s="156" t="s">
        <v>3898</v>
      </c>
      <c r="B101" s="157">
        <f>319-'اوراق بدون ریسک'!$AD$19</f>
        <v>116</v>
      </c>
      <c r="C101" s="158">
        <f t="shared" si="6"/>
        <v>2833239.9346426148</v>
      </c>
      <c r="D101" s="158">
        <f t="shared" si="6"/>
        <v>2824254.5052949912</v>
      </c>
      <c r="E101" s="158">
        <f t="shared" si="5"/>
        <v>2815297.8175055138</v>
      </c>
      <c r="F101" s="158">
        <f t="shared" si="5"/>
        <v>2806369.7785557574</v>
      </c>
      <c r="G101" s="158">
        <f t="shared" si="5"/>
        <v>2797470.2960290462</v>
      </c>
      <c r="H101" s="158">
        <f t="shared" si="5"/>
        <v>2788599.2778090318</v>
      </c>
      <c r="I101" s="158">
        <f t="shared" si="5"/>
        <v>2779756.6320792758</v>
      </c>
      <c r="J101" s="158">
        <f t="shared" si="5"/>
        <v>2770942.2673220038</v>
      </c>
      <c r="K101" s="158">
        <f t="shared" si="5"/>
        <v>2762156.0923170503</v>
      </c>
      <c r="L101" s="170">
        <f t="shared" si="7"/>
        <v>2850772.6468221615</v>
      </c>
    </row>
    <row r="102" spans="1:12" x14ac:dyDescent="0.25">
      <c r="A102" s="153" t="s">
        <v>3899</v>
      </c>
      <c r="B102" s="154">
        <f>334-'اوراق بدون ریسک'!$AD$19</f>
        <v>131</v>
      </c>
      <c r="C102" s="155">
        <f t="shared" si="6"/>
        <v>2812364.1753334627</v>
      </c>
      <c r="D102" s="155">
        <f t="shared" si="6"/>
        <v>2802293.6714895526</v>
      </c>
      <c r="E102" s="155">
        <f t="shared" si="5"/>
        <v>2792259.5023476612</v>
      </c>
      <c r="F102" s="155">
        <f t="shared" si="5"/>
        <v>2782261.5358214611</v>
      </c>
      <c r="G102" s="155">
        <f t="shared" si="5"/>
        <v>2772299.6403085371</v>
      </c>
      <c r="H102" s="155">
        <f t="shared" si="5"/>
        <v>2762373.6846881001</v>
      </c>
      <c r="I102" s="155">
        <f t="shared" si="5"/>
        <v>2752483.5383198503</v>
      </c>
      <c r="J102" s="155">
        <f t="shared" si="5"/>
        <v>2742629.0710419081</v>
      </c>
      <c r="K102" s="155">
        <f t="shared" si="5"/>
        <v>2732810.1531689689</v>
      </c>
      <c r="L102" s="155">
        <f t="shared" si="7"/>
        <v>2788228.6026211083</v>
      </c>
    </row>
    <row r="103" spans="1:12" x14ac:dyDescent="0.25">
      <c r="A103" s="156" t="s">
        <v>3900</v>
      </c>
      <c r="B103" s="157">
        <f>349-'اوراق بدون ریسک'!$AD$19</f>
        <v>146</v>
      </c>
      <c r="C103" s="158">
        <f t="shared" si="6"/>
        <v>2791642.2319159345</v>
      </c>
      <c r="D103" s="158">
        <f t="shared" si="6"/>
        <v>2780503.6007015868</v>
      </c>
      <c r="E103" s="158">
        <f t="shared" si="5"/>
        <v>2769409.7157220324</v>
      </c>
      <c r="F103" s="158">
        <f t="shared" si="5"/>
        <v>2758360.3960043131</v>
      </c>
      <c r="G103" s="158">
        <f t="shared" si="5"/>
        <v>2747355.4613124817</v>
      </c>
      <c r="H103" s="158">
        <f t="shared" si="5"/>
        <v>2736394.7321440415</v>
      </c>
      <c r="I103" s="158">
        <f t="shared" si="5"/>
        <v>2725478.0297276392</v>
      </c>
      <c r="J103" s="158">
        <f t="shared" si="5"/>
        <v>2714605.1760197454</v>
      </c>
      <c r="K103" s="158">
        <f t="shared" si="5"/>
        <v>2703775.993701579</v>
      </c>
      <c r="L103" s="158">
        <f t="shared" si="7"/>
        <v>2753398.0161409541</v>
      </c>
    </row>
    <row r="104" spans="1:12" x14ac:dyDescent="0.25">
      <c r="A104" s="168" t="s">
        <v>3901</v>
      </c>
      <c r="B104" s="169">
        <f>361-'اوراق بدون ریسک'!$AD$19</f>
        <v>158</v>
      </c>
      <c r="C104" s="170">
        <f t="shared" si="6"/>
        <v>2775174.6627384694</v>
      </c>
      <c r="D104" s="170">
        <f t="shared" si="6"/>
        <v>2763193.6008019904</v>
      </c>
      <c r="E104" s="170">
        <f t="shared" si="5"/>
        <v>2751264.5897928337</v>
      </c>
      <c r="F104" s="170">
        <f t="shared" si="5"/>
        <v>2739387.4021632071</v>
      </c>
      <c r="G104" s="170">
        <f t="shared" si="5"/>
        <v>2727561.8113664328</v>
      </c>
      <c r="H104" s="170">
        <f t="shared" si="5"/>
        <v>2715787.5918519278</v>
      </c>
      <c r="I104" s="170">
        <f t="shared" si="5"/>
        <v>2704064.5190615612</v>
      </c>
      <c r="J104" s="170">
        <f t="shared" si="5"/>
        <v>2692392.3694248963</v>
      </c>
      <c r="K104" s="170">
        <f t="shared" si="5"/>
        <v>2680770.9203547346</v>
      </c>
      <c r="L104" s="155">
        <f t="shared" si="7"/>
        <v>2723026.6554906224</v>
      </c>
    </row>
    <row r="105" spans="1:12" x14ac:dyDescent="0.25">
      <c r="A105" s="162" t="s">
        <v>3902</v>
      </c>
      <c r="B105" s="94">
        <f>372-'اوراق بدون ریسک'!$AD$19</f>
        <v>169</v>
      </c>
      <c r="C105" s="163">
        <f t="shared" si="6"/>
        <v>2760164.7400121903</v>
      </c>
      <c r="D105" s="163">
        <f t="shared" si="6"/>
        <v>2747420.7843116322</v>
      </c>
      <c r="E105" s="163">
        <f t="shared" si="5"/>
        <v>2734736.0152734169</v>
      </c>
      <c r="F105" s="163">
        <f t="shared" si="5"/>
        <v>2722110.1564079635</v>
      </c>
      <c r="G105" s="163">
        <f t="shared" si="5"/>
        <v>2709542.9325249982</v>
      </c>
      <c r="H105" s="163">
        <f t="shared" si="5"/>
        <v>2697034.0697268015</v>
      </c>
      <c r="I105" s="163">
        <f t="shared" si="5"/>
        <v>2684583.2954028989</v>
      </c>
      <c r="J105" s="163">
        <f t="shared" si="5"/>
        <v>2672190.3382236036</v>
      </c>
      <c r="K105" s="163">
        <f t="shared" si="5"/>
        <v>2659854.9281338672</v>
      </c>
      <c r="L105" s="158">
        <f t="shared" si="7"/>
        <v>2692990.3061762266</v>
      </c>
    </row>
    <row r="106" spans="1:12" x14ac:dyDescent="0.25">
      <c r="A106" s="156" t="s">
        <v>3903</v>
      </c>
      <c r="B106" s="157">
        <f>391-'اوراق بدون ریسک'!$AD$19</f>
        <v>188</v>
      </c>
      <c r="C106" s="158">
        <f t="shared" si="6"/>
        <v>2734429.4758505928</v>
      </c>
      <c r="D106" s="158">
        <f t="shared" si="6"/>
        <v>2720388.5988536393</v>
      </c>
      <c r="E106" s="158">
        <f t="shared" si="5"/>
        <v>2706420.2011300493</v>
      </c>
      <c r="F106" s="158">
        <f t="shared" si="5"/>
        <v>2692523.9065711377</v>
      </c>
      <c r="G106" s="158">
        <f t="shared" si="5"/>
        <v>2678699.3410303313</v>
      </c>
      <c r="H106" s="158">
        <f t="shared" si="5"/>
        <v>2664946.1323121991</v>
      </c>
      <c r="I106" s="158">
        <f t="shared" si="5"/>
        <v>2651263.9101631036</v>
      </c>
      <c r="J106" s="158">
        <f t="shared" si="5"/>
        <v>2637652.3062606105</v>
      </c>
      <c r="K106" s="158">
        <f t="shared" si="5"/>
        <v>2624110.9542032513</v>
      </c>
      <c r="L106" s="170">
        <f t="shared" si="7"/>
        <v>2669199.9502428574</v>
      </c>
    </row>
    <row r="107" spans="1:12" x14ac:dyDescent="0.25">
      <c r="A107" s="162" t="s">
        <v>3904</v>
      </c>
      <c r="B107" s="94">
        <f>407-'اوراق بدون ریسک'!$AD$19</f>
        <v>204</v>
      </c>
      <c r="C107" s="163">
        <f t="shared" si="6"/>
        <v>2712943.8774761939</v>
      </c>
      <c r="D107" s="163">
        <f t="shared" si="6"/>
        <v>2697831.0549903577</v>
      </c>
      <c r="E107" s="163">
        <f t="shared" si="6"/>
        <v>2682802.8309108107</v>
      </c>
      <c r="F107" s="163">
        <f t="shared" si="6"/>
        <v>2667858.7293763692</v>
      </c>
      <c r="G107" s="163">
        <f t="shared" si="6"/>
        <v>2652998.2772156694</v>
      </c>
      <c r="H107" s="163">
        <f t="shared" si="6"/>
        <v>2638221.0039311578</v>
      </c>
      <c r="I107" s="163">
        <f t="shared" si="6"/>
        <v>2623526.4416848593</v>
      </c>
      <c r="J107" s="163">
        <f t="shared" si="6"/>
        <v>2608914.1252828292</v>
      </c>
      <c r="K107" s="163">
        <f t="shared" si="6"/>
        <v>2594383.59216002</v>
      </c>
      <c r="L107" s="163">
        <f t="shared" si="7"/>
        <v>2647576.7963473531</v>
      </c>
    </row>
    <row r="108" spans="1:12" x14ac:dyDescent="0.25">
      <c r="A108" s="153" t="s">
        <v>3905</v>
      </c>
      <c r="B108" s="154">
        <f>573-'اوراق بدون ریسک'!$AD$19</f>
        <v>370</v>
      </c>
      <c r="C108" s="155">
        <f t="shared" si="6"/>
        <v>2499751.9626519778</v>
      </c>
      <c r="D108" s="155">
        <f t="shared" si="6"/>
        <v>2474552.7213251051</v>
      </c>
      <c r="E108" s="155">
        <f t="shared" si="6"/>
        <v>2449608.1855179514</v>
      </c>
      <c r="F108" s="155">
        <f t="shared" si="6"/>
        <v>2424915.7738832277</v>
      </c>
      <c r="G108" s="155">
        <f t="shared" si="6"/>
        <v>2400472.9313046127</v>
      </c>
      <c r="H108" s="155">
        <f t="shared" si="6"/>
        <v>2376277.1286282823</v>
      </c>
      <c r="I108" s="155">
        <f t="shared" si="6"/>
        <v>2352325.8623999679</v>
      </c>
      <c r="J108" s="155">
        <f t="shared" si="6"/>
        <v>2328616.654602393</v>
      </c>
      <c r="K108" s="155">
        <f t="shared" si="6"/>
        <v>2305147.0523959449</v>
      </c>
      <c r="L108" s="158">
        <f t="shared" si="7"/>
        <v>2610639.4895005617</v>
      </c>
    </row>
    <row r="109" spans="1:12" x14ac:dyDescent="0.25">
      <c r="A109" s="162" t="s">
        <v>3906</v>
      </c>
      <c r="B109" s="94">
        <f>579-'اوراق بدون ریسک'!$AD$19</f>
        <v>376</v>
      </c>
      <c r="C109" s="163">
        <f t="shared" si="6"/>
        <v>2492368.1861335151</v>
      </c>
      <c r="D109" s="163">
        <f t="shared" si="6"/>
        <v>2466838.0429242891</v>
      </c>
      <c r="E109" s="163">
        <f t="shared" si="6"/>
        <v>2441570.1016949397</v>
      </c>
      <c r="F109" s="163">
        <f t="shared" si="6"/>
        <v>2416561.6624856996</v>
      </c>
      <c r="G109" s="163">
        <f t="shared" si="6"/>
        <v>2391810.0532121118</v>
      </c>
      <c r="H109" s="163">
        <f t="shared" si="6"/>
        <v>2367312.6293752501</v>
      </c>
      <c r="I109" s="163">
        <f t="shared" si="6"/>
        <v>2343066.7737777834</v>
      </c>
      <c r="J109" s="163">
        <f t="shared" si="6"/>
        <v>2319069.8962406381</v>
      </c>
      <c r="K109" s="163">
        <f t="shared" si="6"/>
        <v>2295319.4333231663</v>
      </c>
      <c r="L109" s="163">
        <f t="shared" si="7"/>
        <v>2579934.3823654726</v>
      </c>
    </row>
    <row r="110" spans="1:12" x14ac:dyDescent="0.25">
      <c r="A110" s="156" t="s">
        <v>3907</v>
      </c>
      <c r="B110" s="157">
        <f>753-'اوراق بدون ریسک'!$AD$19</f>
        <v>550</v>
      </c>
      <c r="C110" s="158">
        <f t="shared" si="6"/>
        <v>2287469.6934520672</v>
      </c>
      <c r="D110" s="158">
        <f t="shared" si="6"/>
        <v>2253276.568894349</v>
      </c>
      <c r="E110" s="158">
        <f t="shared" si="6"/>
        <v>2219595.4789489559</v>
      </c>
      <c r="F110" s="158">
        <f t="shared" si="6"/>
        <v>2186418.7423020066</v>
      </c>
      <c r="G110" s="158">
        <f t="shared" si="6"/>
        <v>2153738.7930773208</v>
      </c>
      <c r="H110" s="158">
        <f t="shared" si="6"/>
        <v>2121548.1790968776</v>
      </c>
      <c r="I110" s="158">
        <f t="shared" si="6"/>
        <v>2089839.5601712244</v>
      </c>
      <c r="J110" s="158">
        <f t="shared" si="6"/>
        <v>2058605.7064125901</v>
      </c>
      <c r="K110" s="158">
        <f t="shared" si="6"/>
        <v>2027839.4965741672</v>
      </c>
      <c r="L110" s="155">
        <f t="shared" si="7"/>
        <v>2281914.6278623561</v>
      </c>
    </row>
    <row r="111" spans="1:12" x14ac:dyDescent="0.25">
      <c r="A111" s="168" t="s">
        <v>3908</v>
      </c>
      <c r="B111" s="169">
        <f>757-'اوراق بدون ریسک'!$AD$19</f>
        <v>554</v>
      </c>
      <c r="C111" s="170">
        <f t="shared" si="6"/>
        <v>2282962.9820569404</v>
      </c>
      <c r="D111" s="170">
        <f t="shared" si="6"/>
        <v>2248590.9142990354</v>
      </c>
      <c r="E111" s="170">
        <f t="shared" si="6"/>
        <v>2214737.2690506438</v>
      </c>
      <c r="F111" s="170">
        <f t="shared" si="6"/>
        <v>2181394.2132413108</v>
      </c>
      <c r="G111" s="170">
        <f t="shared" si="6"/>
        <v>2148554.0323639442</v>
      </c>
      <c r="H111" s="170">
        <f t="shared" si="6"/>
        <v>2116209.128675411</v>
      </c>
      <c r="I111" s="170">
        <f t="shared" si="6"/>
        <v>2084352.0194282092</v>
      </c>
      <c r="J111" s="170">
        <f t="shared" si="6"/>
        <v>2052975.3351259041</v>
      </c>
      <c r="K111" s="170">
        <f t="shared" si="6"/>
        <v>2022071.8178057943</v>
      </c>
      <c r="L111" s="163">
        <f t="shared" si="7"/>
        <v>2271812.8480465855</v>
      </c>
    </row>
    <row r="112" spans="1:12" x14ac:dyDescent="0.25">
      <c r="A112" s="153" t="s">
        <v>3909</v>
      </c>
      <c r="B112" s="154">
        <f>774-'اوراق بدون ریسک'!$AD$19</f>
        <v>571</v>
      </c>
      <c r="C112" s="155">
        <f t="shared" si="6"/>
        <v>2263908.3038046551</v>
      </c>
      <c r="D112" s="155">
        <f t="shared" si="6"/>
        <v>2228785.3413585164</v>
      </c>
      <c r="E112" s="155">
        <f t="shared" si="6"/>
        <v>2194208.22669665</v>
      </c>
      <c r="F112" s="155">
        <f t="shared" si="6"/>
        <v>2160168.4621709422</v>
      </c>
      <c r="G112" s="155">
        <f t="shared" si="6"/>
        <v>2126657.6826506872</v>
      </c>
      <c r="H112" s="155">
        <f t="shared" si="6"/>
        <v>2093667.6534508376</v>
      </c>
      <c r="I112" s="155">
        <f t="shared" si="6"/>
        <v>2061190.2682964816</v>
      </c>
      <c r="J112" s="155">
        <f t="shared" si="6"/>
        <v>2029217.547316011</v>
      </c>
      <c r="K112" s="155">
        <f t="shared" si="6"/>
        <v>1997741.6350664508</v>
      </c>
      <c r="L112" s="158">
        <f t="shared" si="7"/>
        <v>1997533.9164149466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1991634.3193481676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1966754.7985901898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2018-10-09T15:47:01Z</dcterms:modified>
</cp:coreProperties>
</file>