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S100" i="18" l="1"/>
  <c r="S101" i="18"/>
  <c r="S99" i="18"/>
  <c r="S83" i="18"/>
  <c r="AR14" i="18"/>
  <c r="AJ154" i="18"/>
  <c r="AJ110" i="18"/>
  <c r="D276" i="20" l="1"/>
  <c r="B31" i="52"/>
  <c r="K277" i="20"/>
  <c r="K278" i="20"/>
  <c r="K279" i="20"/>
  <c r="K280" i="20"/>
  <c r="K281" i="20"/>
  <c r="K282" i="20"/>
  <c r="K283" i="20"/>
  <c r="K284" i="20"/>
  <c r="J277" i="20"/>
  <c r="J278" i="20"/>
  <c r="J279" i="20"/>
  <c r="J280" i="20"/>
  <c r="J281" i="20"/>
  <c r="J282" i="20"/>
  <c r="J283" i="20"/>
  <c r="J284" i="20"/>
  <c r="I275" i="20"/>
  <c r="I277" i="20"/>
  <c r="I278" i="20"/>
  <c r="I279" i="20"/>
  <c r="I280" i="20"/>
  <c r="I281" i="20"/>
  <c r="I282" i="20"/>
  <c r="I283" i="20"/>
  <c r="I284" i="20"/>
  <c r="H273" i="20"/>
  <c r="H274" i="20"/>
  <c r="H275" i="20"/>
  <c r="H276" i="20"/>
  <c r="J276" i="20" s="1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N47" i="18"/>
  <c r="N49" i="18"/>
  <c r="I274" i="20" l="1"/>
  <c r="J274" i="20"/>
  <c r="K273" i="20"/>
  <c r="J272" i="20"/>
  <c r="K272" i="20"/>
  <c r="K275" i="20"/>
  <c r="J273" i="20"/>
  <c r="J275" i="20"/>
  <c r="K274" i="20"/>
  <c r="I276" i="20"/>
  <c r="K276" i="20"/>
  <c r="I273" i="20"/>
  <c r="N43" i="18"/>
  <c r="D272" i="20" l="1"/>
  <c r="D271" i="20" l="1"/>
  <c r="AL109" i="18"/>
  <c r="AL108" i="18" s="1"/>
  <c r="AL105" i="18" s="1"/>
  <c r="AL104" i="18" s="1"/>
  <c r="AL103" i="18" s="1"/>
  <c r="AL102" i="18" s="1"/>
  <c r="AL101" i="18" s="1"/>
  <c r="AL100" i="18" s="1"/>
  <c r="AM100" i="18" s="1"/>
  <c r="AM105" i="18" l="1"/>
  <c r="AM101" i="18"/>
  <c r="AM109" i="18"/>
  <c r="AM103" i="18"/>
  <c r="AM104" i="18"/>
  <c r="AM108" i="18"/>
  <c r="AM102" i="18"/>
  <c r="D270" i="20"/>
  <c r="N51" i="18"/>
  <c r="B286" i="20" l="1"/>
  <c r="H270" i="20"/>
  <c r="H271" i="20"/>
  <c r="H272" i="20"/>
  <c r="D269" i="20"/>
  <c r="H269" i="20"/>
  <c r="S55" i="18" l="1"/>
  <c r="N50" i="18"/>
  <c r="D57" i="54" l="1"/>
  <c r="D3" i="54" l="1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4" i="18"/>
  <c r="N105" i="18"/>
  <c r="N106" i="18"/>
  <c r="N107" i="18"/>
  <c r="N108" i="18"/>
  <c r="N109" i="18"/>
  <c r="N110" i="18"/>
  <c r="N111" i="18"/>
  <c r="N103" i="18"/>
  <c r="C286" i="20" l="1"/>
  <c r="M13" i="52"/>
  <c r="M12" i="52"/>
  <c r="M6" i="52"/>
  <c r="L12" i="52" s="1"/>
  <c r="N4" i="52"/>
  <c r="N3" i="52"/>
  <c r="N2" i="52"/>
  <c r="K19" i="52" l="1"/>
  <c r="N6" i="52"/>
  <c r="M8" i="52" s="1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8" i="18" l="1"/>
  <c r="U130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7" i="18" l="1"/>
  <c r="P28" i="18"/>
  <c r="N28" i="18" s="1"/>
  <c r="P24" i="18"/>
  <c r="N24" i="18" s="1"/>
  <c r="N48" i="18" l="1"/>
  <c r="L33" i="18" l="1"/>
  <c r="W121" i="18" l="1"/>
  <c r="W122" i="18"/>
  <c r="W123" i="18"/>
  <c r="W124" i="18"/>
  <c r="W125" i="18"/>
  <c r="W126" i="18"/>
  <c r="W129" i="18"/>
  <c r="W120" i="18"/>
  <c r="N52" i="18" l="1"/>
  <c r="R156" i="18" l="1"/>
  <c r="R165" i="18"/>
  <c r="R143" i="18"/>
  <c r="T146" i="18" l="1"/>
  <c r="T104" i="18"/>
  <c r="S39" i="18"/>
  <c r="S40" i="18" s="1"/>
  <c r="S41" i="18" s="1"/>
  <c r="R125" i="18"/>
  <c r="R124" i="18"/>
  <c r="R123" i="18"/>
  <c r="D57" i="51"/>
  <c r="S42" i="18" l="1"/>
  <c r="S43" i="18" s="1"/>
  <c r="S44" i="18" s="1"/>
  <c r="M77" i="18" l="1"/>
  <c r="P27" i="18" l="1"/>
  <c r="N27" i="18" s="1"/>
  <c r="R122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2" i="18"/>
  <c r="AL96" i="18" l="1"/>
  <c r="AL95" i="18" s="1"/>
  <c r="AL151" i="18"/>
  <c r="AM152" i="18"/>
  <c r="S22" i="18"/>
  <c r="S23" i="18" s="1"/>
  <c r="S24" i="18" s="1"/>
  <c r="S25" i="18" s="1"/>
  <c r="P22" i="18"/>
  <c r="N22" i="18" s="1"/>
  <c r="N44" i="18"/>
  <c r="AM96" i="18" l="1"/>
  <c r="AL150" i="18"/>
  <c r="AM151" i="18"/>
  <c r="AL94" i="18"/>
  <c r="AM95" i="18"/>
  <c r="AL149" i="18" l="1"/>
  <c r="AM150" i="18"/>
  <c r="AL93" i="18"/>
  <c r="AM94" i="18"/>
  <c r="AL148" i="18" l="1"/>
  <c r="AM149" i="18"/>
  <c r="AL92" i="18"/>
  <c r="AM93" i="18"/>
  <c r="S26" i="18"/>
  <c r="S27" i="18" s="1"/>
  <c r="S28" i="18" s="1"/>
  <c r="N77" i="18"/>
  <c r="AL147" i="18" l="1"/>
  <c r="AM148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47" i="18" l="1"/>
  <c r="AL146" i="18"/>
  <c r="AL90" i="18"/>
  <c r="AM91" i="18"/>
  <c r="D73" i="48"/>
  <c r="N23" i="18"/>
  <c r="AL145" i="18" l="1"/>
  <c r="AM146" i="18"/>
  <c r="AM90" i="18"/>
  <c r="AL89" i="18"/>
  <c r="AL144" i="18" l="1"/>
  <c r="AM145" i="18"/>
  <c r="AL88" i="18"/>
  <c r="AM89" i="18"/>
  <c r="P57" i="18"/>
  <c r="AL143" i="18" l="1"/>
  <c r="AM144" i="18"/>
  <c r="AL87" i="18"/>
  <c r="AM88" i="18"/>
  <c r="AL142" i="18" l="1"/>
  <c r="AM143" i="18"/>
  <c r="AM87" i="18"/>
  <c r="AL86" i="18"/>
  <c r="N23" i="33"/>
  <c r="D23" i="33" s="1"/>
  <c r="AL141" i="18" l="1"/>
  <c r="AM142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0" i="18" l="1"/>
  <c r="AM141" i="18"/>
  <c r="AL84" i="18"/>
  <c r="AM85" i="18"/>
  <c r="P21" i="18"/>
  <c r="N21" i="18" s="1"/>
  <c r="B263" i="15"/>
  <c r="AJ158" i="18" l="1"/>
  <c r="R121" i="18"/>
  <c r="AJ159" i="18"/>
  <c r="AL139" i="18"/>
  <c r="AM140" i="18"/>
  <c r="Q34" i="18"/>
  <c r="AM84" i="18"/>
  <c r="AL83" i="18"/>
  <c r="AL138" i="18" l="1"/>
  <c r="AM139" i="18"/>
  <c r="AM83" i="18"/>
  <c r="AL82" i="18"/>
  <c r="S56" i="18"/>
  <c r="S57" i="18" s="1"/>
  <c r="AM138" i="18" l="1"/>
  <c r="AL137" i="18"/>
  <c r="AL81" i="18"/>
  <c r="AM82" i="18"/>
  <c r="AL136" i="18" l="1"/>
  <c r="AM137" i="18"/>
  <c r="AL80" i="18"/>
  <c r="AM80" i="18" s="1"/>
  <c r="AM81" i="18"/>
  <c r="AM136" i="18" l="1"/>
  <c r="AL135" i="18"/>
  <c r="AM135" i="18" l="1"/>
  <c r="AL134" i="18"/>
  <c r="B8" i="36"/>
  <c r="AL133" i="18" l="1"/>
  <c r="AM134" i="18"/>
  <c r="B10" i="36"/>
  <c r="AL132" i="18" l="1"/>
  <c r="AM133" i="18"/>
  <c r="S58" i="18"/>
  <c r="S59" i="18" l="1"/>
  <c r="S60" i="18" s="1"/>
  <c r="S61" i="18" s="1"/>
  <c r="S62" i="18" s="1"/>
  <c r="S63" i="18" s="1"/>
  <c r="S64" i="18" s="1"/>
  <c r="AL131" i="18"/>
  <c r="AM132" i="18"/>
  <c r="N25" i="33"/>
  <c r="N24" i="33"/>
  <c r="N21" i="33"/>
  <c r="N20" i="33"/>
  <c r="N19" i="33"/>
  <c r="N18" i="33"/>
  <c r="L18" i="33" s="1"/>
  <c r="N17" i="33"/>
  <c r="N9" i="33"/>
  <c r="N3" i="33"/>
  <c r="N4" i="33"/>
  <c r="AM131" i="18" l="1"/>
  <c r="AL130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0" i="18" l="1"/>
  <c r="AL129" i="18"/>
  <c r="S66" i="18"/>
  <c r="AC15" i="33"/>
  <c r="AM129" i="18" l="1"/>
  <c r="AL128" i="18"/>
  <c r="S67" i="18"/>
  <c r="S68" i="18" s="1"/>
  <c r="S69" i="18" s="1"/>
  <c r="S70" i="18" s="1"/>
  <c r="S71" i="18" s="1"/>
  <c r="S72" i="18" s="1"/>
  <c r="S73" i="18" s="1"/>
  <c r="S74" i="18" s="1"/>
  <c r="N16" i="33"/>
  <c r="S75" i="18" l="1"/>
  <c r="S76" i="18" s="1"/>
  <c r="S77" i="18" s="1"/>
  <c r="S78" i="18" s="1"/>
  <c r="S79" i="18" s="1"/>
  <c r="S80" i="18" s="1"/>
  <c r="S81" i="18" s="1"/>
  <c r="S82" i="18" s="1"/>
  <c r="AM128" i="18"/>
  <c r="AL127" i="18"/>
  <c r="AM12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54" i="18" l="1"/>
  <c r="AN154" i="18" s="1"/>
  <c r="AJ157" i="18" s="1"/>
  <c r="S84" i="18"/>
  <c r="S85" i="18" s="1"/>
  <c r="S86" i="18" s="1"/>
  <c r="S87" i="18" s="1"/>
  <c r="S88" i="18" s="1"/>
  <c r="S89" i="18" s="1"/>
  <c r="S90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91" i="18" l="1"/>
  <c r="S92" i="18" s="1"/>
  <c r="AJ160" i="18"/>
  <c r="AJ161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85" i="20" l="1"/>
  <c r="J285" i="20"/>
  <c r="K285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7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2" i="18"/>
  <c r="Q96" i="18" l="1"/>
  <c r="AJ116" i="18"/>
  <c r="AJ117" i="18" s="1"/>
  <c r="R120" i="18"/>
  <c r="R129" i="18" s="1"/>
  <c r="T133" i="18" s="1"/>
  <c r="G268" i="20"/>
  <c r="I269" i="20"/>
  <c r="K269" i="20"/>
  <c r="J269" i="20"/>
  <c r="AL74" i="18"/>
  <c r="AM75" i="18"/>
  <c r="G267" i="20" l="1"/>
  <c r="K268" i="20"/>
  <c r="J268" i="20"/>
  <c r="I268" i="20"/>
  <c r="U146" i="18"/>
  <c r="AL73" i="18"/>
  <c r="AM74" i="18"/>
  <c r="N83" i="18"/>
  <c r="V92" i="18" s="1"/>
  <c r="G266" i="20" l="1"/>
  <c r="I267" i="20"/>
  <c r="J267" i="20"/>
  <c r="K267" i="20"/>
  <c r="W92" i="18"/>
  <c r="X92" i="18"/>
  <c r="V90" i="18"/>
  <c r="V91" i="18"/>
  <c r="V88" i="18"/>
  <c r="V87" i="18"/>
  <c r="V89" i="18"/>
  <c r="V86" i="18"/>
  <c r="W86" i="18" s="1"/>
  <c r="V83" i="18"/>
  <c r="X83" i="18" s="1"/>
  <c r="V85" i="18"/>
  <c r="V84" i="18"/>
  <c r="V32" i="18"/>
  <c r="V81" i="18"/>
  <c r="V82" i="18"/>
  <c r="V80" i="18"/>
  <c r="V79" i="18"/>
  <c r="V31" i="18"/>
  <c r="W31" i="18" s="1"/>
  <c r="V78" i="18"/>
  <c r="V77" i="18"/>
  <c r="W77" i="18" s="1"/>
  <c r="V44" i="18"/>
  <c r="V30" i="18"/>
  <c r="X30" i="18" s="1"/>
  <c r="V43" i="18"/>
  <c r="V76" i="18"/>
  <c r="V45" i="18"/>
  <c r="V41" i="18"/>
  <c r="V42" i="18"/>
  <c r="V29" i="18"/>
  <c r="W29" i="18" s="1"/>
  <c r="V75" i="18"/>
  <c r="V74" i="18"/>
  <c r="W74" i="18" s="1"/>
  <c r="S108" i="18"/>
  <c r="V72" i="18"/>
  <c r="W72" i="18" s="1"/>
  <c r="V73" i="18"/>
  <c r="V69" i="18"/>
  <c r="W69" i="18" s="1"/>
  <c r="V71" i="18"/>
  <c r="V70" i="18"/>
  <c r="V146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G265" i="20" l="1"/>
  <c r="I266" i="20"/>
  <c r="J266" i="20"/>
  <c r="K266" i="20"/>
  <c r="X91" i="18"/>
  <c r="W91" i="18"/>
  <c r="W90" i="18"/>
  <c r="X90" i="18"/>
  <c r="W87" i="18"/>
  <c r="X87" i="18"/>
  <c r="W89" i="18"/>
  <c r="X89" i="18"/>
  <c r="X86" i="18"/>
  <c r="W88" i="18"/>
  <c r="X88" i="18"/>
  <c r="W83" i="18"/>
  <c r="W84" i="18"/>
  <c r="X84" i="18"/>
  <c r="W85" i="18"/>
  <c r="X85" i="18"/>
  <c r="W32" i="18"/>
  <c r="X32" i="18"/>
  <c r="W82" i="18"/>
  <c r="X82" i="18"/>
  <c r="X81" i="18"/>
  <c r="W81" i="18"/>
  <c r="W79" i="18"/>
  <c r="X79" i="18"/>
  <c r="W80" i="18"/>
  <c r="X80" i="18"/>
  <c r="X31" i="18"/>
  <c r="W78" i="18"/>
  <c r="X78" i="18"/>
  <c r="X77" i="18"/>
  <c r="W44" i="18"/>
  <c r="X44" i="18"/>
  <c r="W30" i="18"/>
  <c r="W43" i="18"/>
  <c r="X43" i="18"/>
  <c r="W76" i="18"/>
  <c r="X76" i="18"/>
  <c r="X41" i="18"/>
  <c r="W41" i="18"/>
  <c r="W42" i="18"/>
  <c r="X42" i="18"/>
  <c r="W45" i="18"/>
  <c r="X45" i="18"/>
  <c r="W75" i="18"/>
  <c r="X75" i="18"/>
  <c r="X29" i="18"/>
  <c r="X74" i="18"/>
  <c r="X72" i="18"/>
  <c r="X73" i="18"/>
  <c r="W73" i="18"/>
  <c r="X69" i="18"/>
  <c r="W70" i="18"/>
  <c r="X70" i="18"/>
  <c r="W71" i="18"/>
  <c r="X71" i="18"/>
  <c r="V136" i="18"/>
  <c r="S107" i="18"/>
  <c r="N60" i="18"/>
  <c r="S106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N31" i="18" l="1"/>
  <c r="L21" i="18" s="1"/>
  <c r="G264" i="20"/>
  <c r="J265" i="20"/>
  <c r="I265" i="20"/>
  <c r="K265" i="20"/>
  <c r="U107" i="18"/>
  <c r="V107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B196" i="13" s="1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3" i="15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J228" i="20" l="1"/>
  <c r="I228" i="20"/>
  <c r="G227" i="20"/>
  <c r="K228" i="20"/>
  <c r="AL33" i="18"/>
  <c r="AM34" i="18"/>
  <c r="D252" i="15"/>
  <c r="F253" i="15"/>
  <c r="G226" i="20" l="1"/>
  <c r="K227" i="20"/>
  <c r="J227" i="20"/>
  <c r="I227" i="20"/>
  <c r="AL32" i="18"/>
  <c r="AM33" i="18"/>
  <c r="D251" i="15"/>
  <c r="F252" i="15"/>
  <c r="G225" i="20" l="1"/>
  <c r="J226" i="20"/>
  <c r="I226" i="20"/>
  <c r="K226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J225" i="20" l="1"/>
  <c r="G224" i="20"/>
  <c r="K225" i="20"/>
  <c r="I225" i="20"/>
  <c r="AL30" i="18"/>
  <c r="AM31" i="18"/>
  <c r="D249" i="15"/>
  <c r="F250" i="15"/>
  <c r="L60" i="32"/>
  <c r="L48" i="32"/>
  <c r="G223" i="20" l="1"/>
  <c r="I224" i="20"/>
  <c r="J224" i="20"/>
  <c r="K224" i="20"/>
  <c r="AL29" i="18"/>
  <c r="AM30" i="18"/>
  <c r="F249" i="15"/>
  <c r="D248" i="15"/>
  <c r="J223" i="20" l="1"/>
  <c r="I223" i="20"/>
  <c r="G222" i="20"/>
  <c r="K223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22" i="20" l="1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J221" i="20" l="1"/>
  <c r="I221" i="20"/>
  <c r="G220" i="20"/>
  <c r="K221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9" i="20" l="1"/>
  <c r="K220" i="20"/>
  <c r="I220" i="20"/>
  <c r="J220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8" i="20" l="1"/>
  <c r="K219" i="20"/>
  <c r="I219" i="20"/>
  <c r="J219" i="20"/>
  <c r="AL24" i="18"/>
  <c r="AM25" i="18"/>
  <c r="E178" i="13"/>
  <c r="G179" i="13"/>
  <c r="D243" i="15"/>
  <c r="F244" i="15"/>
  <c r="G217" i="20" l="1"/>
  <c r="I218" i="20"/>
  <c r="K218" i="20"/>
  <c r="J218" i="20"/>
  <c r="AM24" i="18"/>
  <c r="AL23" i="18"/>
  <c r="E177" i="13"/>
  <c r="G178" i="13"/>
  <c r="F243" i="15"/>
  <c r="D242" i="15"/>
  <c r="J217" i="20" l="1"/>
  <c r="I217" i="20"/>
  <c r="K217" i="20"/>
  <c r="G216" i="20"/>
  <c r="AM23" i="18"/>
  <c r="AL22" i="18"/>
  <c r="E176" i="13"/>
  <c r="G177" i="13"/>
  <c r="F242" i="15"/>
  <c r="D241" i="15"/>
  <c r="D165" i="20"/>
  <c r="G215" i="20" l="1"/>
  <c r="J216" i="20"/>
  <c r="K216" i="20"/>
  <c r="I216" i="20"/>
  <c r="AL21" i="18"/>
  <c r="AL20" i="18" s="1"/>
  <c r="AM22" i="18"/>
  <c r="E175" i="13"/>
  <c r="G176" i="13"/>
  <c r="F241" i="15"/>
  <c r="D240" i="15"/>
  <c r="D164" i="20"/>
  <c r="G214" i="20" l="1"/>
  <c r="I215" i="20"/>
  <c r="K215" i="20"/>
  <c r="J215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13" i="20" l="1"/>
  <c r="I214" i="20"/>
  <c r="K214" i="20"/>
  <c r="J214" i="20"/>
  <c r="AM110" i="18"/>
  <c r="E173" i="13"/>
  <c r="G174" i="13"/>
  <c r="D238" i="15"/>
  <c r="F239" i="15"/>
  <c r="X720" i="41"/>
  <c r="U2123" i="41"/>
  <c r="G212" i="20" l="1"/>
  <c r="J213" i="20"/>
  <c r="K213" i="20"/>
  <c r="I213" i="20"/>
  <c r="AN110" i="18"/>
  <c r="AJ115" i="18" s="1"/>
  <c r="AJ119" i="18" s="1"/>
  <c r="E172" i="13"/>
  <c r="G173" i="13"/>
  <c r="D237" i="15"/>
  <c r="F238" i="15"/>
  <c r="D62" i="38"/>
  <c r="I212" i="20" l="1"/>
  <c r="J212" i="20"/>
  <c r="K212" i="20"/>
  <c r="G211" i="20"/>
  <c r="AJ118" i="18"/>
  <c r="E171" i="13"/>
  <c r="G172" i="13"/>
  <c r="F237" i="15"/>
  <c r="D236" i="15"/>
  <c r="G210" i="20" l="1"/>
  <c r="J211" i="20"/>
  <c r="K211" i="20"/>
  <c r="I211" i="20"/>
  <c r="E170" i="13"/>
  <c r="G171" i="13"/>
  <c r="D235" i="15"/>
  <c r="F236" i="15"/>
  <c r="G209" i="20" l="1"/>
  <c r="K210" i="20"/>
  <c r="I210" i="20"/>
  <c r="J210" i="20"/>
  <c r="E169" i="13"/>
  <c r="G170" i="13"/>
  <c r="F235" i="15"/>
  <c r="D234" i="15"/>
  <c r="D163" i="20"/>
  <c r="G208" i="20" l="1"/>
  <c r="J209" i="20"/>
  <c r="I209" i="20"/>
  <c r="K209" i="20"/>
  <c r="E168" i="13"/>
  <c r="G169" i="13"/>
  <c r="F234" i="15"/>
  <c r="D233" i="15"/>
  <c r="G207" i="20" l="1"/>
  <c r="I208" i="20"/>
  <c r="K208" i="20"/>
  <c r="J208" i="20"/>
  <c r="E167" i="13"/>
  <c r="G168" i="13"/>
  <c r="D232" i="15"/>
  <c r="F233" i="15"/>
  <c r="D162" i="20"/>
  <c r="G206" i="20" l="1"/>
  <c r="K207" i="20"/>
  <c r="I207" i="20"/>
  <c r="J207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06" i="20" l="1"/>
  <c r="G205" i="20"/>
  <c r="J206" i="20"/>
  <c r="I206" i="20"/>
  <c r="G72" i="16"/>
  <c r="E165" i="13"/>
  <c r="G166" i="13"/>
  <c r="F231" i="15"/>
  <c r="D230" i="15"/>
  <c r="G71" i="16"/>
  <c r="G70" i="16"/>
  <c r="G69" i="16"/>
  <c r="D160" i="20"/>
  <c r="G204" i="20" l="1"/>
  <c r="I205" i="20"/>
  <c r="K205" i="20"/>
  <c r="J205" i="20"/>
  <c r="E164" i="13"/>
  <c r="G165" i="13"/>
  <c r="F230" i="15"/>
  <c r="D229" i="15"/>
  <c r="D159" i="20"/>
  <c r="K204" i="20" l="1"/>
  <c r="G203" i="20"/>
  <c r="J204" i="20"/>
  <c r="I204" i="20"/>
  <c r="E163" i="13"/>
  <c r="G164" i="13"/>
  <c r="F229" i="15"/>
  <c r="D228" i="15"/>
  <c r="D158" i="20"/>
  <c r="D157" i="20"/>
  <c r="K203" i="20" l="1"/>
  <c r="I203" i="20"/>
  <c r="G202" i="20"/>
  <c r="J203" i="20"/>
  <c r="E162" i="13"/>
  <c r="G163" i="13"/>
  <c r="F228" i="15"/>
  <c r="D227" i="15"/>
  <c r="D156" i="20"/>
  <c r="J202" i="20" l="1"/>
  <c r="I202" i="20"/>
  <c r="G201" i="20"/>
  <c r="K202" i="20"/>
  <c r="E161" i="13"/>
  <c r="G162" i="13"/>
  <c r="F227" i="15"/>
  <c r="D226" i="15"/>
  <c r="D155" i="20"/>
  <c r="I201" i="20" l="1"/>
  <c r="G200" i="20"/>
  <c r="J201" i="20"/>
  <c r="K201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9" i="20" l="1"/>
  <c r="I200" i="20"/>
  <c r="J200" i="20"/>
  <c r="K200" i="20"/>
  <c r="E159" i="13"/>
  <c r="G160" i="13"/>
  <c r="G198" i="20" l="1"/>
  <c r="K199" i="20"/>
  <c r="J199" i="20"/>
  <c r="I199" i="20"/>
  <c r="E158" i="13"/>
  <c r="G159" i="13"/>
  <c r="D154" i="20"/>
  <c r="D153" i="20"/>
  <c r="G197" i="20" l="1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K197" i="20" l="1"/>
  <c r="J197" i="20"/>
  <c r="G196" i="20"/>
  <c r="I197" i="20"/>
  <c r="E156" i="13"/>
  <c r="G157" i="13"/>
  <c r="G195" i="20" l="1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195" i="20" l="1"/>
  <c r="I195" i="20"/>
  <c r="G194" i="20"/>
  <c r="K195" i="20"/>
  <c r="E154" i="13"/>
  <c r="G155" i="13"/>
  <c r="I46" i="32"/>
  <c r="G193" i="20" l="1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92" i="20" l="1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6" i="13"/>
  <c r="G199" i="13" s="1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63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s="1"/>
  <c r="L64" i="18" l="1"/>
  <c r="F22" i="18"/>
  <c r="E33" i="13"/>
  <c r="G34" i="13"/>
  <c r="I97" i="20"/>
  <c r="K97" i="20"/>
  <c r="J97" i="20"/>
  <c r="F108" i="15"/>
  <c r="C20" i="18"/>
  <c r="G20" i="14"/>
  <c r="G21" i="14"/>
  <c r="L65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6" i="18" l="1"/>
  <c r="V106" i="18" s="1"/>
  <c r="U108" i="18"/>
  <c r="V108" i="18" s="1"/>
</calcChain>
</file>

<file path=xl/sharedStrings.xml><?xml version="1.0" encoding="utf-8"?>
<sst xmlns="http://schemas.openxmlformats.org/spreadsheetml/2006/main" count="10005" uniqueCount="4639">
  <si>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</si>
  <si>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</si>
  <si>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</si>
  <si>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</si>
  <si>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</si>
  <si>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</si>
  <si>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</si>
  <si>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</si>
  <si>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</si>
  <si>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</si>
  <si>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</si>
  <si>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</si>
  <si>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</si>
  <si>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</si>
  <si>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</si>
  <si>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</si>
  <si>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</si>
  <si>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</si>
  <si>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</si>
  <si>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</si>
  <si>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</si>
  <si>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</si>
  <si>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</si>
  <si>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</si>
  <si>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</si>
  <si>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</si>
  <si>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</si>
  <si>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</si>
  <si>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</si>
  <si>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</si>
  <si>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</si>
  <si>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</si>
  <si>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</si>
  <si>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</si>
  <si>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</si>
  <si>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</si>
  <si>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</si>
  <si>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</si>
  <si>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</si>
  <si>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</si>
  <si>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</si>
  <si>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</si>
  <si>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</si>
  <si>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</si>
  <si>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</si>
  <si>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</si>
  <si>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</si>
  <si>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</si>
  <si>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</si>
  <si>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</si>
  <si>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</si>
  <si>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</si>
  <si>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</si>
  <si>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</si>
  <si>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</si>
  <si>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</si>
  <si>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</si>
  <si>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</si>
  <si>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</si>
  <si>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</si>
  <si>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</si>
  <si>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</si>
  <si>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</si>
  <si>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</si>
  <si>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</si>
  <si>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</si>
  <si>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</si>
  <si>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</si>
  <si>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</si>
  <si>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</si>
  <si>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</si>
  <si>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</si>
  <si>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</si>
  <si>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</si>
  <si>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</si>
  <si>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</si>
  <si>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</si>
  <si>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</si>
  <si>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</si>
  <si>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</si>
  <si>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</si>
  <si>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</si>
  <si>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</si>
  <si>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</si>
  <si>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</si>
  <si>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</si>
  <si>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</si>
  <si>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</si>
  <si>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</si>
  <si>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</si>
  <si>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</si>
  <si>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</si>
  <si>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</si>
  <si>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</si>
  <si>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</si>
  <si>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</si>
  <si>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</si>
  <si>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</si>
  <si>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</si>
  <si>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</si>
  <si>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</si>
  <si>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</si>
  <si>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</si>
  <si>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</si>
  <si>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</si>
  <si>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</si>
  <si>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</si>
  <si>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</si>
  <si>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</si>
  <si>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</si>
  <si>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</si>
  <si>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</si>
  <si>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</si>
  <si>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</si>
  <si>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</si>
  <si>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</si>
  <si>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</si>
  <si>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</si>
  <si>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</si>
  <si>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</si>
  <si>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</si>
  <si>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</si>
  <si>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</si>
  <si>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</si>
  <si>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</si>
  <si>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</si>
  <si>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</si>
  <si>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</si>
  <si>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</si>
  <si>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</si>
  <si>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</si>
  <si>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</si>
  <si>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</si>
  <si>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</si>
  <si>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</si>
  <si>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</si>
  <si>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</si>
  <si>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</si>
  <si>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</si>
  <si>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</si>
  <si>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</si>
  <si>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</si>
  <si>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</si>
  <si>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</si>
  <si>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</si>
  <si>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</si>
  <si>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</si>
  <si>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</si>
  <si>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</si>
  <si>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</si>
  <si>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</si>
  <si>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</si>
  <si>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</si>
  <si>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</si>
  <si>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</si>
  <si>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</si>
  <si>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</si>
  <si>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</si>
  <si>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</si>
  <si>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</si>
  <si>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</si>
  <si>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</si>
  <si>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</si>
  <si>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</si>
  <si>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</si>
  <si>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</si>
  <si>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</si>
  <si>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</si>
  <si>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</si>
  <si>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</si>
  <si>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</si>
  <si>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</si>
  <si>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</si>
  <si>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</si>
  <si>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</si>
  <si>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</si>
  <si>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</si>
  <si>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</si>
  <si>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</si>
  <si>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</si>
  <si>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</si>
  <si>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</si>
  <si>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</si>
  <si>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</si>
  <si>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</si>
  <si>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</si>
  <si>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</si>
  <si>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</si>
  <si>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</si>
  <si>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</si>
  <si>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</si>
  <si>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</si>
  <si>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</si>
  <si>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</si>
  <si>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</si>
  <si>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</si>
  <si>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</si>
  <si>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</si>
  <si>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</si>
  <si>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</si>
  <si>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</si>
  <si>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</si>
  <si>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</si>
  <si>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</si>
  <si>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</si>
  <si>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</si>
  <si>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</si>
  <si>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</si>
  <si>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</si>
  <si>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</si>
  <si>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</si>
  <si>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</si>
  <si>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</si>
  <si>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</si>
  <si>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</si>
  <si>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</si>
  <si>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</si>
  <si>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</si>
  <si>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</si>
  <si>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</si>
  <si>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</si>
  <si>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</si>
  <si>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</si>
  <si>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</si>
  <si>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</si>
  <si>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</si>
  <si>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</si>
  <si>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</si>
  <si>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</si>
  <si>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</si>
  <si>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</si>
  <si>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</si>
  <si>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</si>
  <si>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</si>
  <si>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</si>
  <si>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</si>
  <si>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</si>
  <si>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</si>
  <si>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</si>
  <si>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</si>
  <si>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</si>
  <si>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</si>
  <si>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</si>
  <si>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</si>
  <si>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</si>
  <si>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</si>
  <si>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</si>
  <si>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</si>
  <si>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</si>
  <si>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</si>
  <si>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</si>
  <si>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</si>
  <si>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</si>
  <si>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</si>
  <si>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</si>
  <si>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</si>
  <si>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</si>
  <si>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</si>
  <si>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</si>
  <si>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</si>
  <si>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</si>
  <si>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</si>
  <si>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</si>
  <si>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</si>
  <si>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</si>
  <si>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</si>
  <si>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</si>
  <si>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</si>
  <si>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</si>
  <si>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</si>
  <si>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</si>
  <si>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</si>
  <si>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</si>
  <si>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</si>
  <si>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</si>
  <si>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</si>
  <si>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</si>
  <si>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</si>
  <si>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</si>
  <si>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</si>
  <si>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</si>
  <si>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</si>
  <si>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</si>
  <si>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</si>
  <si>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</si>
  <si>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</si>
  <si>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</si>
  <si>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</si>
  <si>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</si>
  <si>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</si>
  <si>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</si>
  <si>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</si>
  <si>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</si>
  <si>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</si>
  <si>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</si>
  <si>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</si>
  <si>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</si>
  <si>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</si>
  <si>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</si>
  <si>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</si>
  <si>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</si>
  <si>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</si>
  <si>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</si>
  <si>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</si>
  <si>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</si>
  <si>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</si>
  <si>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</si>
  <si>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</si>
  <si>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</si>
  <si>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</si>
  <si>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</si>
  <si>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</si>
  <si>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</si>
  <si>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</si>
  <si>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</si>
  <si>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</si>
  <si>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</si>
  <si>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</si>
  <si>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</si>
  <si>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</si>
  <si>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</si>
  <si>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</si>
  <si>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</si>
  <si>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</si>
  <si>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</si>
  <si>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</si>
  <si>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</si>
  <si>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</si>
  <si>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</si>
  <si>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</si>
  <si>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</si>
  <si>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</si>
  <si>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</si>
  <si>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</si>
  <si>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</si>
  <si>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</si>
  <si>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</si>
  <si>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</si>
  <si>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</si>
  <si>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</si>
  <si>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</si>
  <si>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</si>
  <si>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</si>
  <si>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</si>
  <si>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</si>
  <si>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</si>
  <si>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</si>
  <si>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</si>
  <si>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</si>
  <si>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</si>
  <si>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</si>
  <si>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</si>
  <si>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</si>
  <si>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</si>
  <si>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</si>
  <si>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</si>
  <si>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</si>
  <si>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</si>
  <si>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</si>
  <si>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</si>
  <si>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</si>
  <si>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</si>
  <si>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</si>
  <si>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</si>
  <si>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</si>
  <si>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</si>
  <si>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</si>
  <si>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</si>
  <si>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</si>
  <si>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</si>
  <si>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</si>
  <si>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</si>
  <si>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</si>
  <si>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</si>
  <si>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</si>
  <si>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</si>
  <si>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</si>
  <si>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</si>
  <si>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</si>
  <si>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</si>
  <si>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</si>
  <si>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</si>
  <si>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</si>
  <si>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</si>
  <si>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</si>
  <si>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</si>
  <si>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</si>
  <si>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</si>
  <si>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</si>
  <si>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</si>
  <si>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</si>
  <si>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</si>
  <si>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</si>
  <si>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</si>
  <si>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</si>
  <si>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</si>
  <si>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</si>
  <si>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</si>
  <si>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</si>
  <si>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</si>
  <si>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</si>
  <si>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</si>
  <si>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</si>
  <si>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</si>
  <si>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</si>
  <si>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</si>
  <si>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</si>
  <si>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</si>
  <si>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</si>
  <si>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</si>
  <si>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</si>
  <si>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</si>
  <si>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</si>
  <si>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</si>
  <si>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</si>
  <si>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</si>
  <si>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</si>
  <si>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</si>
  <si>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</si>
  <si>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</si>
  <si>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</si>
  <si>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</si>
  <si>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</si>
  <si>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</si>
  <si>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</si>
  <si>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</si>
  <si>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</si>
  <si>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</si>
  <si>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</si>
  <si>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</si>
  <si>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</si>
  <si>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</si>
  <si>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</si>
  <si>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</si>
  <si>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</si>
  <si>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</si>
  <si>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</si>
  <si>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</si>
  <si>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</si>
  <si>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</si>
  <si>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</si>
  <si>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</si>
  <si>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</si>
  <si>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</si>
  <si>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</si>
  <si>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</si>
  <si>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</si>
  <si>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</si>
  <si>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</si>
  <si>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</si>
  <si>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</si>
  <si>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</si>
  <si>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</si>
  <si>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</si>
  <si>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</si>
  <si>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</si>
  <si>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</si>
  <si>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</si>
  <si>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</si>
  <si>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</si>
  <si>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</si>
  <si>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</si>
  <si>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</si>
  <si>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</si>
  <si>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</si>
  <si>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</si>
  <si>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</si>
  <si>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</si>
  <si>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</si>
  <si>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</si>
  <si>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</si>
  <si>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</si>
  <si>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</si>
  <si>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</si>
  <si>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</si>
  <si>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</si>
  <si>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</si>
  <si>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</si>
  <si>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</si>
  <si>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</si>
  <si>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</si>
  <si>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</si>
  <si>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</si>
  <si>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</si>
  <si>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</si>
  <si>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</si>
  <si>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</si>
  <si>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</si>
  <si>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</si>
  <si>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</si>
  <si>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</si>
  <si>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</si>
  <si>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</si>
  <si>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</si>
  <si>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</si>
  <si>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</si>
  <si>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</si>
  <si>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</si>
  <si>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</si>
  <si>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</si>
  <si>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</si>
  <si>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</si>
  <si>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</si>
  <si>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</si>
  <si>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</si>
  <si>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</si>
  <si>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</si>
  <si>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</si>
  <si>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</si>
  <si>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</si>
  <si>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</si>
  <si>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</si>
  <si>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</si>
  <si>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</si>
  <si>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</si>
  <si>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</si>
  <si>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</si>
  <si>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</si>
  <si>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</si>
  <si>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</si>
  <si>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</si>
  <si>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</si>
  <si>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</si>
  <si>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</si>
  <si>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</si>
  <si>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</si>
  <si>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</si>
  <si>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</si>
  <si>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</si>
  <si>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</si>
  <si>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</si>
  <si>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</si>
  <si>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</si>
  <si>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</si>
  <si>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</si>
  <si>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</si>
  <si>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</si>
  <si>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</si>
  <si>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</si>
  <si>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</si>
  <si>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</si>
  <si>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</si>
  <si>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</si>
  <si>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</si>
  <si>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</si>
  <si>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</si>
  <si>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</si>
  <si>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</si>
  <si>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</si>
  <si>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</si>
  <si>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</si>
  <si>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</si>
  <si>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</si>
  <si>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</si>
  <si>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</si>
  <si>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</si>
  <si>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</si>
  <si>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</si>
  <si>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</si>
  <si>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</si>
  <si>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</si>
  <si>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</si>
  <si>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</si>
  <si>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</si>
  <si>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</si>
  <si>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</si>
  <si>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</si>
  <si>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</si>
  <si>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</si>
  <si>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</si>
  <si>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</si>
  <si>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</si>
  <si>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</si>
  <si>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</si>
  <si>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</si>
  <si>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</si>
  <si>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</si>
  <si>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</si>
  <si>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</si>
  <si>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</si>
  <si>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</si>
  <si>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</si>
  <si>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</si>
  <si>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</si>
  <si>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</si>
  <si>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</si>
  <si>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</si>
  <si>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</si>
  <si>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</si>
  <si>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</si>
  <si>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</si>
  <si>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</si>
  <si>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</si>
  <si>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</si>
  <si>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</si>
  <si>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</si>
  <si>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</si>
  <si>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</si>
  <si>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</si>
  <si>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</si>
  <si>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</si>
  <si>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</si>
  <si>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</si>
  <si>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</si>
  <si>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</si>
  <si>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</si>
  <si>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</si>
  <si>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</si>
  <si>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</si>
  <si>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</si>
  <si>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</si>
  <si>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</si>
  <si>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</si>
  <si>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</si>
  <si>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</si>
  <si>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</si>
  <si>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</si>
  <si>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</si>
  <si>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</si>
  <si>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</si>
  <si>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</si>
  <si>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</si>
  <si>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</si>
  <si>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</si>
  <si>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</si>
  <si>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</si>
  <si>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</si>
  <si>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</si>
  <si>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</si>
  <si>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</si>
  <si>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</si>
  <si>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</si>
  <si>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</si>
  <si>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</si>
  <si>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</si>
  <si>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</si>
  <si>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</si>
  <si>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</si>
  <si>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</si>
  <si>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</si>
  <si>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</si>
  <si>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</si>
  <si>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</si>
  <si>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</si>
  <si>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</si>
  <si>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</si>
  <si>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</si>
  <si>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</si>
  <si>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</si>
  <si>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</si>
  <si>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</si>
  <si>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</si>
  <si>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</si>
  <si>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</si>
  <si>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</si>
  <si>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</si>
  <si>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</si>
  <si>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</si>
  <si>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</si>
  <si>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</si>
  <si>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</si>
  <si>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</si>
  <si>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</si>
  <si>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</si>
  <si>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</si>
  <si>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</si>
  <si>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</si>
  <si>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</si>
  <si>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</si>
  <si>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</si>
  <si>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</si>
  <si>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</si>
  <si>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</si>
  <si>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</si>
  <si>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</si>
  <si>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</si>
  <si>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</si>
  <si>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</si>
  <si>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</si>
  <si>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</si>
  <si>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</si>
  <si>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</si>
  <si>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</si>
  <si>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</si>
  <si>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</si>
  <si>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</si>
  <si>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</si>
  <si>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</si>
  <si>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</si>
  <si>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</si>
  <si>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</si>
  <si>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</si>
  <si>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</si>
  <si>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</si>
  <si>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</si>
  <si>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</si>
  <si>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</si>
  <si>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</si>
  <si>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</si>
  <si>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</si>
  <si>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</si>
  <si>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</si>
  <si>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</si>
  <si>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</si>
  <si>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</si>
  <si>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</si>
  <si>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</si>
  <si>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</si>
  <si>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</si>
  <si>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</si>
  <si>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</si>
  <si>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</si>
  <si>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</si>
  <si>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</si>
  <si>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</si>
  <si>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</si>
  <si>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</si>
  <si>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</si>
  <si>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</si>
  <si>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</si>
  <si>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</si>
  <si>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</si>
  <si>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</si>
  <si>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</si>
  <si>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</si>
  <si>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</si>
  <si>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</si>
  <si>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</si>
  <si>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</si>
  <si>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</si>
  <si>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</si>
  <si>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</si>
  <si>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</si>
  <si>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</si>
  <si>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</si>
  <si>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</si>
  <si>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</si>
  <si>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</si>
  <si>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</si>
  <si>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</si>
  <si>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</si>
  <si>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</si>
  <si>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</si>
  <si>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</si>
  <si>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</si>
  <si>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</si>
  <si>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</si>
  <si>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</si>
  <si>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</si>
  <si>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</si>
  <si>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</si>
  <si>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</si>
  <si>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</si>
  <si>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</si>
  <si>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</si>
  <si>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</si>
  <si>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</si>
  <si>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</si>
  <si>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</si>
  <si>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</si>
  <si>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</si>
  <si>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</si>
  <si>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</si>
  <si>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</si>
  <si>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</si>
  <si>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</si>
  <si>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</si>
  <si>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</si>
  <si>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</si>
  <si>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</si>
  <si>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</si>
  <si>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</si>
  <si>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</si>
  <si>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</si>
  <si>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</si>
  <si>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</si>
  <si>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</si>
  <si>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</si>
  <si>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</si>
  <si>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</si>
  <si>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</si>
  <si>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</si>
  <si>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</si>
  <si>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</si>
  <si>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</si>
  <si>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</si>
  <si>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</si>
  <si>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</si>
  <si>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</si>
  <si>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</si>
  <si>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</si>
  <si>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</si>
  <si>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</si>
  <si>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</si>
  <si>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</si>
  <si>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</si>
  <si>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</si>
  <si>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</si>
  <si>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</si>
  <si>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</si>
  <si>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</si>
  <si>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</si>
  <si>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</si>
  <si>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</si>
  <si>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</si>
  <si>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</si>
  <si>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</si>
  <si>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</si>
  <si>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</si>
  <si>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</si>
  <si>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</si>
  <si>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</si>
  <si>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</si>
  <si>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</si>
  <si>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</si>
  <si>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</si>
  <si>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</si>
  <si>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</si>
  <si>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</si>
  <si>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</si>
  <si>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</si>
  <si>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</si>
  <si>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</si>
  <si>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</si>
  <si>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</si>
  <si>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</si>
  <si>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</si>
  <si>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</si>
  <si>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</si>
  <si>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</si>
  <si>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</si>
  <si>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</si>
  <si>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</si>
  <si>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</si>
  <si>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</si>
  <si>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</si>
  <si>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</si>
  <si>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</si>
  <si>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</si>
  <si>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</si>
  <si>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</si>
  <si>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</si>
  <si>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</si>
  <si>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</si>
  <si>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</si>
  <si>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</si>
  <si>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</si>
  <si>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</si>
  <si>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</si>
  <si>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</si>
  <si>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</si>
  <si>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</si>
  <si>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</si>
  <si>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</si>
  <si>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</si>
  <si>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</si>
  <si>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</si>
  <si>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</si>
  <si>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</si>
  <si>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</si>
  <si>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</si>
  <si>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</si>
  <si>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</si>
  <si>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</si>
  <si>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</si>
  <si>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</si>
  <si>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</si>
  <si>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</si>
  <si>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</si>
  <si>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</si>
  <si>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</si>
  <si>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</si>
  <si>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</si>
  <si>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</si>
  <si>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</si>
  <si>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</si>
  <si>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</si>
  <si>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</si>
  <si>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</si>
  <si>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</si>
  <si>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</si>
  <si>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</si>
  <si>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</si>
  <si>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</si>
  <si>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</si>
  <si>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</si>
  <si>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</si>
  <si>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</si>
  <si>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</si>
  <si>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</si>
  <si>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</si>
  <si>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</si>
  <si>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</si>
  <si>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</si>
  <si>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</si>
  <si>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</si>
  <si>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</si>
  <si>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</si>
  <si>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</si>
  <si>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</si>
  <si>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</si>
  <si>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</si>
  <si>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</si>
  <si>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</si>
  <si>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</si>
  <si>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</si>
  <si>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</si>
  <si>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</si>
  <si>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</si>
  <si>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</si>
  <si>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</si>
  <si>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</si>
  <si>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</si>
  <si>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</si>
  <si>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</si>
  <si>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</si>
  <si>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</si>
  <si>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</si>
  <si>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</si>
  <si>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</si>
  <si>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</si>
  <si>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</si>
  <si>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</si>
  <si>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</si>
  <si>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</si>
  <si>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</si>
  <si>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</si>
  <si>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</si>
  <si>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</si>
  <si>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</si>
  <si>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</si>
  <si>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</si>
  <si>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</si>
  <si>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</si>
  <si>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</si>
  <si>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</si>
  <si>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</si>
  <si>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</si>
  <si>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</si>
  <si>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</si>
  <si>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</si>
  <si>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</si>
  <si>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</si>
  <si>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</si>
  <si>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</si>
  <si>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</si>
  <si>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</si>
  <si>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</si>
  <si>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</si>
  <si>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</si>
  <si>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</si>
  <si>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</si>
  <si>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</si>
  <si>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</si>
  <si>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</si>
  <si>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</si>
  <si>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</si>
  <si>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</si>
  <si>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</si>
  <si>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</si>
  <si>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</si>
  <si>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</si>
  <si>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</si>
  <si>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</si>
  <si>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</si>
  <si>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</si>
  <si>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</si>
  <si>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</si>
  <si>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</si>
  <si>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</si>
  <si>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</si>
  <si>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</si>
  <si>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</si>
  <si>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</si>
  <si>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</si>
  <si>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</si>
  <si>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</si>
  <si>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</si>
  <si>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</si>
  <si>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</si>
  <si>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</si>
  <si>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</si>
  <si>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</si>
  <si>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</si>
  <si>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</si>
  <si>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</si>
  <si>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</si>
  <si>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</si>
  <si>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</si>
  <si>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</si>
  <si>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</si>
  <si>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</si>
  <si>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</si>
  <si>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</si>
  <si>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</si>
  <si>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</si>
  <si>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</si>
  <si>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</si>
  <si>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</si>
  <si>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</si>
  <si>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</si>
  <si>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</si>
  <si>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</si>
  <si>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</si>
  <si>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</si>
  <si>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</si>
  <si>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</si>
  <si>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</si>
  <si>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</si>
  <si>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</si>
  <si>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</si>
  <si>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</si>
  <si>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</si>
  <si>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</si>
  <si>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</si>
  <si>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</si>
  <si>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</si>
  <si>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</si>
  <si>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</si>
  <si>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</si>
  <si>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</si>
  <si>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</si>
  <si>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</si>
  <si>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</si>
  <si>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</si>
  <si>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</si>
  <si>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</si>
  <si>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</si>
  <si>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</si>
  <si>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</si>
  <si>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</si>
  <si>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</si>
  <si>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</si>
  <si>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</si>
  <si>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</si>
  <si>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</si>
  <si>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</si>
  <si>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</si>
  <si>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</si>
  <si>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</si>
  <si>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</si>
  <si>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</si>
  <si>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</si>
  <si>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</si>
  <si>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</si>
  <si>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</si>
  <si>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</si>
  <si>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</si>
  <si>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</si>
  <si>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</si>
  <si>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</si>
  <si>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</si>
  <si>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</si>
  <si>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</si>
  <si>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</si>
  <si>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</si>
  <si>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</si>
  <si>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</si>
  <si>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</si>
  <si>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</si>
  <si>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</si>
  <si>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</si>
  <si>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</si>
  <si>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</si>
  <si>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</si>
  <si>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</si>
  <si>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</si>
  <si>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</si>
  <si>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</si>
  <si>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</si>
  <si>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</si>
  <si>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</si>
  <si>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</si>
  <si>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</si>
  <si>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</si>
  <si>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</si>
  <si>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</si>
  <si>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</si>
  <si>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</si>
  <si>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</si>
  <si>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</si>
  <si>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</si>
  <si>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</si>
  <si>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</si>
  <si>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</si>
  <si>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</si>
  <si>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</si>
  <si>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</si>
  <si>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</si>
  <si>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</si>
  <si>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</si>
  <si>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</si>
  <si>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</si>
  <si>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</si>
  <si>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</si>
  <si>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</si>
  <si>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</si>
  <si>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</si>
  <si>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</si>
  <si>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</si>
  <si>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</si>
  <si>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</si>
  <si>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</si>
  <si>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</si>
  <si>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</si>
  <si>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</si>
  <si>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</si>
  <si>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</si>
  <si>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</si>
  <si>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</si>
  <si>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</si>
  <si>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</si>
  <si>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</si>
  <si>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</si>
  <si>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</si>
  <si>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</si>
  <si>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</si>
  <si>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</si>
  <si>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</si>
  <si>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</si>
  <si>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</si>
  <si>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</si>
  <si>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</si>
  <si>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</si>
  <si>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</si>
  <si>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</si>
  <si>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</si>
  <si>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</si>
  <si>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</si>
  <si>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</si>
  <si>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</si>
  <si>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</si>
  <si>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</si>
  <si>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</si>
  <si>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</si>
  <si>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</si>
  <si>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</si>
  <si>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</si>
  <si>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</si>
  <si>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</si>
  <si>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</si>
  <si>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</si>
  <si>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</si>
  <si>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</si>
  <si>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</si>
  <si>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</si>
  <si>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</si>
  <si>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</si>
  <si>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</si>
  <si>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</si>
  <si>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</si>
  <si>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</si>
  <si>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</si>
  <si>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</si>
  <si>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</si>
  <si>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</si>
  <si>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</si>
  <si>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</si>
  <si>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</si>
  <si>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</si>
  <si>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</si>
  <si>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</si>
  <si>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</si>
  <si>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</si>
  <si>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</si>
  <si>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</si>
  <si>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</si>
  <si>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</si>
  <si>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</si>
  <si>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</si>
  <si>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</si>
  <si>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</si>
  <si>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</si>
  <si>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</si>
  <si>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</si>
  <si>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</si>
  <si>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</si>
  <si>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</si>
  <si>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</si>
  <si>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</si>
  <si>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</si>
  <si>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</si>
  <si>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</si>
  <si>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</si>
  <si>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</si>
  <si>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</si>
  <si>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</si>
  <si>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</si>
  <si>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</si>
  <si>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</si>
  <si>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</si>
  <si>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</si>
  <si>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</si>
  <si>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</si>
  <si>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</si>
  <si>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</si>
  <si>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</si>
  <si>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</si>
  <si>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</si>
  <si>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</si>
  <si>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</si>
  <si>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</si>
  <si>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</si>
  <si>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</si>
  <si>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</si>
  <si>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</si>
  <si>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</si>
  <si>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</si>
  <si>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</si>
  <si>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</si>
  <si>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</si>
  <si>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</si>
  <si>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</si>
  <si>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</si>
  <si>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</si>
  <si>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</si>
  <si>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</si>
  <si>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</si>
  <si>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</si>
  <si>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</si>
  <si>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</si>
  <si>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</si>
  <si>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</si>
  <si>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</si>
  <si>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</si>
  <si>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</si>
  <si>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</si>
  <si>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</si>
  <si>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</si>
  <si>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</si>
  <si>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</si>
  <si>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</si>
  <si>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</si>
  <si>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</si>
  <si>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</si>
  <si>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</si>
  <si>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</si>
  <si>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</si>
  <si>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</si>
  <si>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</si>
  <si>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</si>
  <si>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</si>
  <si>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</si>
  <si>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</si>
  <si>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</si>
  <si>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</si>
  <si>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</si>
  <si>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</si>
  <si>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</si>
  <si>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</si>
  <si>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</si>
  <si>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</si>
  <si>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</si>
  <si>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</si>
  <si>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</si>
  <si>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</si>
  <si>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</si>
  <si>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</si>
  <si>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</si>
  <si>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</si>
  <si>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</si>
  <si>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</si>
  <si>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</si>
  <si>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</si>
  <si>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</si>
  <si>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</si>
  <si>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</si>
  <si>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</si>
  <si>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</si>
  <si>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</si>
  <si>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</si>
  <si>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</si>
  <si>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</si>
  <si>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</si>
  <si>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</si>
  <si>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</si>
  <si>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</si>
  <si>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</si>
  <si>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</si>
  <si>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</si>
  <si>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</si>
  <si>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</si>
  <si>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</si>
  <si>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</si>
  <si>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</si>
  <si>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</si>
  <si>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</si>
  <si>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</si>
  <si>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</si>
  <si>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</si>
  <si>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</si>
  <si>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</si>
  <si>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</si>
  <si>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</si>
  <si>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</si>
  <si>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</si>
  <si>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</si>
  <si>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</si>
  <si>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</si>
  <si>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</si>
  <si>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</si>
  <si>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</si>
  <si>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</si>
  <si>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</si>
  <si>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</si>
  <si>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</si>
  <si>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</si>
  <si>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</si>
  <si>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</si>
  <si>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</si>
  <si>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</si>
  <si>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</si>
  <si>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</si>
  <si>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</si>
  <si>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</si>
  <si>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</si>
  <si>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</si>
  <si>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</si>
  <si>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</si>
  <si>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</si>
  <si>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</si>
  <si>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</si>
  <si>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</si>
  <si>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</si>
  <si>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</si>
  <si>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</si>
  <si>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</si>
  <si>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</si>
  <si>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</si>
  <si>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</si>
  <si>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</si>
  <si>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</si>
  <si>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</si>
  <si>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</si>
  <si>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</si>
  <si>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</si>
  <si>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</si>
  <si>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</si>
  <si>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</si>
  <si>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</si>
  <si>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</si>
  <si>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</si>
  <si>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</si>
  <si>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</si>
  <si>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</si>
  <si>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</si>
  <si>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</si>
  <si>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</si>
  <si>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</si>
  <si>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</si>
  <si>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</si>
  <si>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</si>
  <si>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</si>
  <si>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</si>
  <si>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</si>
  <si>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</si>
  <si>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</si>
  <si>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</si>
  <si>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</si>
  <si>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</si>
  <si>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</si>
  <si>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</si>
  <si>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</si>
  <si>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</si>
  <si>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</si>
  <si>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</si>
  <si>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</si>
  <si>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</si>
  <si>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</si>
  <si>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</si>
  <si>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</si>
  <si>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</si>
  <si>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</si>
  <si>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</si>
  <si>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</si>
  <si>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</si>
  <si>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</si>
  <si>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</si>
  <si>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</si>
  <si>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</si>
  <si>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</si>
  <si>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</si>
  <si>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</si>
  <si>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</si>
  <si>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</si>
  <si>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</si>
  <si>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</si>
  <si>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</si>
  <si>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</si>
  <si>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</si>
  <si>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</si>
  <si>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</si>
  <si>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</si>
  <si>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</si>
  <si>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</si>
  <si>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</si>
  <si>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</si>
  <si>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</si>
  <si>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</si>
  <si>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</si>
  <si>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</si>
  <si>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</si>
  <si>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</si>
  <si>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</si>
  <si>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</si>
  <si>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</si>
  <si>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</si>
  <si>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</si>
  <si>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</si>
  <si>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</si>
  <si>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</si>
  <si>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</si>
  <si>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</si>
  <si>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</si>
  <si>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</si>
  <si>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</si>
  <si>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</si>
  <si>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</si>
  <si>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</si>
  <si>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</si>
  <si>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</si>
  <si>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</si>
  <si>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</si>
  <si>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</si>
  <si>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</si>
  <si>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</si>
  <si>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</si>
  <si>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</si>
  <si>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</si>
  <si>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</si>
  <si>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</si>
  <si>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</si>
  <si>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</si>
  <si>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</si>
  <si>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</si>
  <si>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</si>
  <si>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</si>
  <si>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</si>
  <si>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</si>
  <si>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</si>
  <si>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</si>
  <si>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</si>
  <si>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</si>
  <si>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</si>
  <si>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</si>
  <si>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</si>
  <si>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</si>
  <si>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</si>
  <si>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</si>
  <si>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</si>
  <si>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</si>
  <si>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</si>
  <si>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</si>
  <si>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</si>
  <si>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</si>
  <si>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</si>
  <si>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</si>
  <si>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</si>
  <si>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</si>
  <si>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</si>
  <si>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</si>
  <si>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</si>
  <si>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</si>
  <si>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</si>
  <si>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</si>
  <si>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</si>
  <si>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</si>
  <si>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</si>
  <si>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</si>
  <si>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</si>
  <si>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</si>
  <si>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</si>
  <si>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</si>
  <si>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</si>
  <si>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</si>
  <si>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</si>
  <si>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</si>
  <si>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</si>
  <si>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</si>
  <si>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</si>
  <si>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</si>
  <si>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</si>
  <si>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</si>
  <si>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</si>
  <si>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</si>
  <si>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</si>
  <si>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</si>
  <si>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</si>
  <si>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</si>
  <si>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</si>
  <si>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</si>
  <si>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</si>
  <si>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</si>
  <si>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</si>
  <si>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</si>
  <si>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</si>
  <si>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</si>
  <si>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</si>
  <si>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</si>
  <si>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</si>
  <si>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</si>
  <si>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</si>
  <si>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</si>
  <si>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</si>
  <si>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</si>
  <si>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</si>
  <si>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</si>
  <si>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</si>
  <si>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</si>
  <si>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</si>
  <si>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</si>
  <si>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</si>
  <si>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</si>
  <si>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</si>
  <si>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</si>
  <si>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</si>
  <si>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</si>
  <si>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</si>
  <si>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</si>
  <si>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</si>
  <si>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</si>
  <si>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</si>
  <si>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</si>
  <si>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</si>
  <si>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</si>
  <si>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</si>
  <si>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</si>
  <si>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</si>
  <si>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</si>
  <si>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</si>
  <si>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</si>
  <si>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</si>
  <si>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</si>
  <si>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</si>
  <si>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</si>
  <si>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</si>
  <si>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</si>
  <si>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</si>
  <si>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</si>
  <si>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</si>
  <si>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</si>
  <si>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</si>
  <si>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</si>
  <si>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</si>
  <si>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</si>
  <si>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</si>
  <si>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</si>
  <si>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</si>
  <si>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</si>
  <si>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</si>
  <si>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</si>
  <si>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</si>
  <si>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</si>
  <si>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</si>
  <si>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</si>
  <si>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</si>
  <si>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</si>
  <si>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</si>
  <si>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</si>
  <si>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</si>
  <si>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</si>
  <si>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</si>
  <si>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</si>
  <si>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</si>
  <si>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</si>
  <si>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</si>
  <si>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</si>
  <si>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</si>
  <si>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</si>
  <si>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</si>
  <si>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</si>
  <si>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</si>
  <si>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</si>
  <si>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</si>
  <si>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</si>
  <si>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</si>
  <si>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</si>
  <si>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</si>
  <si>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</si>
  <si>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</si>
  <si>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</si>
  <si>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</si>
  <si>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</si>
  <si>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</si>
  <si>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</si>
  <si>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</si>
  <si>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</si>
  <si>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</si>
  <si>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</si>
  <si>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</si>
  <si>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</si>
  <si>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</si>
  <si>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</si>
  <si>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</si>
  <si>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</si>
  <si>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</si>
  <si>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</si>
  <si>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</si>
  <si>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</si>
  <si>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</si>
  <si>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</si>
  <si>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</si>
  <si>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</si>
  <si>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</si>
  <si>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</si>
  <si>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</si>
  <si>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</si>
  <si>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</si>
  <si>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</si>
  <si>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</si>
  <si>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</si>
  <si>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</si>
  <si>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</si>
  <si>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</si>
  <si>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</si>
  <si>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</si>
  <si>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</si>
  <si>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</si>
  <si>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</si>
  <si>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</si>
  <si>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</si>
  <si>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</si>
  <si>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</si>
  <si>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</si>
  <si>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</si>
  <si>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</si>
  <si>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</si>
  <si>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</si>
  <si>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</si>
  <si>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</si>
  <si>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</si>
  <si>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</si>
  <si>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</si>
  <si>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</si>
  <si>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</si>
  <si>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</si>
  <si>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</si>
  <si>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</si>
  <si>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</si>
  <si>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</si>
  <si>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</si>
  <si>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</si>
  <si>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</si>
  <si>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</si>
  <si>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</si>
  <si>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</si>
  <si>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</si>
  <si>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</si>
  <si>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</si>
  <si>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</si>
  <si>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</si>
  <si>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</si>
  <si>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</si>
  <si>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</si>
  <si>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</si>
  <si>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</si>
  <si>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</si>
  <si>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</si>
  <si>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</si>
  <si>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</si>
  <si>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</si>
  <si>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</si>
  <si>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</si>
  <si>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</si>
  <si>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</si>
  <si>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</si>
  <si>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</si>
  <si>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</si>
  <si>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</si>
  <si>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</si>
  <si>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</si>
  <si>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</si>
  <si>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</si>
  <si>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</si>
  <si>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</si>
  <si>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</si>
  <si>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</si>
  <si>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</si>
  <si>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</si>
  <si>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</si>
  <si>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</si>
  <si>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</si>
  <si>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</si>
  <si>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</si>
  <si>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</si>
  <si>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</si>
  <si>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</si>
  <si>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</si>
  <si>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</si>
  <si>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</si>
  <si>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</si>
  <si>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</si>
  <si>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</si>
  <si>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</si>
  <si>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</si>
  <si>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</si>
  <si>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</si>
  <si>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</si>
  <si>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</si>
  <si>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</si>
  <si>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</si>
  <si>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</si>
  <si>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</si>
  <si>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</si>
  <si>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</si>
  <si>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</si>
  <si>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</si>
  <si>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</si>
  <si>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</si>
  <si>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</si>
  <si>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</si>
  <si>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</si>
  <si>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</si>
  <si>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</si>
  <si>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</si>
  <si>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</si>
  <si>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</si>
  <si>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</si>
  <si>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</si>
  <si>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</si>
  <si>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</si>
  <si>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</si>
  <si>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</si>
  <si>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</si>
  <si>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</si>
  <si>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</si>
  <si>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</si>
  <si>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</si>
  <si>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</si>
  <si>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</si>
  <si>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</si>
  <si>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</si>
  <si>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</si>
  <si>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</si>
  <si>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</si>
  <si>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</si>
  <si>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</si>
  <si>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</si>
  <si>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</si>
  <si>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</si>
  <si>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</si>
  <si>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</si>
  <si>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</si>
  <si>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</si>
  <si>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</si>
  <si>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</si>
  <si>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</si>
  <si>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</si>
  <si>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</si>
  <si>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</si>
  <si>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</si>
  <si>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</si>
  <si>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</si>
  <si>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</si>
  <si>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</si>
  <si>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</si>
  <si>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</si>
  <si>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</si>
  <si>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</si>
  <si>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</si>
  <si>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</si>
  <si>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</si>
  <si>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</si>
  <si>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</si>
  <si>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</si>
  <si>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</si>
  <si>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</si>
  <si>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</si>
  <si>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</si>
  <si>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</si>
  <si>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</si>
  <si>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</si>
  <si>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</si>
  <si>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</si>
  <si>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</si>
  <si>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</si>
  <si>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</si>
  <si>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</si>
  <si>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</si>
  <si>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</si>
  <si>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</si>
  <si>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</si>
  <si>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</si>
  <si>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</si>
  <si>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</si>
  <si>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</si>
  <si>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</si>
  <si>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</si>
  <si>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</si>
  <si>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</si>
  <si>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</si>
  <si>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</si>
  <si>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</si>
  <si>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</si>
  <si>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</si>
  <si>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</si>
  <si>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</si>
  <si>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</si>
  <si>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</si>
  <si>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</si>
  <si>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</si>
  <si>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</si>
  <si>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</si>
  <si>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</si>
  <si>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</si>
  <si>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</si>
  <si>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</si>
  <si>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</si>
  <si>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</si>
  <si>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</si>
  <si>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</si>
  <si>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</si>
  <si>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</si>
  <si>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</si>
  <si>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</si>
  <si>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</si>
  <si>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</si>
  <si>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</si>
  <si>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</si>
  <si>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</si>
  <si>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</si>
  <si>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</si>
  <si>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</si>
  <si>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</si>
  <si>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</si>
  <si>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</si>
  <si>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</si>
  <si>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</si>
  <si>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</si>
  <si>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</si>
  <si>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</si>
  <si>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</si>
  <si>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</si>
  <si>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</si>
  <si>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</si>
  <si>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</si>
  <si>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</si>
  <si>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</si>
  <si>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</si>
  <si>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</si>
  <si>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</si>
  <si>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</si>
  <si>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</si>
  <si>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</si>
  <si>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</si>
  <si>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</si>
  <si>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</si>
  <si>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</si>
  <si>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</si>
  <si>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</si>
  <si>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</si>
  <si>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</si>
  <si>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</si>
  <si>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</si>
  <si>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</si>
  <si>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</si>
  <si>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</si>
  <si>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</si>
  <si>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</si>
  <si>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</si>
  <si>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</si>
  <si>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</si>
  <si>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</si>
  <si>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</si>
  <si>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</si>
  <si>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</si>
  <si>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</si>
  <si>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</si>
  <si>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</si>
  <si>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</si>
  <si>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</si>
  <si>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</si>
  <si>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</si>
  <si>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</si>
  <si>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</si>
  <si>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</si>
  <si>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</si>
  <si>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</si>
  <si>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</si>
  <si>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</si>
  <si>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</si>
  <si>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</si>
  <si>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</si>
  <si>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</si>
  <si>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</si>
  <si>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</si>
  <si>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</si>
  <si>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</si>
  <si>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</si>
  <si>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</si>
  <si>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</si>
  <si>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</si>
  <si>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</si>
  <si>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</si>
  <si>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</si>
  <si>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</si>
  <si>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</si>
  <si>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</si>
  <si>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</si>
  <si>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</si>
  <si>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</si>
  <si>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</si>
  <si>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</si>
  <si>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</si>
  <si>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</si>
  <si>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</si>
  <si>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</si>
  <si>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</si>
  <si>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</si>
  <si>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</si>
  <si>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</si>
  <si>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</si>
  <si>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</si>
  <si>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</si>
  <si>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</si>
  <si>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</si>
  <si>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</si>
  <si>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</si>
  <si>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</si>
  <si>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</si>
  <si>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</si>
  <si>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</si>
  <si>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</si>
  <si>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</si>
  <si>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</si>
  <si>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</si>
  <si>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</si>
  <si>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</si>
  <si>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</si>
  <si>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</si>
  <si>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</si>
  <si>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</si>
  <si>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</si>
  <si>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</si>
  <si>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</si>
  <si>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</si>
  <si>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</si>
  <si>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</si>
  <si>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</si>
  <si>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</si>
  <si>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</si>
  <si>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</si>
  <si>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</si>
  <si>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</si>
  <si>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</si>
  <si>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</si>
  <si>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</si>
  <si>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</si>
  <si>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</si>
  <si>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</si>
  <si>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</si>
  <si>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</si>
  <si>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</si>
  <si>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</si>
  <si>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</si>
  <si>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</si>
  <si>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</si>
  <si>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</si>
  <si>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</si>
  <si>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</si>
  <si>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</si>
  <si>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</si>
  <si>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</si>
  <si>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</si>
  <si>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</si>
  <si>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</si>
  <si>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</si>
  <si>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</si>
  <si>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</si>
  <si>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</si>
  <si>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</si>
  <si>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</si>
  <si>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</si>
  <si>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</si>
  <si>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</si>
  <si>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</si>
  <si>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</si>
  <si>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</si>
  <si>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</si>
  <si>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</si>
  <si>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</si>
  <si>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</si>
  <si>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</si>
  <si>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</si>
  <si>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</si>
  <si>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</si>
  <si>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</si>
  <si>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</si>
  <si>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</si>
  <si>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</si>
  <si>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</si>
  <si>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</si>
  <si>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</si>
  <si>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</si>
  <si>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</si>
  <si>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</si>
  <si>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</si>
  <si>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</si>
  <si>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</si>
  <si>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</si>
  <si>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</si>
  <si>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</si>
  <si>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</si>
  <si>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</si>
  <si>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</si>
  <si>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</si>
  <si>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</si>
  <si>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</si>
  <si>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</si>
  <si>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</si>
  <si>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</si>
  <si>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</si>
  <si>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</si>
  <si>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</si>
  <si>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</si>
  <si>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</si>
  <si>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</si>
  <si>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</si>
  <si>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</si>
  <si>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</si>
  <si>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</si>
  <si>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</si>
  <si>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</si>
  <si>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</si>
  <si>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</si>
  <si>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</si>
  <si>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</si>
  <si>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</si>
  <si>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</si>
  <si>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</si>
  <si>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</si>
  <si>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</si>
  <si>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</si>
  <si>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</si>
  <si>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</si>
  <si>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</si>
  <si>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</si>
  <si>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</si>
  <si>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</si>
  <si>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</si>
  <si>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</si>
  <si>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</si>
  <si>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</si>
  <si>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</si>
  <si>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</si>
  <si>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</si>
  <si>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</si>
  <si>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</si>
  <si>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</si>
  <si>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</si>
  <si>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</si>
  <si>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</si>
  <si>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</si>
  <si>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</si>
  <si>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</si>
  <si>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</si>
  <si>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</si>
  <si>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</si>
  <si>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</si>
  <si>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</si>
  <si>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</si>
  <si>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</si>
  <si>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</si>
  <si>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</si>
  <si>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</si>
  <si>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</si>
  <si>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</si>
  <si>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</si>
  <si>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</si>
  <si>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</si>
  <si>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</si>
  <si>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</si>
  <si>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</si>
  <si>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</si>
  <si>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</si>
  <si>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</si>
  <si>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</si>
  <si>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</si>
  <si>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</si>
  <si>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</si>
  <si>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</si>
  <si>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</si>
  <si>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</si>
  <si>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</si>
  <si>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</si>
  <si>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</si>
  <si>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</si>
  <si>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</si>
  <si>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</si>
  <si>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</si>
  <si>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</si>
  <si>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</si>
  <si>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</si>
  <si>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</si>
  <si>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</si>
  <si>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</si>
  <si>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</si>
  <si>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</si>
  <si>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</si>
  <si>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</si>
  <si>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</si>
  <si>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</si>
  <si>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</si>
  <si>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</si>
  <si>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</si>
  <si>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</si>
  <si>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</si>
  <si>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</si>
  <si>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</si>
  <si>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</si>
  <si>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</si>
  <si>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</si>
  <si>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</si>
  <si>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</si>
  <si>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</si>
  <si>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</si>
  <si>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</si>
  <si>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</si>
  <si>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</si>
  <si>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</si>
  <si>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</si>
  <si>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</si>
  <si>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</si>
  <si>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</si>
  <si>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</si>
  <si>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</si>
  <si>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</si>
  <si>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</si>
  <si>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</si>
  <si>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</si>
  <si>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</si>
  <si>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</si>
  <si>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</si>
  <si>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</si>
  <si>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</si>
  <si>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</si>
  <si>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</si>
  <si>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</si>
  <si>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</si>
  <si>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</si>
  <si>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</si>
  <si>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</si>
  <si>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</si>
  <si>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</si>
  <si>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</si>
  <si>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</si>
  <si>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</si>
  <si>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</si>
  <si>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</si>
  <si>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</si>
  <si>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</si>
  <si>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</si>
  <si>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</si>
  <si>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</si>
  <si>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</si>
  <si>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</si>
  <si>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</si>
  <si>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</si>
  <si>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</si>
  <si>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</si>
  <si>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</si>
  <si>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</si>
  <si>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</si>
  <si>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</si>
  <si>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</si>
  <si>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</si>
  <si>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</si>
  <si>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</si>
  <si>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</si>
  <si>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</si>
  <si>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</si>
  <si>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</si>
  <si>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</si>
  <si>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</si>
  <si>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</si>
  <si>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</si>
  <si>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</si>
  <si>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</si>
  <si>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</si>
  <si>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</si>
  <si>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</si>
  <si>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</si>
  <si>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</si>
  <si>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</si>
  <si>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</si>
  <si>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</si>
  <si>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</si>
  <si>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</si>
  <si>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</si>
  <si>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</si>
  <si>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</si>
  <si>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</si>
  <si>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</si>
  <si>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</si>
  <si>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</si>
  <si>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</si>
  <si>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</si>
  <si>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</si>
  <si>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</si>
  <si>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</si>
  <si>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</si>
  <si>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</si>
  <si>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</si>
  <si>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</si>
  <si>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</si>
  <si>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</si>
  <si>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</si>
  <si>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</si>
  <si>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</si>
  <si>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</si>
  <si>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</si>
  <si>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</si>
  <si>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</si>
  <si>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</si>
  <si>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</si>
  <si>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</si>
  <si>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</si>
  <si>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</si>
  <si>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</si>
  <si>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</si>
  <si>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</si>
  <si>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</si>
  <si>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</si>
  <si>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</si>
  <si>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</si>
  <si>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</si>
  <si>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</si>
  <si>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</si>
  <si>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</si>
  <si>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</si>
  <si>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</si>
  <si>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</si>
  <si>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</si>
  <si>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</si>
  <si>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</si>
  <si>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</si>
  <si>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</si>
  <si>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</si>
  <si>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</si>
  <si>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</si>
  <si>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</si>
  <si>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</si>
  <si>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</si>
  <si>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</si>
  <si>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</si>
  <si>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</si>
  <si>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</si>
  <si>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</si>
  <si>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</si>
  <si>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</si>
  <si>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</si>
  <si>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</si>
  <si>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</si>
  <si>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</si>
  <si>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</si>
  <si>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</si>
  <si>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</si>
  <si>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</si>
  <si>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</si>
  <si>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</si>
  <si>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</si>
  <si>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</si>
  <si>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</si>
  <si>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</si>
  <si>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</si>
  <si>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</si>
  <si>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</si>
  <si>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</si>
  <si>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</si>
  <si>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</si>
  <si>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</si>
  <si>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</si>
  <si>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</si>
  <si>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</si>
  <si>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</si>
  <si>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</si>
  <si>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</si>
  <si>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</si>
  <si>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</si>
  <si>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</si>
  <si>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</si>
  <si>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</si>
  <si>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</si>
  <si>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</si>
  <si>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</si>
  <si>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</si>
  <si>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</si>
  <si>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</si>
  <si>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</si>
  <si>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</si>
  <si>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</si>
  <si>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</si>
  <si>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</si>
  <si>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</si>
  <si>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</si>
  <si>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</si>
  <si>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</si>
  <si>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</si>
  <si>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</si>
  <si>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</si>
  <si>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</si>
  <si>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</si>
  <si>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</si>
  <si>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</si>
  <si>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</si>
  <si>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</si>
  <si>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</si>
  <si>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</si>
  <si>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</si>
  <si>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</si>
  <si>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</si>
  <si>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</si>
  <si>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</si>
  <si>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</si>
  <si>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</si>
  <si>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</si>
  <si>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</si>
  <si>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</si>
  <si>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</si>
  <si>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</si>
  <si>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</si>
  <si>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</si>
  <si>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</si>
  <si>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</si>
  <si>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</si>
  <si>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</si>
  <si>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</si>
  <si>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</si>
  <si>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</si>
  <si>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</si>
  <si>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</si>
  <si>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</si>
  <si>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</si>
  <si>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</si>
  <si>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</si>
  <si>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</si>
  <si>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</si>
  <si>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</si>
  <si>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</si>
  <si>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</si>
  <si>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</si>
  <si>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</si>
  <si>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</si>
  <si>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</si>
  <si>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</si>
  <si>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</si>
  <si>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</si>
  <si>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</si>
  <si>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</si>
  <si>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</si>
  <si>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</si>
  <si>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</si>
  <si>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</si>
  <si>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</si>
  <si>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</si>
  <si>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</si>
  <si>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</si>
  <si>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</si>
  <si>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</si>
  <si>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</si>
  <si>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</si>
  <si>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</si>
  <si>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</si>
  <si>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</si>
  <si>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</si>
  <si>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</si>
  <si>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</si>
  <si>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</si>
  <si>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</si>
  <si>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</si>
  <si>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</si>
  <si>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</si>
  <si>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</si>
  <si>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</si>
  <si>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</si>
  <si>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</si>
  <si>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</si>
  <si>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</si>
  <si>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</si>
  <si>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</si>
  <si>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</si>
  <si>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</si>
  <si>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</si>
  <si>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</si>
  <si>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</si>
  <si>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</si>
  <si>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</si>
  <si>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</si>
  <si>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</si>
  <si>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</si>
  <si>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</si>
  <si>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</si>
  <si>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</si>
  <si>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</si>
  <si>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</si>
  <si>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</si>
  <si>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</si>
  <si>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</si>
  <si>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</si>
  <si>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</si>
  <si>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</si>
  <si>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</si>
  <si>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</si>
  <si>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</si>
  <si>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</si>
  <si>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</si>
  <si>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</si>
  <si>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</si>
  <si>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</si>
  <si>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</si>
  <si>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</si>
  <si>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</si>
  <si>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</si>
  <si>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</si>
  <si>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</si>
  <si>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</si>
  <si>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</si>
  <si>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</si>
  <si>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</si>
  <si>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</si>
  <si>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</si>
  <si>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</si>
  <si>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</si>
  <si>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</si>
  <si>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</si>
  <si>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</si>
  <si>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</si>
  <si>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</si>
  <si>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</si>
  <si>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</si>
  <si>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</si>
  <si>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</si>
  <si>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</si>
  <si>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</si>
  <si>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</si>
  <si>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</si>
  <si>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</si>
  <si>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</si>
  <si>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</si>
  <si>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</si>
  <si>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</si>
  <si>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</si>
  <si>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</si>
  <si>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</si>
  <si>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</si>
  <si>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</si>
  <si>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</si>
  <si>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</si>
  <si>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</si>
  <si>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</si>
  <si>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</si>
  <si>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</si>
  <si>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</si>
  <si>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</si>
  <si>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</si>
  <si>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</si>
  <si>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</si>
  <si>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</si>
  <si>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</si>
  <si>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</si>
  <si>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</si>
  <si>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</si>
  <si>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</si>
  <si>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</si>
  <si>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</si>
  <si>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</si>
  <si>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</si>
  <si>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</si>
  <si>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</si>
  <si>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</si>
  <si>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</si>
  <si>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</si>
  <si>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</si>
  <si>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</si>
  <si>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</si>
  <si>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</si>
  <si>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</si>
  <si>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</si>
  <si>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</si>
  <si>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</si>
  <si>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</si>
  <si>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</si>
  <si>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</si>
  <si>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</si>
  <si>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</si>
  <si>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</si>
  <si>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</si>
  <si>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</si>
  <si>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</si>
  <si>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</si>
  <si>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</si>
  <si>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</si>
  <si>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</si>
  <si>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</si>
  <si>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</si>
  <si>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</si>
  <si>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</si>
  <si>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</si>
  <si>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</si>
  <si>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</si>
  <si>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</si>
  <si>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</si>
  <si>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</si>
  <si>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</si>
  <si>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</si>
  <si>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</si>
  <si>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</si>
  <si>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</si>
  <si>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</si>
  <si>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</si>
  <si>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</si>
  <si>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</si>
  <si>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</si>
  <si>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</si>
  <si>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</si>
  <si>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</si>
  <si>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</si>
  <si>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</si>
  <si>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</si>
  <si>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</si>
  <si>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</si>
  <si>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</si>
  <si>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</si>
  <si>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</si>
  <si>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</si>
  <si>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</si>
  <si>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</si>
  <si>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</si>
  <si>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</si>
  <si>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</si>
  <si>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</si>
  <si>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</si>
  <si>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</si>
  <si>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</si>
  <si>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</si>
  <si>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</si>
  <si>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</si>
  <si>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</si>
  <si>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</si>
  <si>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</si>
  <si>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</si>
  <si>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</si>
  <si>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</si>
  <si>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</si>
  <si>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</si>
  <si>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</si>
  <si>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</si>
  <si>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</si>
  <si>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</si>
  <si>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</si>
  <si>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</si>
  <si>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</si>
  <si>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</si>
  <si>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</si>
  <si>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</si>
  <si>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</si>
  <si>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</si>
  <si>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</si>
  <si>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</si>
  <si>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</si>
  <si>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</si>
  <si>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</si>
  <si>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</si>
  <si>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</si>
  <si>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</si>
  <si>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</si>
  <si>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</si>
  <si>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</si>
  <si>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</si>
  <si>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</si>
  <si>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</si>
  <si>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</si>
  <si>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</si>
  <si>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</si>
  <si>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</si>
  <si>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</si>
  <si>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</si>
  <si>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</si>
  <si>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</si>
  <si>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</si>
  <si>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</si>
  <si>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</si>
  <si>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</si>
  <si>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</si>
  <si>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</si>
  <si>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</si>
  <si>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</si>
  <si>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</si>
  <si>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</si>
  <si>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</si>
  <si>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</si>
  <si>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</si>
  <si>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</si>
  <si>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</si>
  <si>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</si>
  <si>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</si>
  <si>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</si>
  <si>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</si>
  <si>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</si>
  <si>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</si>
  <si>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</si>
  <si>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</si>
  <si>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</si>
  <si>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</si>
  <si>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</si>
  <si>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</si>
  <si>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</si>
  <si>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</si>
  <si>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</si>
  <si>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</si>
  <si>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</si>
  <si>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</si>
  <si>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</si>
  <si>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</si>
  <si>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</si>
  <si>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</si>
  <si>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</si>
  <si>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</si>
  <si>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</si>
  <si>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</si>
  <si>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</si>
  <si>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</si>
  <si>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</si>
  <si>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</si>
  <si>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</si>
  <si>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</si>
  <si>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</si>
  <si>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</si>
  <si>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</si>
  <si>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</si>
  <si>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</si>
  <si>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</si>
  <si>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</si>
  <si>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</si>
  <si>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</si>
  <si>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</si>
  <si>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</si>
  <si>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</si>
  <si>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</si>
  <si>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</si>
  <si>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</si>
  <si>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</si>
  <si>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</si>
  <si>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</si>
  <si>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</si>
  <si>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</si>
  <si>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</si>
  <si>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</si>
  <si>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</si>
  <si>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</si>
  <si>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</si>
  <si>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</si>
  <si>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</si>
  <si>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</si>
  <si>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</si>
  <si>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</si>
  <si>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</si>
  <si>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</si>
  <si>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</si>
  <si>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</si>
  <si>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</si>
  <si>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</si>
  <si>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</si>
  <si>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</si>
  <si>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</si>
  <si>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</si>
  <si>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</si>
  <si>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</si>
  <si>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</si>
  <si>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</si>
  <si>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</si>
  <si>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</si>
  <si>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</si>
  <si>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</si>
  <si>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</si>
  <si>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</si>
  <si>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</si>
  <si>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</si>
  <si>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</si>
  <si>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</si>
  <si>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</si>
  <si>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</si>
  <si>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</si>
  <si>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</si>
  <si>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</si>
  <si>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</si>
  <si>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</si>
  <si>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</si>
  <si>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</si>
  <si>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</si>
  <si>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</si>
  <si>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</si>
  <si>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</si>
  <si>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</si>
  <si>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</si>
  <si>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</si>
  <si>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</si>
  <si>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</si>
  <si>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</si>
  <si>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</si>
  <si>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</si>
  <si>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</si>
  <si>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</si>
  <si>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</si>
  <si>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</si>
  <si>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</si>
  <si>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</si>
  <si>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</si>
  <si>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</si>
  <si>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</si>
  <si>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</si>
  <si>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</si>
  <si>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</si>
  <si>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</si>
  <si>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</si>
  <si>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</si>
  <si>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</si>
  <si>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</si>
  <si>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</si>
  <si>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</si>
  <si>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</si>
  <si>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</si>
  <si>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</si>
  <si>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</si>
  <si>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</si>
  <si>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</si>
  <si>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</si>
  <si>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</si>
  <si>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</si>
  <si>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</si>
  <si>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</si>
  <si>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</si>
  <si>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</si>
  <si>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</si>
  <si>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</si>
  <si>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</si>
  <si>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</si>
  <si>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</si>
  <si>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</si>
  <si>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</si>
  <si>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</si>
  <si>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</si>
  <si>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</si>
  <si>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</si>
  <si>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</si>
  <si>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</si>
  <si>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</si>
  <si>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</si>
  <si>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</si>
  <si>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</si>
  <si>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</si>
  <si>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</si>
  <si>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</si>
  <si>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</si>
  <si>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</si>
  <si>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</si>
  <si>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</si>
  <si>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</si>
  <si>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</si>
  <si>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</si>
  <si>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</si>
  <si>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</si>
  <si>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</si>
  <si>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</si>
  <si>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</si>
  <si>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</si>
  <si>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</si>
  <si>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</si>
  <si>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</si>
  <si>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</si>
  <si>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</si>
  <si>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</si>
  <si>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</si>
  <si>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</si>
  <si>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</si>
  <si>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</si>
  <si>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</si>
  <si>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</si>
  <si>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</si>
  <si>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</si>
  <si>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</si>
  <si>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</si>
  <si>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</si>
  <si>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</si>
  <si>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</si>
  <si>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</si>
  <si>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</si>
  <si>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</si>
  <si>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</si>
  <si>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</si>
  <si>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</si>
  <si>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</si>
  <si>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</si>
  <si>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</si>
  <si>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</si>
  <si>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</si>
  <si>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</si>
  <si>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</si>
  <si>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</si>
  <si>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</si>
  <si>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</si>
  <si>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</si>
  <si>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</si>
  <si>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</si>
  <si>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</si>
  <si>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</si>
  <si>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</si>
  <si>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</si>
  <si>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</si>
  <si>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</si>
  <si>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</si>
  <si>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</si>
  <si>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</si>
  <si>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</si>
  <si>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</si>
  <si>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</si>
  <si>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</si>
  <si>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</si>
  <si>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</si>
  <si>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</si>
  <si>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</si>
  <si>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</si>
  <si>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</si>
  <si>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</si>
  <si>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</si>
  <si>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</si>
  <si>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</si>
  <si>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</si>
  <si>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</si>
  <si>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</si>
  <si>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</si>
  <si>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</si>
  <si>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</si>
  <si>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</si>
  <si>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</si>
  <si>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</si>
  <si>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</si>
  <si>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</si>
  <si>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</si>
  <si>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</si>
  <si>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</si>
  <si>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</si>
  <si>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</si>
  <si>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</si>
  <si>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</si>
  <si>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</si>
  <si>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</si>
  <si>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</si>
  <si>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</si>
  <si>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</si>
  <si>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</si>
  <si>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</si>
  <si>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</si>
  <si>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</si>
  <si>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</si>
  <si>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</si>
  <si>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</si>
  <si>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</si>
  <si>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</si>
  <si>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</si>
  <si>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</si>
  <si>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</si>
  <si>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</si>
  <si>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</si>
  <si>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</si>
  <si>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</si>
  <si>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</si>
  <si>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</si>
  <si>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</si>
  <si>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</si>
  <si>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</si>
  <si>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</si>
  <si>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</si>
  <si>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</si>
  <si>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</si>
  <si>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</si>
  <si>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</si>
  <si>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</si>
  <si>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</si>
  <si>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</si>
  <si>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</si>
  <si>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</si>
  <si>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</si>
  <si>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</si>
  <si>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</si>
  <si>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</si>
  <si>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</si>
  <si>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</si>
  <si>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</si>
  <si>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</si>
  <si>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</si>
  <si>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</si>
  <si>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</si>
  <si>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</si>
  <si>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</si>
  <si>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</si>
  <si>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</si>
  <si>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</si>
  <si>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</si>
  <si>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</si>
  <si>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</si>
  <si>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</si>
  <si>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</si>
  <si>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</si>
  <si>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</si>
  <si>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</si>
  <si>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</si>
  <si>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</si>
  <si>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</si>
  <si>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</si>
  <si>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</si>
  <si>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</si>
  <si>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</si>
  <si>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</si>
  <si>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</si>
  <si>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</si>
  <si>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</si>
  <si>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</si>
  <si>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</si>
  <si>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</si>
  <si>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</si>
  <si>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</si>
  <si>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</si>
  <si>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</si>
  <si>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</si>
  <si>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</si>
  <si>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</si>
  <si>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</si>
  <si>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</si>
  <si>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</si>
  <si>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</si>
  <si>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</si>
  <si>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</si>
  <si>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</si>
  <si>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</si>
  <si>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</si>
  <si>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</si>
  <si>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</si>
  <si>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</si>
  <si>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</si>
  <si>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</si>
  <si>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</si>
  <si>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</si>
  <si>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</si>
  <si>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</si>
  <si>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</si>
  <si>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</si>
  <si>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</si>
  <si>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</si>
  <si>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</si>
  <si>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</si>
  <si>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</si>
  <si>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</si>
  <si>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</si>
  <si>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</si>
  <si>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</si>
  <si>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</si>
  <si>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</si>
  <si>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</si>
  <si>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</si>
  <si>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</si>
  <si>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</si>
  <si>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</si>
  <si>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</si>
  <si>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</si>
  <si>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</si>
  <si>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</si>
  <si>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</si>
  <si>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</si>
  <si>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</si>
  <si>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</si>
  <si>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</si>
  <si>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</si>
  <si>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</si>
  <si>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</si>
  <si>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</si>
  <si>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</si>
  <si>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</si>
  <si>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</si>
  <si>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</si>
  <si>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</si>
  <si>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</si>
  <si>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</si>
  <si>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</si>
  <si>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</si>
  <si>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</si>
  <si>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</si>
  <si>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</si>
  <si>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</si>
  <si>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</si>
  <si>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</si>
  <si>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</si>
  <si>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</si>
  <si>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</si>
  <si>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</si>
  <si>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</si>
  <si>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</si>
  <si>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</si>
  <si>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</si>
  <si>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</si>
  <si>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</si>
  <si>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</si>
  <si>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</si>
  <si>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</si>
  <si>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</si>
  <si>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</si>
  <si>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</si>
  <si>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</si>
  <si>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</si>
  <si>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</si>
  <si>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</si>
  <si>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</si>
  <si>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</si>
  <si>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</si>
  <si>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</si>
  <si>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</si>
  <si>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</si>
  <si>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</si>
  <si>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</si>
  <si>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</si>
  <si>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</si>
  <si>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</si>
  <si>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</si>
  <si>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</si>
  <si>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</si>
  <si>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</si>
  <si>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</si>
  <si>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</si>
  <si>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</si>
  <si>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</si>
  <si>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</si>
  <si>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</si>
  <si>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</si>
  <si>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</si>
  <si>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</si>
  <si>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</si>
  <si>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</si>
  <si>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</si>
  <si>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</si>
  <si>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</si>
  <si>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</si>
  <si>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</si>
  <si>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</si>
  <si>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</si>
  <si>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</si>
  <si>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</si>
  <si>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</si>
  <si>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</si>
  <si>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</si>
  <si>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</si>
  <si>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</si>
  <si>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</si>
  <si>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</si>
  <si>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</si>
  <si>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</si>
  <si>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</si>
  <si>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</si>
  <si>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</si>
  <si>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</si>
  <si>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</si>
  <si>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</si>
  <si>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</si>
  <si>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</si>
  <si>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</si>
  <si>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</si>
  <si>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</si>
  <si>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</si>
  <si>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</si>
  <si>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</si>
  <si>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</si>
  <si>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</si>
  <si>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</si>
  <si>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</si>
  <si>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</si>
  <si>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</si>
  <si>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</si>
  <si>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</si>
  <si>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</si>
  <si>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</si>
  <si>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</si>
  <si>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</si>
  <si>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</si>
  <si>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</si>
  <si>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</si>
  <si>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</si>
  <si>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</si>
  <si>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</si>
  <si>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</si>
  <si>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</si>
  <si>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</si>
  <si>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</si>
  <si>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</si>
  <si>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</si>
  <si>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</si>
  <si>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</si>
  <si>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</si>
  <si>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</si>
  <si>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</si>
  <si>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</si>
  <si>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</si>
  <si>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</si>
  <si>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</si>
  <si>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</si>
  <si>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</si>
  <si>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</si>
  <si>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</si>
  <si>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</si>
  <si>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</si>
  <si>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</si>
  <si>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</si>
  <si>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</si>
  <si>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</si>
  <si>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</si>
  <si>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</si>
  <si>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</si>
  <si>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</si>
  <si>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</si>
  <si>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</si>
  <si>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</si>
  <si>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</si>
  <si>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</si>
  <si>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</si>
  <si>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</si>
  <si>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</si>
  <si>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</si>
  <si>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</si>
  <si>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</si>
  <si>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</si>
  <si>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</si>
  <si>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</si>
  <si>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</si>
  <si>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</si>
  <si>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</si>
  <si>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</si>
  <si>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</si>
  <si>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</si>
  <si>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</si>
  <si>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</si>
  <si>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</si>
  <si>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</si>
  <si>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</si>
  <si>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</si>
  <si>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</si>
  <si>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</si>
  <si>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</si>
  <si>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</si>
  <si>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</si>
  <si>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</si>
  <si>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</si>
  <si>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</si>
  <si>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</si>
  <si>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</si>
  <si>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</si>
  <si>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</si>
  <si>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</si>
  <si>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</si>
  <si>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</si>
  <si>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</si>
  <si>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</si>
  <si>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</si>
  <si>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</si>
  <si>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</si>
  <si>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</si>
  <si>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</si>
  <si>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</si>
  <si>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</si>
  <si>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</si>
  <si>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</si>
  <si>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</si>
  <si>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</si>
  <si>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</si>
  <si>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</si>
  <si>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</si>
  <si>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</si>
  <si>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</si>
  <si>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</si>
  <si>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</si>
  <si>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</si>
  <si>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</si>
  <si>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</si>
  <si>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</si>
  <si>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</si>
  <si>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</si>
  <si>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</si>
  <si>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</si>
  <si>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</si>
  <si>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</si>
  <si>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</si>
  <si>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</si>
  <si>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</si>
  <si>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</si>
  <si>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</si>
  <si>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</si>
  <si>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</si>
  <si>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</si>
  <si>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</si>
  <si>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</si>
  <si>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</si>
  <si>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</si>
  <si>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</si>
  <si>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</si>
  <si>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</si>
  <si>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</si>
  <si>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</si>
  <si>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</si>
  <si>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</si>
  <si>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</si>
  <si>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</si>
  <si>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</si>
  <si>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</si>
  <si>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</si>
  <si>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</si>
  <si>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</si>
  <si>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</si>
  <si>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</si>
  <si>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</si>
  <si>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</si>
  <si>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</si>
  <si>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</si>
  <si>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</si>
  <si>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</si>
  <si>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</si>
  <si>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</si>
  <si>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</si>
  <si>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</si>
  <si>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</si>
  <si>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</si>
  <si>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</si>
  <si>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</si>
  <si>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</si>
  <si>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</si>
  <si>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</si>
  <si>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</si>
  <si>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</si>
  <si>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</si>
  <si>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</si>
  <si>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</si>
  <si>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</si>
  <si>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</si>
  <si>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</si>
  <si>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</si>
  <si>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</si>
  <si>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</si>
  <si>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</si>
  <si>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</si>
  <si>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</si>
  <si>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</si>
  <si>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</si>
  <si>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</si>
  <si>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</si>
  <si>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</si>
  <si>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</si>
  <si>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</si>
  <si>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</si>
  <si>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</si>
  <si>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</si>
  <si>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</si>
  <si>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</si>
  <si>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</si>
  <si>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</si>
  <si>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</si>
  <si>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</si>
  <si>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</si>
  <si>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</si>
  <si>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</si>
  <si>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</si>
  <si>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</si>
  <si>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</si>
  <si>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</si>
  <si>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</si>
  <si>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</si>
  <si>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</si>
  <si>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</si>
  <si>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</si>
  <si>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</si>
  <si>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</si>
  <si>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</si>
  <si>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</si>
  <si>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</si>
  <si>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</si>
  <si>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</si>
  <si>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</si>
  <si>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</si>
  <si>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</si>
  <si>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</si>
  <si>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</si>
  <si>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</si>
  <si>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</si>
  <si>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</si>
  <si>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</si>
  <si>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</si>
  <si>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</si>
  <si>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</si>
  <si>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</si>
  <si>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</si>
  <si>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</si>
  <si>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</si>
  <si>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</si>
  <si>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</si>
  <si>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</si>
  <si>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</si>
  <si>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</si>
  <si>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</si>
  <si>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</si>
  <si>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</si>
  <si>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</si>
  <si>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</si>
  <si>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</si>
  <si>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</si>
  <si>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</si>
  <si>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</si>
  <si>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</si>
  <si>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</si>
  <si>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</si>
  <si>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</si>
  <si>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</si>
  <si>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</si>
  <si>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</si>
  <si>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</si>
  <si>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</si>
  <si>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</si>
  <si>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</si>
  <si>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</si>
  <si>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</si>
  <si>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</si>
  <si>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</si>
  <si>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</si>
  <si>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</si>
  <si>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</si>
  <si>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</si>
  <si>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</si>
  <si>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</si>
  <si>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</si>
  <si>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</si>
  <si>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</si>
  <si>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</si>
  <si>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</si>
  <si>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</si>
  <si>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</si>
  <si>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</si>
  <si>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</si>
  <si>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</si>
  <si>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</si>
  <si>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</si>
  <si>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</si>
  <si>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</si>
  <si>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</si>
  <si>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</si>
  <si>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</si>
  <si>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</si>
  <si>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</si>
  <si>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</si>
  <si>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</si>
  <si>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</si>
  <si>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</si>
  <si>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</si>
  <si>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</si>
  <si>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</si>
  <si>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</si>
  <si>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</si>
  <si>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</si>
  <si>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</si>
  <si>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</si>
  <si>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</si>
  <si>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</si>
  <si>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</si>
  <si>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</si>
  <si>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</si>
  <si>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</si>
  <si>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</si>
  <si>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</si>
  <si>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</si>
  <si>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</si>
  <si>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</si>
  <si>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</si>
  <si>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</si>
  <si>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</si>
  <si>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</si>
  <si>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</si>
  <si>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</si>
  <si>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</si>
  <si>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</si>
  <si>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</si>
  <si>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</si>
  <si>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</si>
  <si>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</si>
  <si>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</si>
  <si>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</si>
  <si>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</si>
  <si>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</si>
  <si>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</si>
  <si>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</si>
  <si>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</si>
  <si>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</si>
  <si>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</si>
  <si>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</si>
  <si>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</si>
  <si>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</si>
  <si>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</si>
  <si>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</si>
  <si>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</si>
  <si>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</si>
  <si>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</si>
  <si>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</si>
  <si>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</si>
  <si>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</si>
  <si>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</si>
  <si>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</si>
  <si>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</si>
  <si>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</si>
  <si>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</si>
  <si>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</si>
  <si>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</si>
  <si>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</si>
  <si>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</si>
  <si>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</si>
  <si>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</si>
  <si>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</si>
  <si>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</si>
  <si>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</si>
  <si>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</si>
  <si>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</si>
  <si>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</si>
  <si>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</si>
  <si>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</si>
  <si>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</si>
  <si>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</si>
  <si>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</si>
  <si>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</si>
  <si>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</si>
  <si>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</si>
  <si>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</si>
  <si>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</si>
  <si>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</si>
  <si>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</si>
  <si>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</si>
  <si>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</si>
  <si>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</si>
  <si>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</si>
  <si>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</si>
  <si>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</si>
  <si>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</si>
  <si>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</si>
  <si>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</si>
  <si>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</si>
  <si>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</si>
  <si>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</si>
  <si>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</si>
  <si>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</si>
  <si>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</si>
  <si>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</si>
  <si>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</si>
  <si>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</si>
  <si>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</si>
  <si>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</si>
  <si>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</si>
  <si>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</si>
  <si>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</si>
  <si>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</si>
  <si>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</si>
  <si>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</si>
  <si>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</si>
  <si>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</si>
  <si>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</si>
  <si>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</si>
  <si>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</si>
  <si>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</si>
  <si>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</si>
  <si>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</si>
  <si>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</si>
  <si>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</si>
  <si>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</si>
  <si>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</si>
  <si>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</si>
  <si>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</si>
  <si>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</si>
  <si>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</si>
  <si>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</si>
  <si>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</si>
  <si>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</si>
  <si>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</si>
  <si>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</si>
  <si>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</si>
  <si>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</si>
  <si>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</si>
  <si>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</si>
  <si>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</si>
  <si>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</si>
  <si>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</si>
  <si>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</si>
  <si>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</si>
  <si>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</si>
  <si>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</si>
  <si>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</si>
  <si>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</si>
  <si>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</si>
  <si>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</si>
  <si>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</si>
  <si>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</si>
  <si>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</si>
  <si>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</si>
  <si>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</si>
  <si>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</si>
  <si>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</si>
  <si>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</si>
  <si>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</si>
  <si>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</si>
  <si>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</si>
  <si>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</si>
  <si>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</si>
  <si>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</si>
  <si>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</si>
  <si>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</si>
  <si>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</si>
  <si>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</si>
  <si>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</si>
  <si>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</si>
  <si>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</si>
  <si>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</si>
  <si>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</si>
  <si>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</si>
  <si>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</si>
  <si>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</si>
  <si>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</si>
  <si>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</si>
  <si>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</si>
  <si>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</si>
  <si>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</si>
  <si>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</si>
  <si>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</si>
  <si>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</si>
  <si>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</si>
  <si>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</si>
  <si>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</si>
  <si>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</si>
  <si>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</si>
  <si>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</si>
  <si>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</si>
  <si>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</si>
  <si>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</si>
  <si>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</si>
  <si>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</si>
  <si>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</si>
  <si>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</si>
  <si>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</si>
  <si>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</si>
  <si>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</si>
  <si>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</si>
  <si>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</si>
  <si>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</si>
  <si>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</si>
  <si>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</si>
  <si>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</si>
  <si>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</si>
  <si>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</si>
  <si>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</si>
  <si>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</si>
  <si>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</si>
  <si>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</si>
  <si>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</si>
  <si>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</si>
  <si>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</si>
  <si>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</si>
  <si>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</si>
  <si>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</si>
  <si>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</si>
  <si>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</si>
  <si>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</si>
  <si>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</si>
  <si>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</si>
  <si>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</si>
  <si>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</si>
  <si>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</si>
  <si>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</si>
  <si>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</si>
  <si>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</si>
  <si>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</si>
  <si>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</si>
  <si>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</si>
  <si>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</si>
  <si>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</si>
  <si>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</si>
  <si>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</si>
  <si>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</si>
  <si>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</si>
  <si>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</si>
  <si>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</si>
  <si>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</si>
  <si>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</si>
  <si>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</si>
  <si>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</si>
  <si>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</si>
  <si>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</si>
  <si>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</si>
  <si>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</si>
  <si>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</si>
  <si>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</si>
  <si>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</si>
  <si>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</si>
  <si>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</si>
  <si>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</si>
  <si>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</si>
  <si>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</si>
  <si>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</si>
  <si>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</si>
  <si>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</si>
  <si>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</si>
  <si>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</si>
  <si>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</si>
  <si>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</si>
  <si>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</si>
  <si>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</si>
  <si>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</si>
  <si>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</si>
  <si>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</si>
  <si>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</si>
  <si>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</si>
  <si>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</si>
  <si>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</si>
  <si>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</si>
  <si>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</si>
  <si>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</si>
  <si>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</si>
  <si>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</si>
  <si>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</si>
  <si>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</si>
  <si>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</si>
  <si>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</si>
  <si>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</si>
  <si>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</si>
  <si>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</si>
  <si>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</si>
  <si>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</si>
  <si>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</si>
  <si>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</si>
  <si>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</si>
  <si>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</si>
  <si>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</si>
  <si>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</si>
  <si>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</si>
  <si>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</si>
  <si>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</si>
  <si>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</si>
  <si>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</si>
  <si>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</si>
  <si>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</si>
  <si>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</si>
  <si>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</si>
  <si>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</si>
  <si>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</si>
  <si>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</si>
  <si>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</si>
  <si>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</si>
  <si>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</si>
  <si>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</si>
  <si>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</si>
  <si>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</si>
  <si>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</si>
  <si>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</si>
  <si>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</si>
  <si>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</si>
  <si>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</si>
  <si>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</si>
  <si>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</si>
  <si>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</si>
  <si>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</si>
  <si>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</si>
  <si>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</si>
  <si>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</si>
  <si>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</si>
  <si>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</si>
  <si>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</si>
  <si>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</si>
  <si>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</si>
  <si>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</si>
  <si>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</si>
  <si>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</si>
  <si>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</si>
  <si>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</si>
  <si>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</si>
  <si>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</si>
  <si>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</si>
  <si>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</si>
  <si>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</si>
  <si>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</si>
  <si>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</si>
  <si>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</si>
  <si>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</si>
  <si>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</si>
  <si>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</si>
  <si>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</si>
  <si>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</si>
  <si>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</si>
  <si>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</si>
  <si>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</si>
  <si>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</si>
  <si>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</si>
  <si>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</si>
  <si>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</si>
  <si>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</si>
  <si>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</si>
  <si>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</si>
  <si>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</si>
  <si>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</si>
  <si>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</si>
  <si>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</si>
  <si>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</si>
  <si>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</si>
  <si>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</si>
  <si>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</si>
  <si>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</si>
  <si>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</si>
  <si>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</si>
  <si>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</si>
  <si>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</si>
  <si>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</si>
  <si>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</si>
  <si>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</si>
  <si>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</si>
  <si>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</si>
  <si>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</si>
  <si>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</si>
  <si>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</si>
  <si>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</si>
  <si>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</si>
  <si>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</si>
  <si>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</si>
  <si>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</si>
  <si>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</si>
  <si>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</si>
  <si>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</si>
  <si>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</si>
  <si>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</si>
  <si>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</si>
  <si>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</si>
  <si>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</si>
  <si>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</si>
  <si>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</si>
  <si>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</si>
  <si>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</si>
  <si>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</si>
  <si>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</si>
  <si>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</si>
  <si>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</si>
  <si>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</si>
  <si>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</si>
  <si>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</si>
  <si>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</si>
  <si>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</si>
  <si>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</si>
  <si>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</si>
  <si>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</si>
  <si>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</si>
  <si>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</si>
  <si>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</si>
  <si>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</si>
  <si>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</si>
  <si>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</si>
  <si>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</si>
  <si>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</si>
  <si>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</si>
  <si>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</si>
  <si>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</si>
  <si>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</si>
  <si>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</si>
  <si>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</si>
  <si>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</si>
  <si>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</si>
  <si>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</si>
  <si>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</si>
  <si>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</si>
  <si>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</si>
  <si>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</si>
  <si>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</si>
  <si>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</si>
  <si>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</si>
  <si>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</si>
  <si>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</si>
  <si>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</si>
  <si>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</si>
  <si>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</si>
  <si>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</si>
  <si>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</si>
  <si>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</si>
  <si>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</si>
  <si>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</si>
  <si>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</si>
  <si>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</si>
  <si>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</si>
  <si>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</si>
  <si>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</si>
  <si>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</si>
  <si>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</si>
  <si>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</si>
  <si>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</si>
  <si>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</si>
  <si>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</si>
  <si>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</si>
  <si>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</si>
  <si>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</si>
  <si>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</si>
  <si>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</si>
  <si>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</si>
  <si>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</si>
  <si>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</si>
  <si>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</si>
  <si>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</si>
  <si>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</si>
  <si>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</si>
  <si>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</si>
  <si>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</si>
  <si>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</si>
  <si>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</si>
  <si>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</si>
  <si>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</si>
  <si>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</si>
  <si>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</si>
  <si>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</si>
  <si>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</si>
  <si>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</si>
  <si>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</si>
  <si>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</si>
  <si>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</si>
  <si>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</si>
  <si>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</si>
  <si>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</si>
  <si>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</si>
  <si>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</si>
  <si>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</si>
  <si>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</si>
  <si>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</si>
  <si>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</si>
  <si>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</si>
  <si>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</si>
  <si>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</si>
  <si>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</si>
  <si>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</si>
  <si>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</si>
  <si>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</si>
  <si>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</si>
  <si>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</si>
  <si>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</si>
  <si>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</si>
  <si>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</si>
  <si>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</si>
  <si>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</si>
  <si>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</si>
  <si>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</si>
  <si>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</si>
  <si>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</si>
  <si>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</si>
  <si>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</si>
  <si>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</si>
  <si>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</si>
  <si>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</si>
  <si>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</si>
  <si>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</si>
  <si>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</si>
  <si>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</si>
  <si>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</si>
  <si>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</si>
  <si>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</si>
  <si>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</si>
  <si>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</si>
  <si>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</si>
  <si>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</si>
  <si>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</si>
  <si>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</si>
  <si>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</si>
  <si>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</si>
  <si>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</si>
  <si>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</si>
  <si>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</si>
  <si>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</si>
  <si>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</si>
  <si>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</si>
  <si>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</si>
  <si>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</si>
  <si>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</si>
  <si>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</si>
  <si>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</si>
  <si>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</si>
  <si>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</si>
  <si>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</si>
  <si>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</si>
  <si>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</si>
  <si>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</si>
  <si>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</si>
  <si>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</si>
  <si>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</si>
  <si>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</si>
  <si>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</si>
  <si>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</si>
  <si>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</si>
  <si>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</si>
  <si>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</si>
  <si>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</si>
  <si>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</si>
  <si>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</si>
  <si>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</si>
  <si>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</si>
  <si>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</si>
  <si>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</si>
  <si>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</si>
  <si>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</si>
  <si>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</si>
  <si>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</si>
  <si>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</si>
  <si>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</si>
  <si>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</si>
  <si>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</si>
  <si>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</si>
  <si>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</si>
  <si>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</si>
  <si>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</si>
  <si>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</si>
  <si>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</si>
  <si>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</si>
  <si>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</si>
  <si>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</si>
  <si>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</si>
  <si>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</si>
  <si>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</si>
  <si>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</si>
  <si>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</si>
  <si>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</si>
  <si>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</si>
  <si>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</si>
  <si>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</si>
  <si>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</si>
  <si>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</si>
  <si>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</si>
  <si>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</si>
  <si>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</si>
  <si>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</si>
  <si>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</si>
  <si>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</si>
  <si>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</si>
  <si>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</si>
  <si>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</si>
  <si>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</si>
  <si>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</si>
  <si>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</si>
  <si>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</si>
  <si>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</si>
  <si>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</si>
  <si>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</si>
  <si>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</si>
  <si>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</si>
  <si>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</si>
  <si>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</si>
  <si>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</si>
  <si>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</si>
  <si>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</si>
  <si>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</si>
  <si>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</si>
  <si>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</si>
  <si>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</si>
  <si>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</si>
  <si>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</si>
  <si>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</si>
  <si>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</si>
  <si>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</si>
  <si>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</si>
  <si>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</si>
  <si>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</si>
  <si>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</si>
  <si>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</si>
  <si>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</si>
  <si>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</si>
  <si>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</si>
  <si>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</si>
  <si>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</si>
  <si>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</si>
  <si>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</si>
  <si>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</si>
  <si>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</si>
  <si>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</si>
  <si>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</si>
  <si>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</si>
  <si>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</si>
  <si>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</si>
  <si>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</si>
  <si>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</si>
  <si>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</si>
  <si>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</si>
  <si>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</si>
  <si>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</si>
  <si>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</si>
  <si>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</si>
  <si>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</si>
  <si>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</si>
  <si>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</si>
  <si>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</si>
  <si>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</si>
  <si>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</si>
  <si>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</si>
  <si>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</si>
  <si>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</si>
  <si>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</si>
  <si>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</si>
  <si>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</si>
  <si>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</si>
  <si>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</si>
  <si>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</si>
  <si>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</si>
  <si>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</si>
  <si>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</si>
  <si>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</si>
  <si>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</si>
  <si>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</si>
  <si>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</si>
  <si>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</si>
  <si>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</si>
  <si>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</si>
  <si>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</si>
  <si>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</si>
  <si>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</si>
  <si>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</si>
  <si>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</si>
  <si>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</si>
  <si>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</si>
  <si>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</si>
  <si>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</si>
  <si>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</si>
  <si>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</si>
  <si>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</si>
  <si>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</si>
  <si>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</si>
  <si>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</si>
  <si>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</si>
  <si>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</si>
  <si>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</si>
  <si>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</si>
  <si>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</si>
  <si>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</si>
  <si>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</si>
  <si>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</si>
  <si>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</si>
  <si>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</si>
  <si>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</si>
  <si>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</si>
  <si>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</si>
  <si>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</si>
  <si>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</si>
  <si>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</si>
  <si>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</si>
  <si>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</si>
  <si>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</si>
  <si>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</si>
  <si>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</si>
  <si>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</si>
  <si>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</si>
  <si>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</si>
  <si>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</si>
  <si>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</si>
  <si>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</si>
  <si>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</si>
  <si>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</si>
  <si>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</si>
  <si>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</si>
  <si>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</si>
  <si>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</si>
  <si>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</si>
  <si>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</si>
  <si>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</si>
  <si>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</si>
  <si>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</si>
  <si>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</si>
  <si>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</si>
  <si>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</si>
  <si>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</si>
  <si>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</si>
  <si>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</si>
  <si>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</si>
  <si>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</si>
  <si>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</si>
  <si>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</si>
  <si>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</si>
  <si>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</si>
  <si>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</si>
  <si>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</si>
  <si>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</si>
  <si>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</si>
  <si>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</si>
  <si>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</si>
  <si>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</si>
  <si>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</si>
  <si>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</si>
  <si>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</si>
  <si>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</si>
  <si>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</si>
  <si>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</si>
  <si>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</si>
  <si>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</si>
  <si>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</si>
  <si>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</si>
  <si>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</si>
  <si>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</si>
  <si>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</si>
  <si>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</si>
  <si>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</si>
  <si>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</si>
  <si>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</si>
  <si>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</si>
  <si>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</si>
  <si>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</si>
  <si>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</si>
  <si>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</si>
  <si>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</si>
  <si>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</si>
  <si>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</si>
  <si>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</si>
  <si>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</si>
  <si>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</si>
  <si>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</si>
  <si>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</si>
  <si>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</si>
  <si>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</si>
  <si>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</si>
  <si>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</si>
  <si>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</si>
  <si>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</si>
  <si>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</si>
  <si>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</si>
  <si>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</si>
  <si>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</si>
  <si>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</si>
  <si>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</si>
  <si>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</si>
  <si>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</si>
  <si>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</si>
  <si>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</si>
  <si>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</si>
  <si>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</si>
  <si>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</si>
  <si>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</si>
  <si>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</si>
  <si>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</si>
  <si>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</si>
  <si>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</si>
  <si>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</si>
  <si>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</si>
  <si>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</si>
  <si>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</si>
  <si>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</si>
  <si>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</si>
  <si>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</si>
  <si>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</si>
  <si>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</si>
  <si>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</si>
  <si>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</si>
  <si>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</si>
  <si>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</si>
  <si>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</si>
  <si>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</si>
  <si>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</si>
  <si>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</si>
  <si>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</si>
  <si>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</si>
  <si>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</si>
  <si>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</si>
  <si>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</si>
  <si>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</si>
  <si>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</si>
  <si>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</si>
  <si>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</si>
  <si>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</si>
  <si>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</si>
  <si>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</si>
  <si>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</si>
  <si>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</si>
  <si>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</si>
  <si>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</si>
  <si>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</si>
  <si>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</si>
  <si>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</si>
  <si>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</si>
  <si>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</si>
  <si>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</si>
  <si>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</si>
  <si>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</si>
  <si>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</si>
  <si>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</si>
  <si>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</si>
  <si>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</si>
  <si>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</si>
  <si>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</si>
  <si>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</si>
  <si>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</si>
  <si>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</si>
  <si>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</si>
  <si>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</si>
  <si>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</si>
  <si>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</si>
  <si>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</si>
  <si>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</si>
  <si>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</si>
  <si>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</si>
  <si>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</si>
  <si>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</si>
  <si>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</si>
  <si>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</si>
  <si>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</si>
  <si>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</si>
  <si>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</si>
  <si>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</si>
  <si>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</si>
  <si>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</si>
  <si>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</si>
  <si>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</si>
  <si>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</si>
  <si>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</si>
  <si>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</si>
  <si>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</si>
  <si>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</si>
  <si>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</si>
  <si>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</si>
  <si>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</si>
  <si>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</si>
  <si>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</si>
  <si>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</si>
  <si>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</si>
  <si>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</si>
  <si>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</si>
  <si>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</si>
  <si>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</si>
  <si>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</si>
  <si>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</si>
  <si>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</si>
  <si>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</si>
  <si>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</si>
  <si>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</si>
  <si>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</si>
  <si>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</si>
  <si>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</si>
  <si>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</si>
  <si>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</si>
  <si>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</si>
  <si>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</si>
  <si>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</si>
  <si>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</si>
  <si>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</si>
  <si>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</si>
  <si>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</si>
  <si>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</si>
  <si>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</si>
  <si>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</si>
  <si>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</si>
  <si>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</si>
  <si>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</si>
  <si>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</si>
  <si>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</si>
  <si>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</si>
  <si>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</si>
  <si>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</si>
  <si>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</si>
  <si>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</si>
  <si>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</si>
  <si>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</si>
  <si>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</si>
  <si>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</si>
  <si>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</si>
  <si>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</si>
  <si>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</si>
  <si>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</si>
  <si>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</si>
  <si>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</si>
  <si>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</si>
  <si>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</si>
  <si>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</si>
  <si>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</si>
  <si>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</si>
  <si>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</si>
  <si>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</si>
  <si>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</si>
  <si>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</si>
  <si>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</si>
  <si>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</si>
  <si>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</si>
  <si>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</si>
  <si>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</si>
  <si>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</si>
  <si>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</si>
  <si>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</si>
  <si>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</si>
  <si>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</si>
  <si>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</si>
  <si>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</si>
  <si>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</si>
  <si>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</si>
  <si>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</si>
  <si>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</si>
  <si>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</si>
  <si>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</si>
  <si>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</si>
  <si>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</si>
  <si>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</si>
  <si>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</si>
  <si>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</si>
  <si>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</si>
  <si>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</si>
  <si>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</si>
  <si>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</si>
  <si>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</si>
  <si>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</si>
  <si>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</si>
  <si>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</si>
  <si>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</si>
  <si>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</si>
  <si>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</si>
  <si>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</si>
  <si>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</si>
  <si>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</si>
  <si>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</si>
  <si>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</si>
  <si>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</si>
  <si>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</si>
  <si>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</si>
  <si>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</si>
  <si>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</si>
  <si>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</si>
  <si>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</si>
  <si>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</si>
  <si>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</si>
  <si>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</si>
  <si>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</si>
  <si>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</si>
  <si>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</si>
  <si>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</si>
  <si>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</si>
  <si>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</si>
  <si>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</si>
  <si>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</si>
  <si>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</si>
  <si>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</si>
  <si>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</si>
  <si>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</si>
  <si>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</si>
  <si>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</si>
  <si>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</si>
  <si>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</si>
  <si>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</si>
  <si>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</si>
  <si>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</si>
  <si>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</si>
  <si>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</si>
  <si>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</si>
  <si>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</si>
  <si>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</si>
  <si>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</si>
  <si>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</si>
  <si>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</si>
  <si>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</si>
  <si>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</si>
  <si>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</si>
  <si>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</si>
  <si>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</si>
  <si>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</si>
  <si>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</si>
  <si>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</si>
  <si>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</si>
  <si>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</si>
  <si>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</si>
  <si>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</si>
  <si>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</si>
  <si>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</si>
  <si>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</si>
  <si>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</si>
  <si>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</si>
  <si>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</si>
  <si>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</si>
  <si>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</si>
  <si>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</si>
  <si>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</si>
  <si>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</si>
  <si>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</si>
  <si>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</si>
  <si>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</si>
  <si>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</si>
  <si>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</si>
  <si>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</si>
  <si>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</si>
  <si>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</si>
  <si>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</si>
  <si>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</si>
  <si>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</si>
  <si>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</si>
  <si>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</si>
  <si>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</si>
  <si>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</si>
  <si>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</si>
  <si>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</si>
  <si>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</si>
  <si>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</si>
  <si>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</si>
  <si>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</si>
  <si>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</si>
  <si>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</si>
  <si>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</si>
  <si>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</si>
  <si>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</si>
  <si>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</si>
  <si>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</si>
  <si>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</si>
  <si>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</si>
  <si>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</si>
  <si>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</si>
  <si>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</si>
  <si>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</si>
  <si>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</si>
  <si>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</si>
  <si>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</si>
  <si>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</si>
  <si>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</si>
  <si>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</si>
  <si>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</si>
  <si>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</si>
  <si>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</si>
  <si>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</si>
  <si>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</si>
  <si>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</si>
  <si>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</si>
  <si>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</si>
  <si>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</si>
  <si>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</si>
  <si>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</si>
  <si>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</si>
  <si>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</si>
  <si>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</si>
  <si>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</si>
  <si>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</si>
  <si>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</si>
  <si>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</si>
  <si>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</si>
  <si>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</si>
  <si>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</si>
  <si>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</si>
  <si>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</si>
  <si>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</si>
  <si>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</si>
  <si>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</si>
  <si>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</si>
  <si>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</si>
  <si>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</si>
  <si>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</si>
  <si>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</si>
  <si>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</si>
  <si>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</si>
  <si>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</si>
  <si>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</si>
  <si>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</si>
  <si>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</si>
  <si>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</si>
  <si>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</si>
  <si>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</si>
  <si>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</si>
  <si>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</si>
  <si>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</si>
  <si>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</si>
  <si>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</si>
  <si>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</si>
  <si>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</si>
  <si>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</si>
  <si>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</si>
  <si>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</si>
  <si>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</si>
  <si>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</si>
  <si>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</si>
  <si>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</si>
  <si>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</si>
  <si>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</si>
  <si>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</si>
  <si>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</si>
  <si>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</si>
  <si>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</si>
  <si>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</si>
  <si>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</si>
  <si>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</si>
  <si>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</si>
  <si>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</si>
  <si>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</si>
  <si>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</si>
  <si>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</si>
  <si>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</si>
  <si>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</si>
  <si>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</si>
  <si>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</si>
  <si>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</si>
  <si>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</si>
  <si>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</si>
  <si>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</si>
  <si>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</si>
  <si>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</si>
  <si>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</si>
  <si>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</si>
  <si>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</si>
  <si>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</si>
  <si>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</si>
  <si>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</si>
  <si>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</si>
  <si>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</si>
  <si>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</si>
  <si>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</si>
  <si>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</si>
  <si>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</si>
  <si>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</si>
  <si>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</si>
  <si>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</si>
  <si>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</si>
  <si>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</si>
  <si>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</si>
  <si>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</si>
  <si>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</si>
  <si>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</si>
  <si>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</si>
  <si>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</si>
  <si>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</si>
  <si>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</si>
  <si>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</si>
  <si>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</si>
  <si>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</si>
  <si>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</si>
  <si>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</si>
  <si>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</si>
  <si>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</si>
  <si>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</si>
  <si>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</si>
  <si>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</si>
  <si>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</si>
  <si>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</si>
  <si>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21/9/1397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</si>
  <si>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</si>
  <si>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</si>
  <si>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</si>
  <si>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</si>
  <si>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</si>
  <si>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</si>
  <si>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</si>
  <si>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</si>
  <si>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</si>
  <si>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</si>
  <si>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</si>
  <si>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</si>
  <si>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</si>
  <si>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</si>
  <si>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</si>
  <si>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</si>
  <si>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</si>
  <si>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</si>
  <si>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</si>
  <si>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</si>
  <si>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</si>
  <si>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</si>
  <si>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</si>
  <si>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</si>
  <si>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</si>
  <si>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</si>
  <si>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</si>
  <si>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</si>
  <si>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</si>
  <si>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</si>
  <si>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</si>
  <si>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</si>
  <si>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</si>
  <si>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</si>
  <si>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</si>
  <si>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</si>
  <si>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</si>
  <si>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</si>
  <si>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</si>
  <si>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</si>
  <si>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</si>
  <si>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</si>
  <si>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</si>
  <si>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</si>
  <si>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</si>
  <si>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</si>
  <si>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</si>
  <si>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</si>
  <si>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</si>
  <si>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</si>
  <si>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</si>
  <si>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</si>
  <si>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</si>
  <si>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</si>
  <si>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</si>
  <si>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</si>
  <si>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</si>
  <si>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</si>
  <si>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</si>
  <si>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</si>
  <si>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</si>
  <si>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</si>
  <si>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</si>
  <si>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</si>
  <si>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شخارک 29 تا 3544.7</t>
  </si>
  <si>
    <t>3/10/1397</t>
  </si>
  <si>
    <t>شسپا 40 تا 2564</t>
  </si>
  <si>
    <t>شخارک 30 تا 3415</t>
  </si>
  <si>
    <t xml:space="preserve"> شسپا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</si>
  <si>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</si>
  <si>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</si>
  <si>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</si>
  <si>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</si>
  <si>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</si>
  <si>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</si>
  <si>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شخارک 31 تا 3311.2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</si>
  <si>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</si>
  <si>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</si>
  <si>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</si>
  <si>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</si>
  <si>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</si>
  <si>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</si>
  <si>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شخارک 33 تا 3366.5</t>
  </si>
  <si>
    <t>وبانک 556 تا 286</t>
  </si>
  <si>
    <t>وتوسم 63 تا 180.8</t>
  </si>
  <si>
    <t>8/10/1397</t>
  </si>
  <si>
    <t>وبانک 597 تا 287</t>
  </si>
  <si>
    <t>شاراک 4431 تا 4418</t>
  </si>
  <si>
    <t>شغدیر 197 تا 508</t>
  </si>
  <si>
    <t>شغدیر</t>
  </si>
  <si>
    <t>شلرد 594 تا 169.1</t>
  </si>
  <si>
    <t>174.2-191.5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</si>
  <si>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</si>
  <si>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</si>
  <si>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</si>
  <si>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</si>
  <si>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</si>
  <si>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</si>
  <si>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</si>
  <si>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مجموع خرید 5 عدد</t>
  </si>
  <si>
    <t>ریشمک</t>
  </si>
  <si>
    <t>حتاید</t>
  </si>
  <si>
    <t>فملی</t>
  </si>
  <si>
    <t>مجموع سهام حساب علی</t>
  </si>
  <si>
    <t xml:space="preserve">تعداد </t>
  </si>
  <si>
    <t>وغدیر 8871 تا 165.6 (با پول وبانک که 150000 تومن ضرر داشت)</t>
  </si>
  <si>
    <t>8/10/1397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</si>
</sst>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4252</v>
      </c>
      <c r="B1" t="s">
        <v>4253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4026</v>
      </c>
      <c r="B35" s="113">
        <v>-1187</v>
      </c>
      <c r="C35" s="99" t="s">
        <v>3928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3969</v>
      </c>
      <c r="B36" s="113">
        <v>-55262</v>
      </c>
      <c r="C36" s="99" t="s">
        <v>3928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3971</v>
      </c>
      <c r="B37" s="113">
        <v>-15700</v>
      </c>
      <c r="C37" s="99" t="s">
        <v>3928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4027</v>
      </c>
      <c r="B38" s="113">
        <v>-176000</v>
      </c>
      <c r="C38" s="99" t="s">
        <v>3928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3993</v>
      </c>
      <c r="B39" s="113">
        <v>-68600</v>
      </c>
      <c r="C39" s="99" t="s">
        <v>3928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4025</v>
      </c>
      <c r="B40" s="113">
        <v>-3540</v>
      </c>
      <c r="C40" s="99" t="s">
        <v>3928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4023</v>
      </c>
      <c r="B41" s="113">
        <v>-315101</v>
      </c>
      <c r="C41" s="99" t="s">
        <v>4024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3688</v>
      </c>
      <c r="B42" s="113">
        <v>-416000</v>
      </c>
      <c r="C42" s="99" t="s">
        <v>4033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14" sqref="F14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4444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4592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4592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4597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4597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4606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4606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4612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4625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4625</v>
      </c>
      <c r="B11" s="18">
        <v>-1287000</v>
      </c>
      <c r="C11" s="18">
        <v>0</v>
      </c>
      <c r="D11" s="113">
        <f t="shared" si="0"/>
        <v>-1287000</v>
      </c>
      <c r="E11" s="19" t="s">
        <v>4626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4612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4617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4234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4234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4513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4515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4517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4519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4519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4519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4525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4539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4540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4540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4540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4544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4560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4560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4560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4171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11234365</v>
      </c>
      <c r="C32" s="113">
        <f>SUM(C2:C31)</f>
        <v>0</v>
      </c>
      <c r="D32" s="113">
        <f>SUM(D2:D31)</f>
        <v>11234365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274427340</v>
      </c>
      <c r="H33" s="18">
        <f>SUM(H2:H31)</f>
        <v>0</v>
      </c>
      <c r="I33" s="18">
        <f>SUM(I2:I31)</f>
        <v>274427340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4594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4603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4608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4609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4627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1361703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77" sqref="F27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994</v>
      </c>
      <c r="H2" s="36">
        <f>IF(B2&gt;0,1,0)</f>
        <v>1</v>
      </c>
      <c r="I2" s="11">
        <f>B2*(G2-H2)</f>
        <v>16583100</v>
      </c>
      <c r="J2" s="53">
        <f>C2*(G2-H2)</f>
        <v>16583100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993</v>
      </c>
      <c r="H3" s="36">
        <f t="shared" ref="H3:H66" si="2">IF(B3&gt;0,1,0)</f>
        <v>1</v>
      </c>
      <c r="I3" s="11">
        <f t="shared" ref="I3:I66" si="3">B3*(G3-H3)</f>
        <v>19740800000</v>
      </c>
      <c r="J3" s="53">
        <f t="shared" ref="J3:J66" si="4">C3*(G3-H3)</f>
        <v>11295904000</v>
      </c>
      <c r="K3" s="53">
        <f t="shared" ref="K3:K66" si="5">D3*(G3-H3)</f>
        <v>8444896000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993</v>
      </c>
      <c r="H4" s="36">
        <f t="shared" si="2"/>
        <v>0</v>
      </c>
      <c r="I4" s="11">
        <f t="shared" si="3"/>
        <v>0</v>
      </c>
      <c r="J4" s="53">
        <f t="shared" si="4"/>
        <v>8440500</v>
      </c>
      <c r="K4" s="53">
        <f t="shared" si="5"/>
        <v>-8440500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991</v>
      </c>
      <c r="H5" s="36">
        <f t="shared" si="2"/>
        <v>1</v>
      </c>
      <c r="I5" s="11">
        <f t="shared" si="3"/>
        <v>1980000000</v>
      </c>
      <c r="J5" s="53">
        <f t="shared" si="4"/>
        <v>0</v>
      </c>
      <c r="K5" s="53">
        <f t="shared" si="5"/>
        <v>1980000000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984</v>
      </c>
      <c r="H6" s="36">
        <f t="shared" si="2"/>
        <v>0</v>
      </c>
      <c r="I6" s="11">
        <f t="shared" si="3"/>
        <v>-4920000</v>
      </c>
      <c r="J6" s="53">
        <f t="shared" si="4"/>
        <v>0</v>
      </c>
      <c r="K6" s="53">
        <f t="shared" si="5"/>
        <v>-4920000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980</v>
      </c>
      <c r="H7" s="36">
        <f t="shared" si="2"/>
        <v>0</v>
      </c>
      <c r="I7" s="11">
        <f t="shared" si="3"/>
        <v>-1176490000</v>
      </c>
      <c r="J7" s="53">
        <f t="shared" si="4"/>
        <v>0</v>
      </c>
      <c r="K7" s="53">
        <f t="shared" si="5"/>
        <v>-1176490000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979</v>
      </c>
      <c r="H8" s="36">
        <f t="shared" si="2"/>
        <v>0</v>
      </c>
      <c r="I8" s="11">
        <f t="shared" si="3"/>
        <v>-195800000</v>
      </c>
      <c r="J8" s="53">
        <f t="shared" si="4"/>
        <v>0</v>
      </c>
      <c r="K8" s="53">
        <f t="shared" si="5"/>
        <v>-195800000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977</v>
      </c>
      <c r="H9" s="36">
        <f t="shared" si="2"/>
        <v>0</v>
      </c>
      <c r="I9" s="11">
        <f t="shared" si="3"/>
        <v>-689273500</v>
      </c>
      <c r="J9" s="53">
        <f t="shared" si="4"/>
        <v>0</v>
      </c>
      <c r="K9" s="53">
        <f t="shared" si="5"/>
        <v>-689273500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968</v>
      </c>
      <c r="H10" s="36">
        <f t="shared" si="2"/>
        <v>0</v>
      </c>
      <c r="I10" s="11">
        <f t="shared" si="3"/>
        <v>-193600000</v>
      </c>
      <c r="J10" s="53">
        <f t="shared" si="4"/>
        <v>0</v>
      </c>
      <c r="K10" s="53">
        <f t="shared" si="5"/>
        <v>-193600000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968</v>
      </c>
      <c r="H11" s="36">
        <f t="shared" si="2"/>
        <v>1</v>
      </c>
      <c r="I11" s="11">
        <f t="shared" si="3"/>
        <v>967000000</v>
      </c>
      <c r="J11" s="53">
        <f t="shared" si="4"/>
        <v>0</v>
      </c>
      <c r="K11" s="53">
        <f t="shared" si="5"/>
        <v>967000000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964</v>
      </c>
      <c r="H12" s="36">
        <f t="shared" si="2"/>
        <v>0</v>
      </c>
      <c r="I12" s="11">
        <f t="shared" si="3"/>
        <v>-289200000</v>
      </c>
      <c r="J12" s="53">
        <f t="shared" si="4"/>
        <v>0</v>
      </c>
      <c r="K12" s="53">
        <f t="shared" si="5"/>
        <v>-289200000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959</v>
      </c>
      <c r="H13" s="36">
        <f t="shared" si="2"/>
        <v>0</v>
      </c>
      <c r="I13" s="11">
        <f t="shared" si="3"/>
        <v>-59458000</v>
      </c>
      <c r="J13" s="53">
        <f t="shared" si="4"/>
        <v>0</v>
      </c>
      <c r="K13" s="53">
        <f t="shared" si="5"/>
        <v>-59458000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959</v>
      </c>
      <c r="H14" s="36">
        <f t="shared" si="2"/>
        <v>1</v>
      </c>
      <c r="I14" s="11">
        <f t="shared" si="3"/>
        <v>1916000000</v>
      </c>
      <c r="J14" s="53">
        <f t="shared" si="4"/>
        <v>0</v>
      </c>
      <c r="K14" s="53">
        <f t="shared" si="5"/>
        <v>1916000000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958</v>
      </c>
      <c r="H15" s="36">
        <f t="shared" si="2"/>
        <v>1</v>
      </c>
      <c r="I15" s="11">
        <f t="shared" si="3"/>
        <v>1722600000</v>
      </c>
      <c r="J15" s="53">
        <f t="shared" si="4"/>
        <v>0</v>
      </c>
      <c r="K15" s="53">
        <f t="shared" si="5"/>
        <v>1722600000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958</v>
      </c>
      <c r="H16" s="36">
        <f t="shared" si="2"/>
        <v>0</v>
      </c>
      <c r="I16" s="11">
        <f t="shared" si="3"/>
        <v>-191600000</v>
      </c>
      <c r="J16" s="53">
        <f t="shared" si="4"/>
        <v>0</v>
      </c>
      <c r="K16" s="53">
        <f t="shared" si="5"/>
        <v>-191600000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954</v>
      </c>
      <c r="H17" s="36">
        <f t="shared" si="2"/>
        <v>0</v>
      </c>
      <c r="I17" s="11">
        <f t="shared" si="3"/>
        <v>-1908000000</v>
      </c>
      <c r="J17" s="53">
        <f t="shared" si="4"/>
        <v>0</v>
      </c>
      <c r="K17" s="53">
        <f t="shared" si="5"/>
        <v>-1908000000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953</v>
      </c>
      <c r="H18" s="36">
        <f t="shared" si="2"/>
        <v>0</v>
      </c>
      <c r="I18" s="11">
        <f t="shared" si="3"/>
        <v>-285900000</v>
      </c>
      <c r="J18" s="53">
        <f t="shared" si="4"/>
        <v>0</v>
      </c>
      <c r="K18" s="53">
        <f t="shared" si="5"/>
        <v>-285900000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952</v>
      </c>
      <c r="H19" s="36">
        <f t="shared" si="2"/>
        <v>0</v>
      </c>
      <c r="I19" s="11">
        <f t="shared" si="3"/>
        <v>-190400000</v>
      </c>
      <c r="J19" s="53">
        <f t="shared" si="4"/>
        <v>0</v>
      </c>
      <c r="K19" s="53">
        <f t="shared" si="5"/>
        <v>-190400000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950</v>
      </c>
      <c r="H20" s="36">
        <f t="shared" si="2"/>
        <v>1</v>
      </c>
      <c r="I20" s="11">
        <f t="shared" si="3"/>
        <v>257263461</v>
      </c>
      <c r="J20" s="53">
        <f t="shared" si="4"/>
        <v>139931948</v>
      </c>
      <c r="K20" s="53">
        <f t="shared" si="5"/>
        <v>117331513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948</v>
      </c>
      <c r="H21" s="36">
        <f t="shared" si="2"/>
        <v>0</v>
      </c>
      <c r="I21" s="11">
        <f t="shared" si="3"/>
        <v>-1427403600</v>
      </c>
      <c r="J21" s="53">
        <f t="shared" si="4"/>
        <v>0</v>
      </c>
      <c r="K21" s="53">
        <f t="shared" si="5"/>
        <v>-1427403600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945</v>
      </c>
      <c r="H22" s="36">
        <f t="shared" si="2"/>
        <v>1</v>
      </c>
      <c r="I22" s="11">
        <f t="shared" si="3"/>
        <v>2832000000</v>
      </c>
      <c r="J22" s="53">
        <f t="shared" si="4"/>
        <v>0</v>
      </c>
      <c r="K22" s="53">
        <f t="shared" si="5"/>
        <v>2832000000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944</v>
      </c>
      <c r="H23" s="36">
        <f t="shared" si="2"/>
        <v>1</v>
      </c>
      <c r="I23" s="11">
        <f t="shared" si="3"/>
        <v>943000000</v>
      </c>
      <c r="J23" s="53">
        <f t="shared" si="4"/>
        <v>0</v>
      </c>
      <c r="K23" s="53">
        <f t="shared" si="5"/>
        <v>943000000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943</v>
      </c>
      <c r="H24" s="36">
        <f t="shared" si="2"/>
        <v>0</v>
      </c>
      <c r="I24" s="11">
        <f t="shared" si="3"/>
        <v>-2829848700</v>
      </c>
      <c r="J24" s="53">
        <f t="shared" si="4"/>
        <v>0</v>
      </c>
      <c r="K24" s="53">
        <f t="shared" si="5"/>
        <v>-2829848700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928</v>
      </c>
      <c r="H25" s="36">
        <f t="shared" si="2"/>
        <v>1</v>
      </c>
      <c r="I25" s="11">
        <f t="shared" si="3"/>
        <v>1390500000</v>
      </c>
      <c r="J25" s="53">
        <f t="shared" si="4"/>
        <v>0</v>
      </c>
      <c r="K25" s="53">
        <f t="shared" si="5"/>
        <v>1390500000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920</v>
      </c>
      <c r="H26" s="36">
        <f t="shared" si="2"/>
        <v>0</v>
      </c>
      <c r="I26" s="11">
        <f t="shared" si="3"/>
        <v>-150880000</v>
      </c>
      <c r="J26" s="53">
        <f t="shared" si="4"/>
        <v>0</v>
      </c>
      <c r="K26" s="53">
        <f t="shared" si="5"/>
        <v>-150880000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919</v>
      </c>
      <c r="H27" s="36">
        <f t="shared" si="2"/>
        <v>1</v>
      </c>
      <c r="I27" s="11">
        <f t="shared" si="3"/>
        <v>183042774</v>
      </c>
      <c r="J27" s="53">
        <f t="shared" si="4"/>
        <v>98605134</v>
      </c>
      <c r="K27" s="53">
        <f t="shared" si="5"/>
        <v>84437640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917</v>
      </c>
      <c r="H28" s="36">
        <f t="shared" si="2"/>
        <v>0</v>
      </c>
      <c r="I28" s="11">
        <f t="shared" si="3"/>
        <v>-202657000</v>
      </c>
      <c r="J28" s="53">
        <f t="shared" si="4"/>
        <v>-202657000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917</v>
      </c>
      <c r="H29" s="36">
        <f t="shared" si="2"/>
        <v>0</v>
      </c>
      <c r="I29" s="11">
        <f t="shared" si="3"/>
        <v>-458958500</v>
      </c>
      <c r="J29" s="53">
        <f t="shared" si="4"/>
        <v>0</v>
      </c>
      <c r="K29" s="53">
        <f t="shared" si="5"/>
        <v>-458958500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917</v>
      </c>
      <c r="H30" s="36">
        <f t="shared" si="2"/>
        <v>0</v>
      </c>
      <c r="I30" s="11">
        <f t="shared" si="3"/>
        <v>-13755000000</v>
      </c>
      <c r="J30" s="53">
        <f t="shared" si="4"/>
        <v>-13755000000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900</v>
      </c>
      <c r="H31" s="36">
        <f t="shared" si="2"/>
        <v>0</v>
      </c>
      <c r="I31" s="11">
        <f t="shared" si="3"/>
        <v>-2709810000</v>
      </c>
      <c r="J31" s="53">
        <f t="shared" si="4"/>
        <v>0</v>
      </c>
      <c r="K31" s="53">
        <f t="shared" si="5"/>
        <v>-2709810000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898</v>
      </c>
      <c r="H32" s="36">
        <f t="shared" si="2"/>
        <v>0</v>
      </c>
      <c r="I32" s="11">
        <f t="shared" si="3"/>
        <v>-2699298200</v>
      </c>
      <c r="J32" s="53">
        <f t="shared" si="4"/>
        <v>0</v>
      </c>
      <c r="K32" s="53">
        <f t="shared" si="5"/>
        <v>-2699298200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897</v>
      </c>
      <c r="H33" s="36">
        <f t="shared" si="2"/>
        <v>0</v>
      </c>
      <c r="I33" s="11">
        <f t="shared" si="3"/>
        <v>-803263500</v>
      </c>
      <c r="J33" s="53">
        <f t="shared" si="4"/>
        <v>0</v>
      </c>
      <c r="K33" s="53">
        <f t="shared" si="5"/>
        <v>-803263500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897</v>
      </c>
      <c r="H34" s="36">
        <f t="shared" si="2"/>
        <v>0</v>
      </c>
      <c r="I34" s="11">
        <f t="shared" si="3"/>
        <v>0</v>
      </c>
      <c r="J34" s="53">
        <f t="shared" si="4"/>
        <v>897000000</v>
      </c>
      <c r="K34" s="53">
        <f t="shared" si="5"/>
        <v>-897000000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888</v>
      </c>
      <c r="H35" s="36">
        <f t="shared" si="2"/>
        <v>1</v>
      </c>
      <c r="I35" s="11">
        <f t="shared" si="3"/>
        <v>46542664</v>
      </c>
      <c r="J35" s="53">
        <f t="shared" si="4"/>
        <v>-19215081</v>
      </c>
      <c r="K35" s="53">
        <f t="shared" si="5"/>
        <v>65757745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888</v>
      </c>
      <c r="H36" s="36">
        <f t="shared" si="2"/>
        <v>0</v>
      </c>
      <c r="I36" s="11">
        <f t="shared" si="3"/>
        <v>0</v>
      </c>
      <c r="J36" s="53">
        <f t="shared" si="4"/>
        <v>19236744</v>
      </c>
      <c r="K36" s="53">
        <f t="shared" si="5"/>
        <v>-19236744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878</v>
      </c>
      <c r="H37" s="36">
        <f t="shared" si="2"/>
        <v>0</v>
      </c>
      <c r="I37" s="11">
        <f t="shared" si="3"/>
        <v>-48290000</v>
      </c>
      <c r="J37" s="53">
        <f t="shared" si="4"/>
        <v>0</v>
      </c>
      <c r="K37" s="53">
        <f t="shared" si="5"/>
        <v>-48290000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877</v>
      </c>
      <c r="H38" s="36">
        <f t="shared" si="2"/>
        <v>1</v>
      </c>
      <c r="I38" s="11">
        <f t="shared" si="3"/>
        <v>2628000000</v>
      </c>
      <c r="J38" s="53">
        <f t="shared" si="4"/>
        <v>2628000000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876</v>
      </c>
      <c r="H39" s="36">
        <f t="shared" si="2"/>
        <v>1</v>
      </c>
      <c r="I39" s="11">
        <f t="shared" si="3"/>
        <v>2187500000</v>
      </c>
      <c r="J39" s="53">
        <f t="shared" si="4"/>
        <v>2187500000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876</v>
      </c>
      <c r="H40" s="36">
        <f t="shared" si="2"/>
        <v>0</v>
      </c>
      <c r="I40" s="11">
        <f t="shared" si="3"/>
        <v>-43800000</v>
      </c>
      <c r="J40" s="53">
        <f t="shared" si="4"/>
        <v>0</v>
      </c>
      <c r="K40" s="53">
        <f t="shared" si="5"/>
        <v>-43800000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876</v>
      </c>
      <c r="H41" s="36">
        <f t="shared" si="2"/>
        <v>1</v>
      </c>
      <c r="I41" s="11">
        <f t="shared" si="3"/>
        <v>2625000000</v>
      </c>
      <c r="J41" s="53">
        <f t="shared" si="4"/>
        <v>0</v>
      </c>
      <c r="K41" s="53">
        <f t="shared" si="5"/>
        <v>2625000000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873</v>
      </c>
      <c r="H42" s="36">
        <f t="shared" si="2"/>
        <v>0</v>
      </c>
      <c r="I42" s="11">
        <f t="shared" si="3"/>
        <v>-77871600</v>
      </c>
      <c r="J42" s="53">
        <f t="shared" si="4"/>
        <v>0</v>
      </c>
      <c r="K42" s="53">
        <f t="shared" si="5"/>
        <v>-77871600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869</v>
      </c>
      <c r="H43" s="36">
        <f t="shared" si="2"/>
        <v>0</v>
      </c>
      <c r="I43" s="11">
        <f t="shared" si="3"/>
        <v>-173800000</v>
      </c>
      <c r="J43" s="53">
        <f t="shared" si="4"/>
        <v>0</v>
      </c>
      <c r="K43" s="53">
        <f t="shared" si="5"/>
        <v>-173800000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867</v>
      </c>
      <c r="H44" s="36">
        <f t="shared" si="2"/>
        <v>0</v>
      </c>
      <c r="I44" s="11">
        <f t="shared" si="3"/>
        <v>-173400000</v>
      </c>
      <c r="J44" s="53">
        <f t="shared" si="4"/>
        <v>0</v>
      </c>
      <c r="K44" s="53">
        <f t="shared" si="5"/>
        <v>-173400000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867</v>
      </c>
      <c r="H45" s="36">
        <f t="shared" si="2"/>
        <v>0</v>
      </c>
      <c r="I45" s="11">
        <f t="shared" si="3"/>
        <v>-485520000</v>
      </c>
      <c r="J45" s="53">
        <f t="shared" si="4"/>
        <v>0</v>
      </c>
      <c r="K45" s="53">
        <f t="shared" si="5"/>
        <v>-485520000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863</v>
      </c>
      <c r="H46" s="36">
        <f t="shared" si="2"/>
        <v>0</v>
      </c>
      <c r="I46" s="11">
        <f t="shared" si="3"/>
        <v>-608846500</v>
      </c>
      <c r="J46" s="53">
        <f t="shared" si="4"/>
        <v>0</v>
      </c>
      <c r="K46" s="53">
        <f t="shared" si="5"/>
        <v>-608846500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857</v>
      </c>
      <c r="H47" s="36">
        <f t="shared" si="2"/>
        <v>1</v>
      </c>
      <c r="I47" s="11">
        <f t="shared" si="3"/>
        <v>35270624</v>
      </c>
      <c r="J47" s="53">
        <f t="shared" si="4"/>
        <v>5746328</v>
      </c>
      <c r="K47" s="53">
        <f t="shared" si="5"/>
        <v>29524296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857</v>
      </c>
      <c r="H48" s="36">
        <f t="shared" si="2"/>
        <v>1</v>
      </c>
      <c r="I48" s="11">
        <f t="shared" si="3"/>
        <v>1459223200</v>
      </c>
      <c r="J48" s="53">
        <f t="shared" si="4"/>
        <v>0</v>
      </c>
      <c r="K48" s="53">
        <f t="shared" si="5"/>
        <v>1459223200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848</v>
      </c>
      <c r="H49" s="36">
        <f t="shared" si="2"/>
        <v>0</v>
      </c>
      <c r="I49" s="11">
        <f t="shared" si="3"/>
        <v>-131440000</v>
      </c>
      <c r="J49" s="53">
        <f t="shared" si="4"/>
        <v>0</v>
      </c>
      <c r="K49" s="53">
        <f t="shared" si="5"/>
        <v>-131440000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848</v>
      </c>
      <c r="H50" s="36">
        <f t="shared" si="2"/>
        <v>0</v>
      </c>
      <c r="I50" s="11">
        <f t="shared" si="3"/>
        <v>-117024000</v>
      </c>
      <c r="J50" s="53">
        <f t="shared" si="4"/>
        <v>0</v>
      </c>
      <c r="K50" s="53">
        <f t="shared" si="5"/>
        <v>-117024000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848</v>
      </c>
      <c r="H51" s="36">
        <f t="shared" si="2"/>
        <v>0</v>
      </c>
      <c r="I51" s="11">
        <f t="shared" si="3"/>
        <v>-627520000</v>
      </c>
      <c r="J51" s="53">
        <f t="shared" si="4"/>
        <v>0</v>
      </c>
      <c r="K51" s="53">
        <f t="shared" si="5"/>
        <v>-627520000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848</v>
      </c>
      <c r="H52" s="36">
        <f t="shared" si="2"/>
        <v>0</v>
      </c>
      <c r="I52" s="11">
        <f t="shared" si="3"/>
        <v>-169600000</v>
      </c>
      <c r="J52" s="53">
        <f t="shared" si="4"/>
        <v>0</v>
      </c>
      <c r="K52" s="53">
        <f t="shared" si="5"/>
        <v>-169600000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847</v>
      </c>
      <c r="H53" s="36">
        <f t="shared" si="2"/>
        <v>0</v>
      </c>
      <c r="I53" s="11">
        <f t="shared" si="3"/>
        <v>-893585000</v>
      </c>
      <c r="J53" s="53">
        <f t="shared" si="4"/>
        <v>0</v>
      </c>
      <c r="K53" s="53">
        <f t="shared" si="5"/>
        <v>-893585000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847</v>
      </c>
      <c r="H54" s="36">
        <f t="shared" si="2"/>
        <v>0</v>
      </c>
      <c r="I54" s="11">
        <f t="shared" si="3"/>
        <v>-169400000</v>
      </c>
      <c r="J54" s="53">
        <f t="shared" si="4"/>
        <v>0</v>
      </c>
      <c r="K54" s="53">
        <f t="shared" si="5"/>
        <v>-169400000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847</v>
      </c>
      <c r="H55" s="36">
        <f t="shared" si="2"/>
        <v>0</v>
      </c>
      <c r="I55" s="11">
        <f t="shared" si="3"/>
        <v>-847423500</v>
      </c>
      <c r="J55" s="53">
        <f t="shared" si="4"/>
        <v>0</v>
      </c>
      <c r="K55" s="53">
        <f t="shared" si="5"/>
        <v>-847423500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847</v>
      </c>
      <c r="H56" s="36">
        <f t="shared" si="2"/>
        <v>0</v>
      </c>
      <c r="I56" s="11">
        <f t="shared" si="3"/>
        <v>-32186000</v>
      </c>
      <c r="J56" s="53">
        <f t="shared" si="4"/>
        <v>0</v>
      </c>
      <c r="K56" s="53">
        <f t="shared" si="5"/>
        <v>-32186000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847</v>
      </c>
      <c r="H57" s="36">
        <f t="shared" si="2"/>
        <v>0</v>
      </c>
      <c r="I57" s="11">
        <f t="shared" si="3"/>
        <v>-88935000</v>
      </c>
      <c r="J57" s="53">
        <f t="shared" si="4"/>
        <v>0</v>
      </c>
      <c r="K57" s="53">
        <f t="shared" si="5"/>
        <v>-88935000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847</v>
      </c>
      <c r="H58" s="36">
        <f t="shared" si="2"/>
        <v>0</v>
      </c>
      <c r="I58" s="11">
        <f t="shared" si="3"/>
        <v>-50820000</v>
      </c>
      <c r="J58" s="53">
        <f t="shared" si="4"/>
        <v>0</v>
      </c>
      <c r="K58" s="53">
        <f t="shared" si="5"/>
        <v>-50820000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844</v>
      </c>
      <c r="H59" s="36">
        <f t="shared" si="2"/>
        <v>1</v>
      </c>
      <c r="I59" s="11">
        <f t="shared" si="3"/>
        <v>843000000</v>
      </c>
      <c r="J59" s="53">
        <f t="shared" si="4"/>
        <v>843000000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843</v>
      </c>
      <c r="H60" s="36">
        <f t="shared" si="2"/>
        <v>1</v>
      </c>
      <c r="I60" s="11">
        <f t="shared" si="3"/>
        <v>2947000000</v>
      </c>
      <c r="J60" s="53">
        <f t="shared" si="4"/>
        <v>2947000000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841</v>
      </c>
      <c r="H61" s="36">
        <f t="shared" si="2"/>
        <v>1</v>
      </c>
      <c r="I61" s="11">
        <f t="shared" si="3"/>
        <v>840000000</v>
      </c>
      <c r="J61" s="53">
        <f t="shared" si="4"/>
        <v>840000000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841</v>
      </c>
      <c r="H62" s="36">
        <f t="shared" si="2"/>
        <v>1</v>
      </c>
      <c r="I62" s="11">
        <f t="shared" si="3"/>
        <v>2520000000</v>
      </c>
      <c r="J62" s="53">
        <f t="shared" si="4"/>
        <v>2520000000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839</v>
      </c>
      <c r="H63" s="36">
        <f t="shared" si="2"/>
        <v>0</v>
      </c>
      <c r="I63" s="11">
        <f t="shared" si="3"/>
        <v>-167800000</v>
      </c>
      <c r="J63" s="53">
        <f t="shared" si="4"/>
        <v>0</v>
      </c>
      <c r="K63" s="53">
        <f t="shared" si="5"/>
        <v>-167800000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834</v>
      </c>
      <c r="H64" s="36">
        <f t="shared" si="2"/>
        <v>0</v>
      </c>
      <c r="I64" s="11">
        <f t="shared" si="3"/>
        <v>-41700000</v>
      </c>
      <c r="J64" s="53">
        <f t="shared" si="4"/>
        <v>0</v>
      </c>
      <c r="K64" s="53">
        <f t="shared" si="5"/>
        <v>-41700000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830</v>
      </c>
      <c r="H65" s="36">
        <f t="shared" si="2"/>
        <v>0</v>
      </c>
      <c r="I65" s="11">
        <f t="shared" si="3"/>
        <v>-166000000</v>
      </c>
      <c r="J65" s="53">
        <f t="shared" si="4"/>
        <v>0</v>
      </c>
      <c r="K65" s="53">
        <f t="shared" si="5"/>
        <v>-166000000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827</v>
      </c>
      <c r="H66" s="36">
        <f t="shared" si="2"/>
        <v>0</v>
      </c>
      <c r="I66" s="11">
        <f t="shared" si="3"/>
        <v>-140590000</v>
      </c>
      <c r="J66" s="53">
        <f t="shared" si="4"/>
        <v>0</v>
      </c>
      <c r="K66" s="53">
        <f t="shared" si="5"/>
        <v>-140590000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826</v>
      </c>
      <c r="H67" s="36">
        <f t="shared" ref="H67:H131" si="8">IF(B67&gt;0,1,0)</f>
        <v>1</v>
      </c>
      <c r="I67" s="11">
        <f t="shared" ref="I67:I119" si="9">B67*(G67-H67)</f>
        <v>75343125</v>
      </c>
      <c r="J67" s="53">
        <f t="shared" ref="J67:J131" si="10">C67*(G67-H67)</f>
        <v>54221475</v>
      </c>
      <c r="K67" s="53">
        <f t="shared" ref="K67:K131" si="11">D67*(G67-H67)</f>
        <v>21121650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808</v>
      </c>
      <c r="H68" s="36">
        <f t="shared" si="8"/>
        <v>0</v>
      </c>
      <c r="I68" s="11">
        <f t="shared" si="9"/>
        <v>-117160000</v>
      </c>
      <c r="J68" s="53">
        <f t="shared" si="10"/>
        <v>0</v>
      </c>
      <c r="K68" s="53">
        <f t="shared" si="11"/>
        <v>-117160000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801</v>
      </c>
      <c r="H69" s="36">
        <f t="shared" si="8"/>
        <v>1</v>
      </c>
      <c r="I69" s="11">
        <f t="shared" si="9"/>
        <v>784000000</v>
      </c>
      <c r="J69" s="53">
        <f t="shared" si="10"/>
        <v>0</v>
      </c>
      <c r="K69" s="53">
        <f t="shared" si="11"/>
        <v>784000000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798</v>
      </c>
      <c r="H70" s="36">
        <f t="shared" si="8"/>
        <v>0</v>
      </c>
      <c r="I70" s="11">
        <f t="shared" si="9"/>
        <v>-36708000</v>
      </c>
      <c r="J70" s="53">
        <f t="shared" si="10"/>
        <v>0</v>
      </c>
      <c r="K70" s="53">
        <f t="shared" si="11"/>
        <v>-36708000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796</v>
      </c>
      <c r="H71" s="36">
        <f t="shared" si="8"/>
        <v>1</v>
      </c>
      <c r="I71" s="11">
        <f t="shared" si="9"/>
        <v>91693710</v>
      </c>
      <c r="J71" s="53">
        <f t="shared" si="10"/>
        <v>82530540</v>
      </c>
      <c r="K71" s="53">
        <f t="shared" si="11"/>
        <v>9163170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795</v>
      </c>
      <c r="H72" s="36">
        <f t="shared" si="8"/>
        <v>0</v>
      </c>
      <c r="I72" s="11">
        <f t="shared" si="9"/>
        <v>-120815355</v>
      </c>
      <c r="J72" s="53">
        <f t="shared" si="10"/>
        <v>0</v>
      </c>
      <c r="K72" s="53">
        <f t="shared" si="11"/>
        <v>-120815355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794</v>
      </c>
      <c r="H73" s="36">
        <f t="shared" si="8"/>
        <v>0</v>
      </c>
      <c r="I73" s="11">
        <f t="shared" si="9"/>
        <v>-639567000</v>
      </c>
      <c r="J73" s="53">
        <f t="shared" si="10"/>
        <v>0</v>
      </c>
      <c r="K73" s="53">
        <f t="shared" si="11"/>
        <v>-639567000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787</v>
      </c>
      <c r="H74" s="36">
        <f t="shared" si="8"/>
        <v>1</v>
      </c>
      <c r="I74" s="11">
        <f t="shared" si="9"/>
        <v>5498070000</v>
      </c>
      <c r="J74" s="53">
        <f t="shared" si="10"/>
        <v>0</v>
      </c>
      <c r="K74" s="53">
        <f t="shared" si="11"/>
        <v>5498070000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786</v>
      </c>
      <c r="H75" s="36">
        <f t="shared" si="8"/>
        <v>1</v>
      </c>
      <c r="I75" s="11">
        <f t="shared" si="9"/>
        <v>2355000000</v>
      </c>
      <c r="J75" s="53">
        <f t="shared" si="10"/>
        <v>0</v>
      </c>
      <c r="K75" s="53">
        <f t="shared" si="11"/>
        <v>2355000000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784</v>
      </c>
      <c r="H76" s="36">
        <f t="shared" si="8"/>
        <v>1</v>
      </c>
      <c r="I76" s="11">
        <f t="shared" si="9"/>
        <v>2349000000</v>
      </c>
      <c r="J76" s="53">
        <f t="shared" si="10"/>
        <v>0</v>
      </c>
      <c r="K76" s="53">
        <f t="shared" si="11"/>
        <v>2349000000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783</v>
      </c>
      <c r="H77" s="36">
        <f t="shared" si="8"/>
        <v>1</v>
      </c>
      <c r="I77" s="11">
        <f t="shared" si="9"/>
        <v>2346000000</v>
      </c>
      <c r="J77" s="53">
        <f t="shared" si="10"/>
        <v>0</v>
      </c>
      <c r="K77" s="53">
        <f t="shared" si="11"/>
        <v>2346000000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782</v>
      </c>
      <c r="H78" s="36">
        <f t="shared" si="8"/>
        <v>0</v>
      </c>
      <c r="I78" s="11">
        <f t="shared" si="9"/>
        <v>-2502400000</v>
      </c>
      <c r="J78" s="53">
        <f t="shared" si="10"/>
        <v>-2502400000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781</v>
      </c>
      <c r="H79" s="36">
        <f t="shared" si="8"/>
        <v>0</v>
      </c>
      <c r="I79" s="11">
        <f t="shared" si="9"/>
        <v>-624800000</v>
      </c>
      <c r="J79" s="53">
        <f t="shared" si="10"/>
        <v>-624800000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780</v>
      </c>
      <c r="H80" s="36">
        <f t="shared" si="8"/>
        <v>0</v>
      </c>
      <c r="I80" s="11">
        <f t="shared" si="9"/>
        <v>-37746540</v>
      </c>
      <c r="J80" s="53">
        <f t="shared" si="10"/>
        <v>0</v>
      </c>
      <c r="K80" s="53">
        <f t="shared" si="11"/>
        <v>-37746540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779</v>
      </c>
      <c r="H81" s="36">
        <f t="shared" si="8"/>
        <v>0</v>
      </c>
      <c r="I81" s="11">
        <f t="shared" si="9"/>
        <v>-109060000</v>
      </c>
      <c r="J81" s="53">
        <f t="shared" si="10"/>
        <v>0</v>
      </c>
      <c r="K81" s="53">
        <f t="shared" si="11"/>
        <v>-109060000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778</v>
      </c>
      <c r="H82" s="36">
        <f t="shared" si="8"/>
        <v>0</v>
      </c>
      <c r="I82" s="11">
        <f t="shared" si="9"/>
        <v>-194500000</v>
      </c>
      <c r="J82" s="53">
        <f t="shared" si="10"/>
        <v>0</v>
      </c>
      <c r="K82" s="53">
        <f t="shared" si="11"/>
        <v>-194500000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777</v>
      </c>
      <c r="H83" s="36">
        <f t="shared" si="8"/>
        <v>0</v>
      </c>
      <c r="I83" s="11">
        <f t="shared" si="9"/>
        <v>-155400000</v>
      </c>
      <c r="J83" s="53">
        <f t="shared" si="10"/>
        <v>0</v>
      </c>
      <c r="K83" s="53">
        <f t="shared" si="11"/>
        <v>-155400000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774</v>
      </c>
      <c r="H84" s="36">
        <f t="shared" si="8"/>
        <v>1</v>
      </c>
      <c r="I84" s="11">
        <f t="shared" si="9"/>
        <v>1264009600</v>
      </c>
      <c r="J84" s="53">
        <f t="shared" si="10"/>
        <v>0</v>
      </c>
      <c r="K84" s="53">
        <f t="shared" si="11"/>
        <v>1264009600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770</v>
      </c>
      <c r="H85" s="36">
        <f t="shared" si="8"/>
        <v>1</v>
      </c>
      <c r="I85" s="11">
        <f t="shared" si="9"/>
        <v>1922500000</v>
      </c>
      <c r="J85" s="53">
        <f t="shared" si="10"/>
        <v>0</v>
      </c>
      <c r="K85" s="53">
        <f t="shared" si="11"/>
        <v>1922500000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766</v>
      </c>
      <c r="H86" s="36">
        <f t="shared" si="8"/>
        <v>1</v>
      </c>
      <c r="I86" s="11">
        <f t="shared" si="9"/>
        <v>142519500</v>
      </c>
      <c r="J86" s="53">
        <f t="shared" si="10"/>
        <v>64986750</v>
      </c>
      <c r="K86" s="53">
        <f t="shared" si="11"/>
        <v>77532750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763</v>
      </c>
      <c r="H87" s="36">
        <f t="shared" si="8"/>
        <v>0</v>
      </c>
      <c r="I87" s="11">
        <f t="shared" si="9"/>
        <v>-152600000</v>
      </c>
      <c r="J87" s="53">
        <f t="shared" si="10"/>
        <v>0</v>
      </c>
      <c r="K87" s="53">
        <f t="shared" si="11"/>
        <v>-152600000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762</v>
      </c>
      <c r="H88" s="36">
        <f t="shared" si="8"/>
        <v>0</v>
      </c>
      <c r="I88" s="11">
        <f t="shared" si="9"/>
        <v>-89916000</v>
      </c>
      <c r="J88" s="53">
        <f t="shared" si="10"/>
        <v>-52578000</v>
      </c>
      <c r="K88" s="53">
        <f t="shared" si="11"/>
        <v>-37338000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754</v>
      </c>
      <c r="H89" s="36">
        <f t="shared" si="8"/>
        <v>0</v>
      </c>
      <c r="I89" s="11">
        <f t="shared" si="9"/>
        <v>-2413478600</v>
      </c>
      <c r="J89" s="53">
        <f t="shared" si="10"/>
        <v>0</v>
      </c>
      <c r="K89" s="53">
        <f t="shared" si="11"/>
        <v>-2413478600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753</v>
      </c>
      <c r="H90" s="36">
        <f t="shared" si="8"/>
        <v>0</v>
      </c>
      <c r="I90" s="11">
        <f t="shared" si="9"/>
        <v>-2410277700</v>
      </c>
      <c r="J90" s="53">
        <f t="shared" si="10"/>
        <v>0</v>
      </c>
      <c r="K90" s="53">
        <f t="shared" si="11"/>
        <v>-2410277700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752</v>
      </c>
      <c r="H91" s="36">
        <f t="shared" si="8"/>
        <v>0</v>
      </c>
      <c r="I91" s="11">
        <f t="shared" si="9"/>
        <v>-2407076800</v>
      </c>
      <c r="J91" s="53">
        <f t="shared" si="10"/>
        <v>0</v>
      </c>
      <c r="K91" s="53">
        <f t="shared" si="11"/>
        <v>-2407076800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751</v>
      </c>
      <c r="H92" s="36">
        <f t="shared" si="8"/>
        <v>0</v>
      </c>
      <c r="I92" s="11">
        <f t="shared" si="9"/>
        <v>-2403875900</v>
      </c>
      <c r="J92" s="53">
        <f t="shared" si="10"/>
        <v>0</v>
      </c>
      <c r="K92" s="53">
        <f t="shared" si="11"/>
        <v>-2403875900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750</v>
      </c>
      <c r="H93" s="36">
        <f t="shared" si="8"/>
        <v>0</v>
      </c>
      <c r="I93" s="11">
        <f t="shared" si="9"/>
        <v>-2400675000</v>
      </c>
      <c r="J93" s="53">
        <f t="shared" si="10"/>
        <v>0</v>
      </c>
      <c r="K93" s="53">
        <f t="shared" si="11"/>
        <v>-2400675000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749</v>
      </c>
      <c r="H94" s="36">
        <f t="shared" si="8"/>
        <v>0</v>
      </c>
      <c r="I94" s="11">
        <f t="shared" si="9"/>
        <v>-2397474100</v>
      </c>
      <c r="J94" s="53">
        <f t="shared" si="10"/>
        <v>0</v>
      </c>
      <c r="K94" s="53">
        <f t="shared" si="11"/>
        <v>-2397474100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747</v>
      </c>
      <c r="H95" s="36">
        <f t="shared" si="8"/>
        <v>0</v>
      </c>
      <c r="I95" s="11">
        <f t="shared" si="9"/>
        <v>-893857212</v>
      </c>
      <c r="J95" s="53">
        <f t="shared" si="10"/>
        <v>0</v>
      </c>
      <c r="K95" s="53">
        <f t="shared" si="11"/>
        <v>-893857212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737</v>
      </c>
      <c r="H96" s="36">
        <f t="shared" si="8"/>
        <v>0</v>
      </c>
      <c r="I96" s="11">
        <f t="shared" si="9"/>
        <v>-147400000</v>
      </c>
      <c r="J96" s="53">
        <f t="shared" si="10"/>
        <v>0</v>
      </c>
      <c r="K96" s="53">
        <f t="shared" si="11"/>
        <v>-147400000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736</v>
      </c>
      <c r="H97" s="36">
        <f t="shared" si="8"/>
        <v>1</v>
      </c>
      <c r="I97" s="11">
        <f t="shared" si="9"/>
        <v>117275130</v>
      </c>
      <c r="J97" s="53">
        <f t="shared" si="10"/>
        <v>50660610</v>
      </c>
      <c r="K97" s="53">
        <f t="shared" si="11"/>
        <v>66614520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731</v>
      </c>
      <c r="H98" s="36">
        <f t="shared" si="8"/>
        <v>1</v>
      </c>
      <c r="I98" s="11">
        <f t="shared" si="9"/>
        <v>83488640</v>
      </c>
      <c r="J98" s="53">
        <f t="shared" si="10"/>
        <v>0</v>
      </c>
      <c r="K98" s="53">
        <f t="shared" si="11"/>
        <v>83488640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728</v>
      </c>
      <c r="H99" s="36">
        <f t="shared" si="8"/>
        <v>0</v>
      </c>
      <c r="I99" s="11">
        <f t="shared" si="9"/>
        <v>-964600000</v>
      </c>
      <c r="J99" s="53">
        <f t="shared" si="10"/>
        <v>0</v>
      </c>
      <c r="K99" s="53">
        <f t="shared" si="11"/>
        <v>-964600000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723</v>
      </c>
      <c r="H100" s="36">
        <f t="shared" si="8"/>
        <v>1</v>
      </c>
      <c r="I100" s="11">
        <f t="shared" si="9"/>
        <v>956650000</v>
      </c>
      <c r="J100" s="53">
        <f t="shared" si="10"/>
        <v>0</v>
      </c>
      <c r="K100" s="53">
        <f t="shared" si="11"/>
        <v>956650000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706</v>
      </c>
      <c r="H101" s="36">
        <f t="shared" si="8"/>
        <v>1</v>
      </c>
      <c r="I101" s="11">
        <f t="shared" si="9"/>
        <v>47125725</v>
      </c>
      <c r="J101" s="53">
        <f t="shared" si="10"/>
        <v>47125725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703</v>
      </c>
      <c r="H102" s="36">
        <f t="shared" si="8"/>
        <v>1</v>
      </c>
      <c r="I102" s="11">
        <f t="shared" si="9"/>
        <v>2106000000</v>
      </c>
      <c r="J102" s="53">
        <f t="shared" si="10"/>
        <v>0</v>
      </c>
      <c r="K102" s="53">
        <f t="shared" si="11"/>
        <v>2106000000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696</v>
      </c>
      <c r="H103" s="36">
        <f t="shared" si="8"/>
        <v>0</v>
      </c>
      <c r="I103" s="11">
        <f t="shared" si="9"/>
        <v>-696000000</v>
      </c>
      <c r="J103" s="53">
        <f t="shared" si="10"/>
        <v>-696000000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686</v>
      </c>
      <c r="H104" s="36">
        <f t="shared" si="8"/>
        <v>1</v>
      </c>
      <c r="I104" s="11">
        <f t="shared" si="9"/>
        <v>2055000000</v>
      </c>
      <c r="J104" s="53">
        <f t="shared" si="10"/>
        <v>2055000000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685</v>
      </c>
      <c r="H105" s="36">
        <f t="shared" si="8"/>
        <v>1</v>
      </c>
      <c r="I105" s="11">
        <f t="shared" si="9"/>
        <v>766080000</v>
      </c>
      <c r="J105" s="53">
        <f t="shared" si="10"/>
        <v>766080000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685</v>
      </c>
      <c r="H106" s="36">
        <f t="shared" si="8"/>
        <v>0</v>
      </c>
      <c r="I106" s="11">
        <f t="shared" si="9"/>
        <v>-2055000000</v>
      </c>
      <c r="J106" s="53">
        <f t="shared" si="10"/>
        <v>0</v>
      </c>
      <c r="K106" s="53">
        <f t="shared" si="11"/>
        <v>-2055000000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676</v>
      </c>
      <c r="H107" s="36">
        <f t="shared" si="8"/>
        <v>1</v>
      </c>
      <c r="I107" s="11">
        <f t="shared" si="9"/>
        <v>61083450</v>
      </c>
      <c r="J107" s="53">
        <f t="shared" si="10"/>
        <v>50702625</v>
      </c>
      <c r="K107" s="53">
        <f t="shared" si="11"/>
        <v>10380825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674</v>
      </c>
      <c r="H108" s="36">
        <f t="shared" si="8"/>
        <v>0</v>
      </c>
      <c r="I108" s="11">
        <f t="shared" si="9"/>
        <v>-1146271800</v>
      </c>
      <c r="J108" s="53">
        <f t="shared" si="10"/>
        <v>0</v>
      </c>
      <c r="K108" s="53">
        <f t="shared" si="11"/>
        <v>-1146271800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670</v>
      </c>
      <c r="H109" s="36">
        <f t="shared" si="8"/>
        <v>0</v>
      </c>
      <c r="I109" s="11">
        <f t="shared" si="9"/>
        <v>-670335000</v>
      </c>
      <c r="J109" s="53">
        <f t="shared" si="10"/>
        <v>0</v>
      </c>
      <c r="K109" s="53">
        <f t="shared" si="11"/>
        <v>-670335000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667</v>
      </c>
      <c r="H110" s="36">
        <f t="shared" si="8"/>
        <v>1</v>
      </c>
      <c r="I110" s="11">
        <f t="shared" si="9"/>
        <v>13320000000</v>
      </c>
      <c r="J110" s="53">
        <f t="shared" si="10"/>
        <v>0</v>
      </c>
      <c r="K110" s="53">
        <f t="shared" si="11"/>
        <v>13320000000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647</v>
      </c>
      <c r="H111" s="36">
        <f t="shared" si="8"/>
        <v>1</v>
      </c>
      <c r="I111" s="11">
        <f t="shared" si="9"/>
        <v>112841988</v>
      </c>
      <c r="J111" s="53">
        <f t="shared" si="10"/>
        <v>56436498</v>
      </c>
      <c r="K111" s="53">
        <f t="shared" si="11"/>
        <v>56405490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631</v>
      </c>
      <c r="H112" s="36">
        <f t="shared" si="8"/>
        <v>0</v>
      </c>
      <c r="I112" s="11">
        <f t="shared" si="9"/>
        <v>-17920400000</v>
      </c>
      <c r="J112" s="53">
        <f t="shared" si="10"/>
        <v>0</v>
      </c>
      <c r="K112" s="53">
        <f t="shared" si="11"/>
        <v>-17920400000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616</v>
      </c>
      <c r="H113" s="36">
        <f t="shared" si="8"/>
        <v>1</v>
      </c>
      <c r="I113" s="11">
        <f t="shared" si="9"/>
        <v>100269600</v>
      </c>
      <c r="J113" s="53">
        <f t="shared" si="10"/>
        <v>75344265</v>
      </c>
      <c r="K113" s="53">
        <f t="shared" si="11"/>
        <v>24925335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616</v>
      </c>
      <c r="H114" s="36">
        <f t="shared" si="8"/>
        <v>0</v>
      </c>
      <c r="I114" s="11">
        <f t="shared" si="9"/>
        <v>-3511200</v>
      </c>
      <c r="J114" s="53">
        <f t="shared" si="10"/>
        <v>-1540000</v>
      </c>
      <c r="K114" s="53">
        <f t="shared" si="11"/>
        <v>-1971200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603</v>
      </c>
      <c r="H115" s="36">
        <f t="shared" si="8"/>
        <v>0</v>
      </c>
      <c r="I115" s="11">
        <f t="shared" si="9"/>
        <v>0</v>
      </c>
      <c r="J115" s="53">
        <f t="shared" si="10"/>
        <v>301500000</v>
      </c>
      <c r="K115" s="53">
        <f t="shared" si="11"/>
        <v>-301500000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595</v>
      </c>
      <c r="H116" s="36">
        <f t="shared" si="8"/>
        <v>0</v>
      </c>
      <c r="I116" s="11">
        <f t="shared" si="9"/>
        <v>-95200000</v>
      </c>
      <c r="J116" s="53">
        <f t="shared" si="10"/>
        <v>0</v>
      </c>
      <c r="K116" s="53">
        <f t="shared" si="11"/>
        <v>-95200000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586</v>
      </c>
      <c r="H117" s="36">
        <f t="shared" si="8"/>
        <v>1</v>
      </c>
      <c r="I117" s="11">
        <f t="shared" si="9"/>
        <v>865800</v>
      </c>
      <c r="J117" s="53">
        <f t="shared" si="10"/>
        <v>62560485</v>
      </c>
      <c r="K117" s="53">
        <f t="shared" si="11"/>
        <v>-61694685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564</v>
      </c>
      <c r="H118" s="36">
        <f t="shared" si="8"/>
        <v>1</v>
      </c>
      <c r="I118" s="11">
        <f t="shared" si="9"/>
        <v>22181918500</v>
      </c>
      <c r="J118" s="53">
        <f t="shared" si="10"/>
        <v>0</v>
      </c>
      <c r="K118" s="53">
        <f t="shared" si="11"/>
        <v>22181918500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555</v>
      </c>
      <c r="H119" s="36">
        <f t="shared" si="8"/>
        <v>1</v>
      </c>
      <c r="I119" s="11">
        <f t="shared" si="9"/>
        <v>52918634</v>
      </c>
      <c r="J119" s="53">
        <f t="shared" si="10"/>
        <v>60969916</v>
      </c>
      <c r="K119" s="53">
        <f t="shared" si="11"/>
        <v>-8051282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551</v>
      </c>
      <c r="H120" s="11">
        <f t="shared" si="8"/>
        <v>1</v>
      </c>
      <c r="I120" s="11">
        <f t="shared" ref="I120:I285" si="13">B120*(G120-H120)</f>
        <v>1100000000</v>
      </c>
      <c r="J120" s="11">
        <f t="shared" si="10"/>
        <v>0</v>
      </c>
      <c r="K120" s="11">
        <f t="shared" si="11"/>
        <v>1100000000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525</v>
      </c>
      <c r="H121" s="11">
        <f t="shared" si="8"/>
        <v>1</v>
      </c>
      <c r="I121" s="11">
        <f t="shared" si="13"/>
        <v>1362400000</v>
      </c>
      <c r="J121" s="11">
        <f t="shared" si="10"/>
        <v>0</v>
      </c>
      <c r="K121" s="11">
        <f t="shared" si="11"/>
        <v>1362400000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524</v>
      </c>
      <c r="H122" s="11">
        <f t="shared" si="8"/>
        <v>1</v>
      </c>
      <c r="I122" s="11">
        <f t="shared" si="13"/>
        <v>201120173</v>
      </c>
      <c r="J122" s="11">
        <f t="shared" si="10"/>
        <v>58004884</v>
      </c>
      <c r="K122" s="11">
        <f t="shared" si="11"/>
        <v>143115289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523</v>
      </c>
      <c r="H123" s="11">
        <f t="shared" si="8"/>
        <v>0</v>
      </c>
      <c r="I123" s="11">
        <f t="shared" si="13"/>
        <v>0</v>
      </c>
      <c r="J123" s="11">
        <f t="shared" si="10"/>
        <v>418400000</v>
      </c>
      <c r="K123" s="11">
        <f t="shared" si="11"/>
        <v>-418400000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509</v>
      </c>
      <c r="H124" s="11">
        <f t="shared" si="8"/>
        <v>0</v>
      </c>
      <c r="I124" s="11">
        <f t="shared" si="13"/>
        <v>-1527000000</v>
      </c>
      <c r="J124" s="11">
        <f t="shared" si="10"/>
        <v>0</v>
      </c>
      <c r="K124" s="11">
        <f t="shared" si="11"/>
        <v>-1527000000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494</v>
      </c>
      <c r="H125" s="11">
        <f t="shared" si="8"/>
        <v>1</v>
      </c>
      <c r="I125" s="11">
        <f t="shared" si="13"/>
        <v>197550030</v>
      </c>
      <c r="J125" s="11">
        <f t="shared" si="10"/>
        <v>58605375</v>
      </c>
      <c r="K125" s="11">
        <f t="shared" si="11"/>
        <v>138944655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494</v>
      </c>
      <c r="H126" s="11">
        <f t="shared" si="8"/>
        <v>1</v>
      </c>
      <c r="I126" s="11">
        <f t="shared" si="13"/>
        <v>20706000000</v>
      </c>
      <c r="J126" s="11">
        <f t="shared" si="10"/>
        <v>0</v>
      </c>
      <c r="K126" s="11">
        <f t="shared" si="11"/>
        <v>20706000000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469</v>
      </c>
      <c r="H127" s="11">
        <f t="shared" si="8"/>
        <v>0</v>
      </c>
      <c r="I127" s="11">
        <f t="shared" si="13"/>
        <v>-2345000</v>
      </c>
      <c r="J127" s="11">
        <f t="shared" si="10"/>
        <v>0</v>
      </c>
      <c r="K127" s="11">
        <f t="shared" si="11"/>
        <v>-2345000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463</v>
      </c>
      <c r="H128" s="11">
        <f t="shared" si="8"/>
        <v>1</v>
      </c>
      <c r="I128" s="11">
        <f t="shared" si="13"/>
        <v>356374788</v>
      </c>
      <c r="J128" s="11">
        <f t="shared" si="10"/>
        <v>55762014</v>
      </c>
      <c r="K128" s="11">
        <f t="shared" si="11"/>
        <v>300612774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460</v>
      </c>
      <c r="H129" s="11">
        <f t="shared" si="8"/>
        <v>1</v>
      </c>
      <c r="I129" s="11">
        <f t="shared" si="13"/>
        <v>1147500000</v>
      </c>
      <c r="J129" s="11">
        <f t="shared" si="10"/>
        <v>0</v>
      </c>
      <c r="K129" s="11">
        <f t="shared" si="11"/>
        <v>1147500000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446</v>
      </c>
      <c r="H130" s="11">
        <f t="shared" si="8"/>
        <v>0</v>
      </c>
      <c r="I130" s="11">
        <f t="shared" si="13"/>
        <v>-446000000</v>
      </c>
      <c r="J130" s="11">
        <f t="shared" si="10"/>
        <v>-446000000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441</v>
      </c>
      <c r="H131" s="11">
        <f t="shared" si="8"/>
        <v>0</v>
      </c>
      <c r="I131" s="11">
        <f t="shared" si="13"/>
        <v>-22050000000</v>
      </c>
      <c r="J131" s="11">
        <f t="shared" si="10"/>
        <v>0</v>
      </c>
      <c r="K131" s="11">
        <f t="shared" si="11"/>
        <v>-22050000000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433</v>
      </c>
      <c r="H132" s="11">
        <f t="shared" ref="H132:H285" si="15">IF(B132&gt;0,1,0)</f>
        <v>1</v>
      </c>
      <c r="I132" s="11">
        <f t="shared" si="13"/>
        <v>265371984</v>
      </c>
      <c r="J132" s="11">
        <f t="shared" ref="J132:J206" si="16">C132*(G132-H132)</f>
        <v>45779472</v>
      </c>
      <c r="K132" s="11">
        <f t="shared" ref="K132:K285" si="17">D132*(G132-H132)</f>
        <v>219592512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429</v>
      </c>
      <c r="H133" s="11">
        <f t="shared" si="15"/>
        <v>0</v>
      </c>
      <c r="I133" s="11">
        <f t="shared" si="13"/>
        <v>-519390300</v>
      </c>
      <c r="J133" s="11">
        <f t="shared" si="16"/>
        <v>0</v>
      </c>
      <c r="K133" s="11">
        <f t="shared" si="17"/>
        <v>-519390300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420</v>
      </c>
      <c r="H134" s="11">
        <f t="shared" si="15"/>
        <v>0</v>
      </c>
      <c r="I134" s="11">
        <f t="shared" si="13"/>
        <v>-27300000</v>
      </c>
      <c r="J134" s="11">
        <f t="shared" si="16"/>
        <v>0</v>
      </c>
      <c r="K134" s="11">
        <f t="shared" si="17"/>
        <v>-27300000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420</v>
      </c>
      <c r="H135" s="11">
        <f t="shared" si="15"/>
        <v>0</v>
      </c>
      <c r="I135" s="11">
        <f t="shared" si="13"/>
        <v>-13566000</v>
      </c>
      <c r="J135" s="11">
        <f t="shared" si="16"/>
        <v>0</v>
      </c>
      <c r="K135" s="11">
        <f t="shared" si="17"/>
        <v>-13566000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412</v>
      </c>
      <c r="H136" s="11">
        <f t="shared" si="15"/>
        <v>0</v>
      </c>
      <c r="I136" s="11">
        <f t="shared" si="13"/>
        <v>-412000000</v>
      </c>
      <c r="J136" s="11">
        <f t="shared" si="16"/>
        <v>-412000000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403</v>
      </c>
      <c r="H137" s="11">
        <f t="shared" si="15"/>
        <v>1</v>
      </c>
      <c r="I137" s="11">
        <f t="shared" si="13"/>
        <v>116930946</v>
      </c>
      <c r="J137" s="11">
        <f t="shared" si="16"/>
        <v>39138318</v>
      </c>
      <c r="K137" s="11">
        <f t="shared" si="17"/>
        <v>77792628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386</v>
      </c>
      <c r="H138" s="11">
        <f t="shared" si="15"/>
        <v>0</v>
      </c>
      <c r="I138" s="11">
        <f t="shared" si="13"/>
        <v>-386193000</v>
      </c>
      <c r="J138" s="11">
        <f t="shared" si="16"/>
        <v>-386193000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374</v>
      </c>
      <c r="H139" s="11">
        <f t="shared" si="15"/>
        <v>1</v>
      </c>
      <c r="I139" s="11">
        <f t="shared" si="13"/>
        <v>105275520</v>
      </c>
      <c r="J139" s="11">
        <f t="shared" si="16"/>
        <v>33125011</v>
      </c>
      <c r="K139" s="11">
        <f t="shared" si="17"/>
        <v>72150509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371</v>
      </c>
      <c r="H140" s="11">
        <f t="shared" si="15"/>
        <v>1</v>
      </c>
      <c r="I140" s="11">
        <f t="shared" si="13"/>
        <v>555000000</v>
      </c>
      <c r="J140" s="11">
        <f t="shared" si="16"/>
        <v>0</v>
      </c>
      <c r="K140" s="11">
        <f t="shared" si="17"/>
        <v>555000000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358</v>
      </c>
      <c r="H141" s="11">
        <f t="shared" si="15"/>
        <v>0</v>
      </c>
      <c r="I141" s="11">
        <f t="shared" si="13"/>
        <v>0</v>
      </c>
      <c r="J141" s="11">
        <f t="shared" si="16"/>
        <v>-358000000</v>
      </c>
      <c r="K141" s="11">
        <f t="shared" si="17"/>
        <v>358000000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344</v>
      </c>
      <c r="H142" s="11">
        <f t="shared" si="15"/>
        <v>1</v>
      </c>
      <c r="I142" s="11">
        <f t="shared" si="13"/>
        <v>99776299</v>
      </c>
      <c r="J142" s="11">
        <f t="shared" si="16"/>
        <v>27790546</v>
      </c>
      <c r="K142" s="11">
        <f t="shared" si="17"/>
        <v>71985753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324</v>
      </c>
      <c r="H143" s="11">
        <f t="shared" si="15"/>
        <v>0</v>
      </c>
      <c r="I143" s="11">
        <f t="shared" si="13"/>
        <v>0</v>
      </c>
      <c r="J143" s="11">
        <f t="shared" si="16"/>
        <v>-324000000</v>
      </c>
      <c r="K143" s="11">
        <f t="shared" si="17"/>
        <v>324000000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314</v>
      </c>
      <c r="H144" s="11">
        <f t="shared" si="15"/>
        <v>1</v>
      </c>
      <c r="I144" s="11">
        <f t="shared" si="13"/>
        <v>92288676</v>
      </c>
      <c r="J144" s="11">
        <f t="shared" si="16"/>
        <v>23367641</v>
      </c>
      <c r="K144" s="11">
        <f t="shared" si="17"/>
        <v>68921035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299</v>
      </c>
      <c r="H145" s="11">
        <f t="shared" si="15"/>
        <v>0</v>
      </c>
      <c r="I145" s="11">
        <f t="shared" si="13"/>
        <v>-2990000</v>
      </c>
      <c r="J145" s="11">
        <f t="shared" si="16"/>
        <v>-1495000</v>
      </c>
      <c r="K145" s="11">
        <f t="shared" si="17"/>
        <v>-1495000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294</v>
      </c>
      <c r="H146" s="11">
        <f t="shared" si="15"/>
        <v>0</v>
      </c>
      <c r="I146" s="11">
        <f t="shared" si="13"/>
        <v>-294147000</v>
      </c>
      <c r="J146" s="11">
        <f t="shared" si="16"/>
        <v>-294147000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288</v>
      </c>
      <c r="H147" s="11">
        <f t="shared" si="15"/>
        <v>0</v>
      </c>
      <c r="I147" s="11">
        <f t="shared" si="13"/>
        <v>-7776000000</v>
      </c>
      <c r="J147" s="11">
        <f t="shared" si="16"/>
        <v>0</v>
      </c>
      <c r="K147" s="11">
        <f t="shared" si="17"/>
        <v>-7776000000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285</v>
      </c>
      <c r="H148" s="11">
        <f t="shared" si="15"/>
        <v>1</v>
      </c>
      <c r="I148" s="11">
        <f t="shared" si="13"/>
        <v>71691824</v>
      </c>
      <c r="J148" s="11">
        <f t="shared" si="16"/>
        <v>18604840</v>
      </c>
      <c r="K148" s="11">
        <f t="shared" si="17"/>
        <v>53086984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277</v>
      </c>
      <c r="H149" s="11">
        <f t="shared" si="15"/>
        <v>1</v>
      </c>
      <c r="I149" s="11">
        <f t="shared" si="13"/>
        <v>14462400000</v>
      </c>
      <c r="J149" s="11">
        <f t="shared" si="16"/>
        <v>0</v>
      </c>
      <c r="K149" s="11">
        <f t="shared" si="17"/>
        <v>14462400000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270</v>
      </c>
      <c r="H150" s="11">
        <f t="shared" si="15"/>
        <v>0</v>
      </c>
      <c r="I150" s="11">
        <f t="shared" si="13"/>
        <v>-14040000000</v>
      </c>
      <c r="J150" s="11">
        <f t="shared" si="16"/>
        <v>0</v>
      </c>
      <c r="K150" s="11">
        <f t="shared" si="17"/>
        <v>-14040000000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265</v>
      </c>
      <c r="H151" s="99">
        <f t="shared" si="15"/>
        <v>0</v>
      </c>
      <c r="I151" s="99">
        <f t="shared" si="13"/>
        <v>-2120000000</v>
      </c>
      <c r="J151" s="99">
        <f t="shared" si="16"/>
        <v>-1794614715</v>
      </c>
      <c r="K151" s="11">
        <f t="shared" si="17"/>
        <v>-325385285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265</v>
      </c>
      <c r="H152" s="99">
        <f t="shared" si="15"/>
        <v>0</v>
      </c>
      <c r="I152" s="99">
        <f t="shared" si="13"/>
        <v>-8275950</v>
      </c>
      <c r="J152" s="99">
        <f t="shared" si="16"/>
        <v>0</v>
      </c>
      <c r="K152" s="99">
        <f t="shared" si="17"/>
        <v>-8275950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254</v>
      </c>
      <c r="H153" s="99">
        <f t="shared" si="15"/>
        <v>1</v>
      </c>
      <c r="I153" s="99">
        <f t="shared" si="13"/>
        <v>34177011</v>
      </c>
      <c r="J153" s="99">
        <f t="shared" si="16"/>
        <v>10405890</v>
      </c>
      <c r="K153" s="99">
        <f t="shared" si="17"/>
        <v>23771121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251</v>
      </c>
      <c r="H154" s="99">
        <f t="shared" si="15"/>
        <v>1</v>
      </c>
      <c r="I154" s="99">
        <f t="shared" si="13"/>
        <v>1706020500</v>
      </c>
      <c r="J154" s="99">
        <f t="shared" si="16"/>
        <v>1706020500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246</v>
      </c>
      <c r="H155" s="99">
        <f t="shared" si="15"/>
        <v>0</v>
      </c>
      <c r="I155" s="99">
        <f t="shared" si="13"/>
        <v>-49200000</v>
      </c>
      <c r="J155" s="99">
        <f t="shared" si="16"/>
        <v>0</v>
      </c>
      <c r="K155" s="99">
        <f t="shared" si="17"/>
        <v>-49200000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246</v>
      </c>
      <c r="H156" s="99">
        <f t="shared" si="15"/>
        <v>0</v>
      </c>
      <c r="I156" s="99">
        <f t="shared" si="13"/>
        <v>-60968640</v>
      </c>
      <c r="J156" s="99">
        <f t="shared" si="16"/>
        <v>0</v>
      </c>
      <c r="K156" s="99">
        <f t="shared" si="17"/>
        <v>-60968640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245</v>
      </c>
      <c r="H157" s="99">
        <f t="shared" si="15"/>
        <v>0</v>
      </c>
      <c r="I157" s="99">
        <f t="shared" si="13"/>
        <v>-39773300</v>
      </c>
      <c r="J157" s="99">
        <f t="shared" si="16"/>
        <v>0</v>
      </c>
      <c r="K157" s="99">
        <f t="shared" si="17"/>
        <v>-39773300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245</v>
      </c>
      <c r="H158" s="99">
        <f t="shared" si="15"/>
        <v>0</v>
      </c>
      <c r="I158" s="99">
        <f t="shared" si="13"/>
        <v>-735220500</v>
      </c>
      <c r="J158" s="99">
        <f t="shared" si="16"/>
        <v>0</v>
      </c>
      <c r="K158" s="99">
        <f t="shared" si="17"/>
        <v>-735220500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243</v>
      </c>
      <c r="H159" s="99">
        <f t="shared" si="15"/>
        <v>0</v>
      </c>
      <c r="I159" s="99">
        <f t="shared" si="13"/>
        <v>-243121500</v>
      </c>
      <c r="J159" s="99">
        <f t="shared" si="16"/>
        <v>0</v>
      </c>
      <c r="K159" s="99">
        <f t="shared" si="17"/>
        <v>-243121500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239</v>
      </c>
      <c r="H160" s="99">
        <f t="shared" si="15"/>
        <v>0</v>
      </c>
      <c r="I160" s="99">
        <f t="shared" si="13"/>
        <v>-23900000</v>
      </c>
      <c r="J160" s="99">
        <f t="shared" si="16"/>
        <v>0</v>
      </c>
      <c r="K160" s="99">
        <f t="shared" si="17"/>
        <v>-23900000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238</v>
      </c>
      <c r="H161" s="99">
        <f t="shared" si="15"/>
        <v>0</v>
      </c>
      <c r="I161" s="99">
        <f t="shared" si="13"/>
        <v>-476000000</v>
      </c>
      <c r="J161" s="99">
        <f t="shared" si="16"/>
        <v>0</v>
      </c>
      <c r="K161" s="99">
        <f t="shared" si="17"/>
        <v>-476000000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238</v>
      </c>
      <c r="H162" s="99">
        <f t="shared" si="15"/>
        <v>0</v>
      </c>
      <c r="I162" s="99">
        <f t="shared" si="13"/>
        <v>-238119000</v>
      </c>
      <c r="J162" s="99">
        <f t="shared" si="16"/>
        <v>0</v>
      </c>
      <c r="K162" s="99">
        <f t="shared" si="17"/>
        <v>-238119000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235</v>
      </c>
      <c r="H163" s="99">
        <f t="shared" si="15"/>
        <v>0</v>
      </c>
      <c r="I163" s="99">
        <f t="shared" si="13"/>
        <v>-1175000</v>
      </c>
      <c r="J163" s="99">
        <f t="shared" si="16"/>
        <v>0</v>
      </c>
      <c r="K163" s="99">
        <f t="shared" si="17"/>
        <v>-1175000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225</v>
      </c>
      <c r="H164" s="99">
        <f t="shared" si="15"/>
        <v>1</v>
      </c>
      <c r="I164" s="99">
        <f t="shared" si="13"/>
        <v>672000000</v>
      </c>
      <c r="J164" s="99">
        <f t="shared" si="16"/>
        <v>0</v>
      </c>
      <c r="K164" s="99">
        <f t="shared" si="17"/>
        <v>672000000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224</v>
      </c>
      <c r="H165" s="99">
        <f t="shared" si="15"/>
        <v>1</v>
      </c>
      <c r="I165" s="99">
        <f t="shared" si="13"/>
        <v>669000000</v>
      </c>
      <c r="J165" s="99">
        <f t="shared" si="16"/>
        <v>0</v>
      </c>
      <c r="K165" s="99">
        <f t="shared" si="17"/>
        <v>669000000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223</v>
      </c>
      <c r="H166" s="99">
        <f t="shared" si="15"/>
        <v>1</v>
      </c>
      <c r="I166" s="99">
        <f t="shared" si="13"/>
        <v>4509708</v>
      </c>
      <c r="J166" s="99">
        <f t="shared" si="16"/>
        <v>13284924</v>
      </c>
      <c r="K166" s="99">
        <f t="shared" si="17"/>
        <v>-8775216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218</v>
      </c>
      <c r="H167" s="99">
        <f t="shared" si="15"/>
        <v>0</v>
      </c>
      <c r="I167" s="99">
        <f t="shared" si="13"/>
        <v>-654196200</v>
      </c>
      <c r="J167" s="99">
        <f t="shared" si="16"/>
        <v>0</v>
      </c>
      <c r="K167" s="99">
        <f t="shared" si="17"/>
        <v>-654196200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200</v>
      </c>
      <c r="H168" s="99">
        <f t="shared" si="15"/>
        <v>0</v>
      </c>
      <c r="I168" s="99">
        <f t="shared" si="13"/>
        <v>-600180000</v>
      </c>
      <c r="J168" s="99">
        <f t="shared" si="16"/>
        <v>0</v>
      </c>
      <c r="K168" s="99">
        <f t="shared" si="17"/>
        <v>-600180000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192</v>
      </c>
      <c r="H169" s="99">
        <f t="shared" si="15"/>
        <v>1</v>
      </c>
      <c r="I169" s="99">
        <f t="shared" si="13"/>
        <v>4145655</v>
      </c>
      <c r="J169" s="99">
        <f t="shared" si="16"/>
        <v>13086365</v>
      </c>
      <c r="K169" s="99">
        <f t="shared" si="17"/>
        <v>-8940710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168</v>
      </c>
      <c r="H170" s="99">
        <f t="shared" si="15"/>
        <v>1</v>
      </c>
      <c r="I170" s="99">
        <f t="shared" si="13"/>
        <v>835000000</v>
      </c>
      <c r="J170" s="99">
        <f t="shared" si="16"/>
        <v>0</v>
      </c>
      <c r="K170" s="99">
        <f t="shared" si="17"/>
        <v>835000000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167</v>
      </c>
      <c r="H171" s="99">
        <f t="shared" si="15"/>
        <v>0</v>
      </c>
      <c r="I171" s="99">
        <f t="shared" si="13"/>
        <v>-835000000</v>
      </c>
      <c r="J171" s="99">
        <f t="shared" si="16"/>
        <v>0</v>
      </c>
      <c r="K171" s="99">
        <f t="shared" si="17"/>
        <v>-835000000</v>
      </c>
    </row>
    <row r="172" spans="1:13">
      <c r="A172" s="99" t="s">
        <v>3956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161</v>
      </c>
      <c r="H172" s="99">
        <f t="shared" si="15"/>
        <v>1</v>
      </c>
      <c r="I172" s="99">
        <f t="shared" si="13"/>
        <v>79360</v>
      </c>
      <c r="J172" s="99">
        <f t="shared" si="16"/>
        <v>10028960</v>
      </c>
      <c r="K172" s="99">
        <f t="shared" si="17"/>
        <v>-9949600</v>
      </c>
    </row>
    <row r="173" spans="1:13">
      <c r="A173" s="99" t="s">
        <v>3981</v>
      </c>
      <c r="B173" s="18">
        <v>785000</v>
      </c>
      <c r="C173" s="18">
        <v>0</v>
      </c>
      <c r="D173" s="18">
        <f t="shared" si="18"/>
        <v>785000</v>
      </c>
      <c r="E173" s="99" t="s">
        <v>3982</v>
      </c>
      <c r="F173" s="99">
        <v>11</v>
      </c>
      <c r="G173" s="36">
        <f t="shared" si="14"/>
        <v>160</v>
      </c>
      <c r="H173" s="99">
        <f t="shared" si="15"/>
        <v>1</v>
      </c>
      <c r="I173" s="99">
        <f t="shared" si="13"/>
        <v>124815000</v>
      </c>
      <c r="J173" s="99">
        <f t="shared" si="16"/>
        <v>0</v>
      </c>
      <c r="K173" s="99">
        <f t="shared" si="17"/>
        <v>124815000</v>
      </c>
    </row>
    <row r="174" spans="1:13">
      <c r="A174" s="11" t="s">
        <v>3981</v>
      </c>
      <c r="B174" s="18">
        <v>-32000</v>
      </c>
      <c r="C174" s="18">
        <v>0</v>
      </c>
      <c r="D174" s="18">
        <f t="shared" si="18"/>
        <v>-32000</v>
      </c>
      <c r="E174" s="11" t="s">
        <v>3964</v>
      </c>
      <c r="F174" s="11">
        <v>2</v>
      </c>
      <c r="G174" s="36">
        <f t="shared" si="14"/>
        <v>149</v>
      </c>
      <c r="H174" s="99">
        <f t="shared" si="15"/>
        <v>0</v>
      </c>
      <c r="I174" s="99">
        <f t="shared" si="13"/>
        <v>-4768000</v>
      </c>
      <c r="J174" s="99">
        <f t="shared" si="16"/>
        <v>0</v>
      </c>
      <c r="K174" s="99">
        <f t="shared" si="17"/>
        <v>-4768000</v>
      </c>
    </row>
    <row r="175" spans="1:13">
      <c r="A175" s="99" t="s">
        <v>3983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147</v>
      </c>
      <c r="H175" s="99">
        <f t="shared" si="15"/>
        <v>0</v>
      </c>
      <c r="I175" s="99">
        <f t="shared" si="13"/>
        <v>-110250000</v>
      </c>
      <c r="J175" s="99">
        <f t="shared" si="16"/>
        <v>0</v>
      </c>
      <c r="K175" s="99">
        <f t="shared" si="17"/>
        <v>-110250000</v>
      </c>
    </row>
    <row r="176" spans="1:13">
      <c r="A176" s="99" t="s">
        <v>4015</v>
      </c>
      <c r="B176" s="18">
        <v>-9396</v>
      </c>
      <c r="C176" s="18">
        <v>0</v>
      </c>
      <c r="D176" s="18">
        <f t="shared" si="18"/>
        <v>-9396</v>
      </c>
      <c r="E176" s="99" t="s">
        <v>4016</v>
      </c>
      <c r="F176" s="99">
        <v>1</v>
      </c>
      <c r="G176" s="36">
        <f t="shared" si="14"/>
        <v>138</v>
      </c>
      <c r="H176" s="99">
        <f t="shared" si="15"/>
        <v>0</v>
      </c>
      <c r="I176" s="99">
        <f t="shared" si="13"/>
        <v>-1296648</v>
      </c>
      <c r="J176" s="99">
        <f t="shared" si="16"/>
        <v>0</v>
      </c>
      <c r="K176" s="99">
        <f t="shared" si="17"/>
        <v>-1296648</v>
      </c>
    </row>
    <row r="177" spans="1:14">
      <c r="A177" s="99" t="s">
        <v>4019</v>
      </c>
      <c r="B177" s="18">
        <v>-43300</v>
      </c>
      <c r="C177" s="18">
        <v>0</v>
      </c>
      <c r="D177" s="18">
        <f t="shared" si="18"/>
        <v>-43300</v>
      </c>
      <c r="E177" s="99" t="s">
        <v>4021</v>
      </c>
      <c r="F177" s="99">
        <v>3</v>
      </c>
      <c r="G177" s="36">
        <f t="shared" si="14"/>
        <v>137</v>
      </c>
      <c r="H177" s="99">
        <f t="shared" si="15"/>
        <v>0</v>
      </c>
      <c r="I177" s="99">
        <f t="shared" si="13"/>
        <v>-5932100</v>
      </c>
      <c r="J177" s="99">
        <f t="shared" si="16"/>
        <v>0</v>
      </c>
      <c r="K177" s="99">
        <f t="shared" si="17"/>
        <v>-5932100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4032</v>
      </c>
      <c r="F178" s="99">
        <v>2</v>
      </c>
      <c r="G178" s="36">
        <f t="shared" si="14"/>
        <v>134</v>
      </c>
      <c r="H178" s="99">
        <f t="shared" si="15"/>
        <v>1</v>
      </c>
      <c r="I178" s="99">
        <f t="shared" si="13"/>
        <v>47880000</v>
      </c>
      <c r="J178" s="99">
        <f t="shared" si="16"/>
        <v>0</v>
      </c>
      <c r="K178" s="99">
        <f t="shared" si="17"/>
        <v>47880000</v>
      </c>
    </row>
    <row r="179" spans="1:14">
      <c r="A179" s="99" t="s">
        <v>4034</v>
      </c>
      <c r="B179" s="18">
        <v>3000000</v>
      </c>
      <c r="C179" s="18">
        <v>0</v>
      </c>
      <c r="D179" s="18">
        <f t="shared" si="18"/>
        <v>3000000</v>
      </c>
      <c r="E179" s="99" t="s">
        <v>4035</v>
      </c>
      <c r="F179" s="99">
        <v>0</v>
      </c>
      <c r="G179" s="36">
        <f t="shared" si="14"/>
        <v>132</v>
      </c>
      <c r="H179" s="99">
        <f t="shared" si="15"/>
        <v>1</v>
      </c>
      <c r="I179" s="99">
        <f t="shared" si="13"/>
        <v>393000000</v>
      </c>
      <c r="J179" s="99">
        <f t="shared" si="16"/>
        <v>0</v>
      </c>
      <c r="K179" s="99">
        <f t="shared" si="17"/>
        <v>393000000</v>
      </c>
    </row>
    <row r="180" spans="1:14">
      <c r="A180" s="99" t="s">
        <v>4034</v>
      </c>
      <c r="B180" s="18">
        <v>-12050</v>
      </c>
      <c r="C180" s="18">
        <v>0</v>
      </c>
      <c r="D180" s="18">
        <f t="shared" si="18"/>
        <v>-12050</v>
      </c>
      <c r="E180" s="99" t="s">
        <v>4016</v>
      </c>
      <c r="F180" s="99">
        <v>2</v>
      </c>
      <c r="G180" s="36">
        <f t="shared" si="14"/>
        <v>132</v>
      </c>
      <c r="H180" s="99">
        <f t="shared" si="15"/>
        <v>0</v>
      </c>
      <c r="I180" s="99">
        <f t="shared" si="13"/>
        <v>-1590600</v>
      </c>
      <c r="J180" s="99">
        <f t="shared" si="16"/>
        <v>0</v>
      </c>
      <c r="K180" s="99">
        <f t="shared" si="17"/>
        <v>-1590600</v>
      </c>
    </row>
    <row r="181" spans="1:14">
      <c r="A181" s="99" t="s">
        <v>4039</v>
      </c>
      <c r="B181" s="18">
        <v>3000000</v>
      </c>
      <c r="C181" s="18">
        <v>0</v>
      </c>
      <c r="D181" s="18">
        <f t="shared" si="18"/>
        <v>3000000</v>
      </c>
      <c r="E181" s="99" t="s">
        <v>4040</v>
      </c>
      <c r="F181" s="99">
        <v>2</v>
      </c>
      <c r="G181" s="36">
        <f t="shared" si="14"/>
        <v>130</v>
      </c>
      <c r="H181" s="99">
        <f t="shared" si="15"/>
        <v>1</v>
      </c>
      <c r="I181" s="99">
        <f t="shared" si="13"/>
        <v>387000000</v>
      </c>
      <c r="J181" s="99">
        <f t="shared" si="16"/>
        <v>0</v>
      </c>
      <c r="K181" s="99">
        <f t="shared" si="17"/>
        <v>387000000</v>
      </c>
    </row>
    <row r="182" spans="1:14">
      <c r="A182" s="99" t="s">
        <v>4047</v>
      </c>
      <c r="B182" s="18">
        <v>-35800</v>
      </c>
      <c r="C182" s="18">
        <v>0</v>
      </c>
      <c r="D182" s="18">
        <f t="shared" si="18"/>
        <v>-35800</v>
      </c>
      <c r="E182" s="99" t="s">
        <v>4048</v>
      </c>
      <c r="F182" s="99">
        <v>1</v>
      </c>
      <c r="G182" s="36">
        <f t="shared" si="14"/>
        <v>128</v>
      </c>
      <c r="H182" s="99">
        <f t="shared" si="15"/>
        <v>0</v>
      </c>
      <c r="I182" s="99">
        <f t="shared" si="13"/>
        <v>-4582400</v>
      </c>
      <c r="J182" s="99">
        <f t="shared" si="16"/>
        <v>0</v>
      </c>
      <c r="K182" s="99">
        <f t="shared" si="17"/>
        <v>-4582400</v>
      </c>
      <c r="N182" t="s">
        <v>25</v>
      </c>
    </row>
    <row r="183" spans="1:14">
      <c r="A183" s="99" t="s">
        <v>4046</v>
      </c>
      <c r="B183" s="18">
        <v>3600000</v>
      </c>
      <c r="C183" s="18">
        <v>0</v>
      </c>
      <c r="D183" s="18">
        <f t="shared" si="18"/>
        <v>3600000</v>
      </c>
      <c r="E183" s="99" t="s">
        <v>4049</v>
      </c>
      <c r="F183" s="99">
        <v>0</v>
      </c>
      <c r="G183" s="36">
        <f t="shared" si="14"/>
        <v>127</v>
      </c>
      <c r="H183" s="99">
        <f t="shared" si="15"/>
        <v>1</v>
      </c>
      <c r="I183" s="99">
        <f t="shared" si="13"/>
        <v>453600000</v>
      </c>
      <c r="J183" s="99">
        <f t="shared" si="16"/>
        <v>0</v>
      </c>
      <c r="K183" s="99">
        <f t="shared" si="17"/>
        <v>453600000</v>
      </c>
    </row>
    <row r="184" spans="1:14">
      <c r="A184" s="99" t="s">
        <v>4046</v>
      </c>
      <c r="B184" s="18">
        <v>-33377</v>
      </c>
      <c r="C184" s="18">
        <v>0</v>
      </c>
      <c r="D184" s="18">
        <f t="shared" si="18"/>
        <v>-33377</v>
      </c>
      <c r="E184" s="99" t="s">
        <v>4050</v>
      </c>
      <c r="F184" s="99">
        <v>3</v>
      </c>
      <c r="G184" s="36">
        <f t="shared" si="14"/>
        <v>127</v>
      </c>
      <c r="H184" s="99">
        <f t="shared" si="15"/>
        <v>0</v>
      </c>
      <c r="I184" s="99">
        <f t="shared" si="13"/>
        <v>-4238879</v>
      </c>
      <c r="J184" s="99">
        <f t="shared" si="16"/>
        <v>0</v>
      </c>
      <c r="K184" s="99">
        <f t="shared" si="17"/>
        <v>-4238879</v>
      </c>
    </row>
    <row r="185" spans="1:14">
      <c r="A185" s="99" t="s">
        <v>4069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124</v>
      </c>
      <c r="H185" s="99">
        <f t="shared" si="15"/>
        <v>0</v>
      </c>
      <c r="I185" s="99">
        <f t="shared" si="13"/>
        <v>-1215200000</v>
      </c>
      <c r="J185" s="99">
        <f t="shared" si="16"/>
        <v>0</v>
      </c>
      <c r="K185" s="99">
        <f t="shared" si="17"/>
        <v>-1215200000</v>
      </c>
    </row>
    <row r="186" spans="1:14">
      <c r="A186" s="99" t="s">
        <v>4069</v>
      </c>
      <c r="B186" s="18">
        <v>18000000</v>
      </c>
      <c r="C186" s="18">
        <v>0</v>
      </c>
      <c r="D186" s="18">
        <f t="shared" si="18"/>
        <v>18000000</v>
      </c>
      <c r="E186" s="99" t="s">
        <v>4071</v>
      </c>
      <c r="F186" s="99">
        <v>0</v>
      </c>
      <c r="G186" s="36">
        <f t="shared" si="14"/>
        <v>124</v>
      </c>
      <c r="H186" s="99">
        <f t="shared" si="15"/>
        <v>1</v>
      </c>
      <c r="I186" s="99">
        <f t="shared" si="13"/>
        <v>2214000000</v>
      </c>
      <c r="J186" s="99">
        <f t="shared" si="16"/>
        <v>0</v>
      </c>
      <c r="K186" s="99">
        <f t="shared" si="17"/>
        <v>2214000000</v>
      </c>
    </row>
    <row r="187" spans="1:14">
      <c r="A187" s="99" t="s">
        <v>4069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124</v>
      </c>
      <c r="H187" s="99">
        <f t="shared" si="15"/>
        <v>0</v>
      </c>
      <c r="I187" s="99">
        <f t="shared" si="13"/>
        <v>-1116000000</v>
      </c>
      <c r="J187" s="99">
        <f t="shared" si="16"/>
        <v>0</v>
      </c>
      <c r="K187" s="99">
        <f t="shared" si="17"/>
        <v>-1116000000</v>
      </c>
    </row>
    <row r="188" spans="1:14">
      <c r="A188" s="99" t="s">
        <v>4069</v>
      </c>
      <c r="B188" s="18">
        <v>-11600</v>
      </c>
      <c r="C188" s="18">
        <v>0</v>
      </c>
      <c r="D188" s="18">
        <f t="shared" si="18"/>
        <v>-11600</v>
      </c>
      <c r="E188" s="99" t="s">
        <v>3943</v>
      </c>
      <c r="F188" s="99">
        <v>0</v>
      </c>
      <c r="G188" s="36">
        <f t="shared" si="14"/>
        <v>124</v>
      </c>
      <c r="H188" s="99">
        <f t="shared" si="15"/>
        <v>0</v>
      </c>
      <c r="I188" s="99">
        <f t="shared" si="13"/>
        <v>-1438400</v>
      </c>
      <c r="J188" s="99">
        <f t="shared" si="16"/>
        <v>0</v>
      </c>
      <c r="K188" s="99">
        <f t="shared" si="17"/>
        <v>-1438400</v>
      </c>
    </row>
    <row r="189" spans="1:14">
      <c r="A189" s="99" t="s">
        <v>4069</v>
      </c>
      <c r="B189" s="18">
        <v>-3304327</v>
      </c>
      <c r="C189" s="18">
        <v>0</v>
      </c>
      <c r="D189" s="18">
        <f t="shared" si="18"/>
        <v>-3304327</v>
      </c>
      <c r="E189" s="99" t="s">
        <v>4072</v>
      </c>
      <c r="F189" s="99">
        <v>1</v>
      </c>
      <c r="G189" s="36">
        <f t="shared" si="14"/>
        <v>124</v>
      </c>
      <c r="H189" s="99">
        <f t="shared" si="15"/>
        <v>0</v>
      </c>
      <c r="I189" s="99">
        <f t="shared" si="13"/>
        <v>-409736548</v>
      </c>
      <c r="J189" s="99">
        <f t="shared" si="16"/>
        <v>0</v>
      </c>
      <c r="K189" s="99">
        <f t="shared" si="17"/>
        <v>-409736548</v>
      </c>
    </row>
    <row r="190" spans="1:14">
      <c r="A190" s="99" t="s">
        <v>4078</v>
      </c>
      <c r="B190" s="18">
        <v>-3000900</v>
      </c>
      <c r="C190" s="18">
        <v>0</v>
      </c>
      <c r="D190" s="18">
        <f t="shared" si="18"/>
        <v>-3000900</v>
      </c>
      <c r="E190" s="99" t="s">
        <v>4079</v>
      </c>
      <c r="F190" s="99">
        <v>1</v>
      </c>
      <c r="G190" s="36">
        <f t="shared" si="14"/>
        <v>123</v>
      </c>
      <c r="H190" s="99">
        <f t="shared" si="15"/>
        <v>0</v>
      </c>
      <c r="I190" s="99">
        <f t="shared" si="13"/>
        <v>-369110700</v>
      </c>
      <c r="J190" s="99">
        <f t="shared" si="16"/>
        <v>0</v>
      </c>
      <c r="K190" s="99">
        <f t="shared" si="17"/>
        <v>-369110700</v>
      </c>
    </row>
    <row r="191" spans="1:14">
      <c r="A191" s="99" t="s">
        <v>4083</v>
      </c>
      <c r="B191" s="18">
        <v>-2760900</v>
      </c>
      <c r="C191" s="18">
        <v>0</v>
      </c>
      <c r="D191" s="18">
        <f t="shared" si="18"/>
        <v>-2760900</v>
      </c>
      <c r="E191" s="99" t="s">
        <v>4084</v>
      </c>
      <c r="F191" s="99">
        <v>5</v>
      </c>
      <c r="G191" s="36">
        <f t="shared" si="14"/>
        <v>122</v>
      </c>
      <c r="H191" s="99">
        <f t="shared" si="15"/>
        <v>0</v>
      </c>
      <c r="I191" s="99">
        <f t="shared" si="13"/>
        <v>-336829800</v>
      </c>
      <c r="J191" s="99">
        <f t="shared" si="16"/>
        <v>0</v>
      </c>
      <c r="K191" s="99">
        <f t="shared" si="17"/>
        <v>-336829800</v>
      </c>
    </row>
    <row r="192" spans="1:14">
      <c r="A192" s="99" t="s">
        <v>4097</v>
      </c>
      <c r="B192" s="18">
        <v>1000000</v>
      </c>
      <c r="C192" s="18">
        <v>0</v>
      </c>
      <c r="D192" s="18">
        <f t="shared" si="18"/>
        <v>1000000</v>
      </c>
      <c r="E192" s="99" t="s">
        <v>4076</v>
      </c>
      <c r="F192" s="99">
        <v>1</v>
      </c>
      <c r="G192" s="36">
        <f t="shared" si="14"/>
        <v>117</v>
      </c>
      <c r="H192" s="99">
        <f t="shared" si="15"/>
        <v>1</v>
      </c>
      <c r="I192" s="99">
        <f t="shared" si="13"/>
        <v>116000000</v>
      </c>
      <c r="J192" s="99">
        <f t="shared" si="16"/>
        <v>0</v>
      </c>
      <c r="K192" s="99">
        <f t="shared" si="17"/>
        <v>116000000</v>
      </c>
    </row>
    <row r="193" spans="1:11">
      <c r="A193" s="99" t="s">
        <v>4113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116</v>
      </c>
      <c r="H193" s="99">
        <f t="shared" si="15"/>
        <v>0</v>
      </c>
      <c r="I193" s="99">
        <f t="shared" si="13"/>
        <v>-1740000</v>
      </c>
      <c r="J193" s="99">
        <f t="shared" si="16"/>
        <v>0</v>
      </c>
      <c r="K193" s="99">
        <f t="shared" si="17"/>
        <v>-1740000</v>
      </c>
    </row>
    <row r="194" spans="1:11">
      <c r="A194" s="99" t="s">
        <v>4109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114</v>
      </c>
      <c r="H194" s="99">
        <f t="shared" si="15"/>
        <v>0</v>
      </c>
      <c r="I194" s="99">
        <f t="shared" si="13"/>
        <v>-112860000</v>
      </c>
      <c r="J194" s="99">
        <f t="shared" si="16"/>
        <v>0</v>
      </c>
      <c r="K194" s="99">
        <f t="shared" si="17"/>
        <v>-112860000</v>
      </c>
    </row>
    <row r="195" spans="1:11">
      <c r="A195" s="99" t="s">
        <v>4109</v>
      </c>
      <c r="B195" s="18">
        <v>783000</v>
      </c>
      <c r="C195" s="18">
        <v>0</v>
      </c>
      <c r="D195" s="18">
        <f t="shared" si="18"/>
        <v>783000</v>
      </c>
      <c r="E195" s="99" t="s">
        <v>4116</v>
      </c>
      <c r="F195" s="99">
        <v>2</v>
      </c>
      <c r="G195" s="36">
        <f t="shared" si="14"/>
        <v>114</v>
      </c>
      <c r="H195" s="99">
        <f t="shared" si="15"/>
        <v>1</v>
      </c>
      <c r="I195" s="99">
        <f t="shared" si="13"/>
        <v>88479000</v>
      </c>
      <c r="J195" s="99">
        <f t="shared" si="16"/>
        <v>0</v>
      </c>
      <c r="K195" s="99">
        <f t="shared" si="17"/>
        <v>88479000</v>
      </c>
    </row>
    <row r="196" spans="1:11">
      <c r="A196" s="99" t="s">
        <v>4119</v>
      </c>
      <c r="B196" s="18">
        <v>-750500</v>
      </c>
      <c r="C196" s="18">
        <v>0</v>
      </c>
      <c r="D196" s="18">
        <f t="shared" si="18"/>
        <v>-750500</v>
      </c>
      <c r="E196" s="99" t="s">
        <v>4120</v>
      </c>
      <c r="F196" s="99">
        <v>2</v>
      </c>
      <c r="G196" s="36">
        <f t="shared" si="14"/>
        <v>112</v>
      </c>
      <c r="H196" s="99">
        <f t="shared" si="15"/>
        <v>0</v>
      </c>
      <c r="I196" s="99">
        <f t="shared" si="13"/>
        <v>-84056000</v>
      </c>
      <c r="J196" s="99">
        <f t="shared" si="16"/>
        <v>0</v>
      </c>
      <c r="K196" s="99">
        <f t="shared" si="17"/>
        <v>-84056000</v>
      </c>
    </row>
    <row r="197" spans="1:11">
      <c r="A197" s="99" t="s">
        <v>4132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110</v>
      </c>
      <c r="H197" s="99">
        <f t="shared" si="15"/>
        <v>1</v>
      </c>
      <c r="I197" s="99">
        <f t="shared" si="13"/>
        <v>76300000</v>
      </c>
      <c r="J197" s="99">
        <f t="shared" si="16"/>
        <v>0</v>
      </c>
      <c r="K197" s="99">
        <f t="shared" si="17"/>
        <v>76300000</v>
      </c>
    </row>
    <row r="198" spans="1:11">
      <c r="A198" s="99" t="s">
        <v>4132</v>
      </c>
      <c r="B198" s="18">
        <v>-99000</v>
      </c>
      <c r="C198" s="18">
        <v>0</v>
      </c>
      <c r="D198" s="18">
        <f t="shared" si="18"/>
        <v>-99000</v>
      </c>
      <c r="E198" s="99" t="s">
        <v>4134</v>
      </c>
      <c r="F198" s="99">
        <v>1</v>
      </c>
      <c r="G198" s="36">
        <f t="shared" si="14"/>
        <v>110</v>
      </c>
      <c r="H198" s="99">
        <f t="shared" si="15"/>
        <v>0</v>
      </c>
      <c r="I198" s="99">
        <f t="shared" si="13"/>
        <v>-10890000</v>
      </c>
      <c r="J198" s="99">
        <f t="shared" si="16"/>
        <v>0</v>
      </c>
      <c r="K198" s="99">
        <f t="shared" si="17"/>
        <v>-10890000</v>
      </c>
    </row>
    <row r="199" spans="1:11">
      <c r="A199" s="99" t="s">
        <v>4135</v>
      </c>
      <c r="B199" s="18">
        <v>-205750</v>
      </c>
      <c r="C199" s="18">
        <v>0</v>
      </c>
      <c r="D199" s="18">
        <f t="shared" si="18"/>
        <v>-205750</v>
      </c>
      <c r="E199" s="99" t="s">
        <v>4136</v>
      </c>
      <c r="F199" s="99">
        <v>0</v>
      </c>
      <c r="G199" s="36">
        <f t="shared" si="14"/>
        <v>109</v>
      </c>
      <c r="H199" s="99">
        <f t="shared" si="15"/>
        <v>0</v>
      </c>
      <c r="I199" s="99">
        <f t="shared" si="13"/>
        <v>-22426750</v>
      </c>
      <c r="J199" s="99">
        <f t="shared" si="16"/>
        <v>0</v>
      </c>
      <c r="K199" s="99">
        <f t="shared" si="17"/>
        <v>-22426750</v>
      </c>
    </row>
    <row r="200" spans="1:11">
      <c r="A200" s="99" t="s">
        <v>4135</v>
      </c>
      <c r="B200" s="18">
        <v>-95000</v>
      </c>
      <c r="C200" s="18">
        <v>0</v>
      </c>
      <c r="D200" s="18">
        <f t="shared" si="18"/>
        <v>-95000</v>
      </c>
      <c r="E200" s="99" t="s">
        <v>4137</v>
      </c>
      <c r="F200" s="99">
        <v>3</v>
      </c>
      <c r="G200" s="36">
        <f t="shared" si="14"/>
        <v>109</v>
      </c>
      <c r="H200" s="99">
        <f t="shared" si="15"/>
        <v>0</v>
      </c>
      <c r="I200" s="99">
        <f t="shared" si="13"/>
        <v>-10355000</v>
      </c>
      <c r="J200" s="99">
        <f t="shared" si="16"/>
        <v>0</v>
      </c>
      <c r="K200" s="99">
        <f t="shared" si="17"/>
        <v>-10355000</v>
      </c>
    </row>
    <row r="201" spans="1:11">
      <c r="A201" s="99" t="s">
        <v>4153</v>
      </c>
      <c r="B201" s="18">
        <v>48650000</v>
      </c>
      <c r="C201" s="18">
        <v>0</v>
      </c>
      <c r="D201" s="18">
        <f t="shared" si="18"/>
        <v>48650000</v>
      </c>
      <c r="E201" s="99" t="s">
        <v>4154</v>
      </c>
      <c r="F201" s="99">
        <v>0</v>
      </c>
      <c r="G201" s="36">
        <f t="shared" si="14"/>
        <v>106</v>
      </c>
      <c r="H201" s="99">
        <f t="shared" si="15"/>
        <v>1</v>
      </c>
      <c r="I201" s="99">
        <f t="shared" si="13"/>
        <v>5108250000</v>
      </c>
      <c r="J201" s="99">
        <f t="shared" si="16"/>
        <v>0</v>
      </c>
      <c r="K201" s="99">
        <f t="shared" si="17"/>
        <v>5108250000</v>
      </c>
    </row>
    <row r="202" spans="1:11">
      <c r="A202" s="99" t="s">
        <v>4153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106</v>
      </c>
      <c r="H202" s="99">
        <f t="shared" si="15"/>
        <v>0</v>
      </c>
      <c r="I202" s="99">
        <f t="shared" si="13"/>
        <v>-318095400</v>
      </c>
      <c r="J202" s="99">
        <f t="shared" si="16"/>
        <v>0</v>
      </c>
      <c r="K202" s="99">
        <f t="shared" si="17"/>
        <v>-318095400</v>
      </c>
    </row>
    <row r="203" spans="1:11">
      <c r="A203" s="99" t="s">
        <v>4153</v>
      </c>
      <c r="B203" s="18">
        <v>-5000</v>
      </c>
      <c r="C203" s="18">
        <v>0</v>
      </c>
      <c r="D203" s="18">
        <f t="shared" si="18"/>
        <v>-5000</v>
      </c>
      <c r="E203" s="99" t="s">
        <v>4155</v>
      </c>
      <c r="F203" s="99">
        <v>0</v>
      </c>
      <c r="G203" s="36">
        <f t="shared" si="14"/>
        <v>106</v>
      </c>
      <c r="H203" s="99">
        <f t="shared" si="15"/>
        <v>0</v>
      </c>
      <c r="I203" s="99">
        <f t="shared" si="13"/>
        <v>-530000</v>
      </c>
      <c r="J203" s="99">
        <f t="shared" si="16"/>
        <v>0</v>
      </c>
      <c r="K203" s="99">
        <f t="shared" si="17"/>
        <v>-530000</v>
      </c>
    </row>
    <row r="204" spans="1:11">
      <c r="A204" s="99" t="s">
        <v>4153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106</v>
      </c>
      <c r="H204" s="99">
        <f t="shared" si="15"/>
        <v>0</v>
      </c>
      <c r="I204" s="99">
        <f t="shared" si="13"/>
        <v>-3551000000</v>
      </c>
      <c r="J204" s="99">
        <f t="shared" si="16"/>
        <v>0</v>
      </c>
      <c r="K204" s="99">
        <f t="shared" si="17"/>
        <v>-3551000000</v>
      </c>
    </row>
    <row r="205" spans="1:11">
      <c r="A205" s="11" t="s">
        <v>4158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85" si="19">G206+F205</f>
        <v>105</v>
      </c>
      <c r="H205" s="99">
        <f t="shared" si="15"/>
        <v>0</v>
      </c>
      <c r="I205" s="99">
        <f t="shared" si="13"/>
        <v>-1305675000</v>
      </c>
      <c r="J205" s="99">
        <f t="shared" si="16"/>
        <v>0</v>
      </c>
      <c r="K205" s="99">
        <f t="shared" si="17"/>
        <v>-1305675000</v>
      </c>
    </row>
    <row r="206" spans="1:11">
      <c r="A206" s="99" t="s">
        <v>4171</v>
      </c>
      <c r="B206" s="18">
        <v>-18500</v>
      </c>
      <c r="C206" s="18">
        <v>0</v>
      </c>
      <c r="D206" s="18">
        <f t="shared" si="18"/>
        <v>-18500</v>
      </c>
      <c r="E206" s="99" t="s">
        <v>4172</v>
      </c>
      <c r="F206" s="99">
        <v>2</v>
      </c>
      <c r="G206" s="36">
        <f t="shared" si="19"/>
        <v>102</v>
      </c>
      <c r="H206" s="99">
        <f t="shared" si="15"/>
        <v>0</v>
      </c>
      <c r="I206" s="99">
        <f t="shared" si="13"/>
        <v>-1887000</v>
      </c>
      <c r="J206" s="99">
        <f t="shared" si="16"/>
        <v>0</v>
      </c>
      <c r="K206" s="99">
        <f t="shared" si="17"/>
        <v>-1887000</v>
      </c>
    </row>
    <row r="207" spans="1:11">
      <c r="A207" s="99" t="s">
        <v>4168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100</v>
      </c>
      <c r="H207" s="99">
        <f t="shared" si="15"/>
        <v>1</v>
      </c>
      <c r="I207" s="99">
        <f t="shared" si="13"/>
        <v>1433520</v>
      </c>
      <c r="J207" s="99">
        <f t="shared" ref="J207:J285" si="20">C207*(G207-H207)</f>
        <v>7016526</v>
      </c>
      <c r="K207" s="99">
        <f t="shared" si="17"/>
        <v>-5583006</v>
      </c>
    </row>
    <row r="208" spans="1:11">
      <c r="A208" s="99" t="s">
        <v>4174</v>
      </c>
      <c r="B208" s="18">
        <v>830000</v>
      </c>
      <c r="C208" s="18">
        <v>0</v>
      </c>
      <c r="D208" s="18">
        <f t="shared" si="18"/>
        <v>830000</v>
      </c>
      <c r="E208" s="99" t="s">
        <v>4175</v>
      </c>
      <c r="F208" s="99">
        <v>2</v>
      </c>
      <c r="G208" s="36">
        <f t="shared" si="19"/>
        <v>99</v>
      </c>
      <c r="H208" s="99">
        <f t="shared" si="15"/>
        <v>1</v>
      </c>
      <c r="I208" s="99">
        <f t="shared" si="13"/>
        <v>81340000</v>
      </c>
      <c r="J208" s="99">
        <f t="shared" si="20"/>
        <v>0</v>
      </c>
      <c r="K208" s="99">
        <f t="shared" si="17"/>
        <v>81340000</v>
      </c>
    </row>
    <row r="209" spans="1:13">
      <c r="A209" s="99" t="s">
        <v>4191</v>
      </c>
      <c r="B209" s="18">
        <v>-52440</v>
      </c>
      <c r="C209" s="18">
        <v>0</v>
      </c>
      <c r="D209" s="18">
        <f t="shared" si="18"/>
        <v>-52440</v>
      </c>
      <c r="E209" s="99" t="s">
        <v>4193</v>
      </c>
      <c r="F209" s="99">
        <v>1</v>
      </c>
      <c r="G209" s="36">
        <f t="shared" si="19"/>
        <v>97</v>
      </c>
      <c r="H209" s="99">
        <f t="shared" si="15"/>
        <v>0</v>
      </c>
      <c r="I209" s="99">
        <f t="shared" si="13"/>
        <v>-5086680</v>
      </c>
      <c r="J209" s="99">
        <f t="shared" si="20"/>
        <v>0</v>
      </c>
      <c r="K209" s="99">
        <f t="shared" si="17"/>
        <v>-5086680</v>
      </c>
    </row>
    <row r="210" spans="1:13">
      <c r="A210" s="99" t="s">
        <v>4194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96</v>
      </c>
      <c r="H210" s="99">
        <f t="shared" si="15"/>
        <v>0</v>
      </c>
      <c r="I210" s="99">
        <f t="shared" si="13"/>
        <v>-4905600</v>
      </c>
      <c r="J210" s="99">
        <f t="shared" si="20"/>
        <v>0</v>
      </c>
      <c r="K210" s="99">
        <f t="shared" si="17"/>
        <v>-4905600</v>
      </c>
    </row>
    <row r="211" spans="1:13">
      <c r="A211" s="99" t="s">
        <v>4195</v>
      </c>
      <c r="B211" s="18">
        <v>-200000</v>
      </c>
      <c r="C211" s="18">
        <v>0</v>
      </c>
      <c r="D211" s="18">
        <f t="shared" si="18"/>
        <v>-200000</v>
      </c>
      <c r="E211" s="99" t="s">
        <v>4196</v>
      </c>
      <c r="F211" s="99">
        <v>1</v>
      </c>
      <c r="G211" s="36">
        <f t="shared" si="19"/>
        <v>95</v>
      </c>
      <c r="H211" s="99">
        <f t="shared" si="15"/>
        <v>0</v>
      </c>
      <c r="I211" s="99">
        <f t="shared" si="13"/>
        <v>-19000000</v>
      </c>
      <c r="J211" s="99">
        <f t="shared" si="20"/>
        <v>0</v>
      </c>
      <c r="K211" s="99">
        <f t="shared" si="17"/>
        <v>-19000000</v>
      </c>
    </row>
    <row r="212" spans="1:13">
      <c r="A212" s="99" t="s">
        <v>4197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94</v>
      </c>
      <c r="H212" s="99">
        <f t="shared" si="15"/>
        <v>0</v>
      </c>
      <c r="I212" s="99">
        <f t="shared" si="13"/>
        <v>-2632000</v>
      </c>
      <c r="J212" s="99">
        <f t="shared" si="20"/>
        <v>0</v>
      </c>
      <c r="K212" s="99">
        <f t="shared" si="17"/>
        <v>-2632000</v>
      </c>
    </row>
    <row r="213" spans="1:13">
      <c r="A213" s="99" t="s">
        <v>4198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93</v>
      </c>
      <c r="H213" s="99">
        <f t="shared" si="15"/>
        <v>0</v>
      </c>
      <c r="I213" s="99">
        <f t="shared" si="13"/>
        <v>-5496300</v>
      </c>
      <c r="J213" s="99">
        <f t="shared" si="20"/>
        <v>0</v>
      </c>
      <c r="K213" s="99">
        <f t="shared" si="17"/>
        <v>-5496300</v>
      </c>
    </row>
    <row r="214" spans="1:13">
      <c r="A214" s="99" t="s">
        <v>4198</v>
      </c>
      <c r="B214" s="18">
        <v>-30000</v>
      </c>
      <c r="C214" s="18">
        <v>0</v>
      </c>
      <c r="D214" s="18">
        <f t="shared" si="18"/>
        <v>-30000</v>
      </c>
      <c r="E214" s="99" t="s">
        <v>4199</v>
      </c>
      <c r="F214" s="99">
        <v>0</v>
      </c>
      <c r="G214" s="36">
        <f t="shared" si="19"/>
        <v>92</v>
      </c>
      <c r="H214" s="99">
        <f t="shared" si="15"/>
        <v>0</v>
      </c>
      <c r="I214" s="99">
        <f t="shared" si="13"/>
        <v>-2760000</v>
      </c>
      <c r="J214" s="99">
        <f t="shared" si="20"/>
        <v>0</v>
      </c>
      <c r="K214" s="99">
        <f t="shared" si="17"/>
        <v>-2760000</v>
      </c>
    </row>
    <row r="215" spans="1:13">
      <c r="A215" s="99" t="s">
        <v>4198</v>
      </c>
      <c r="B215" s="18">
        <v>-178000</v>
      </c>
      <c r="C215" s="18">
        <v>0</v>
      </c>
      <c r="D215" s="18">
        <f t="shared" si="18"/>
        <v>-178000</v>
      </c>
      <c r="E215" s="99" t="s">
        <v>4201</v>
      </c>
      <c r="F215" s="99">
        <v>1</v>
      </c>
      <c r="G215" s="36">
        <f t="shared" si="19"/>
        <v>92</v>
      </c>
      <c r="H215" s="99">
        <f t="shared" si="15"/>
        <v>0</v>
      </c>
      <c r="I215" s="99">
        <f t="shared" si="13"/>
        <v>-16376000</v>
      </c>
      <c r="J215" s="99">
        <f t="shared" si="20"/>
        <v>0</v>
      </c>
      <c r="K215" s="99">
        <f t="shared" si="17"/>
        <v>-16376000</v>
      </c>
    </row>
    <row r="216" spans="1:13">
      <c r="A216" s="99" t="s">
        <v>4203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91</v>
      </c>
      <c r="H216" s="99">
        <f t="shared" si="15"/>
        <v>0</v>
      </c>
      <c r="I216" s="99">
        <f t="shared" si="13"/>
        <v>-8700510</v>
      </c>
      <c r="J216" s="99">
        <f t="shared" si="20"/>
        <v>0</v>
      </c>
      <c r="K216" s="99">
        <f t="shared" si="17"/>
        <v>-8700510</v>
      </c>
    </row>
    <row r="217" spans="1:13">
      <c r="A217" s="99" t="s">
        <v>4167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88</v>
      </c>
      <c r="H217" s="99">
        <f t="shared" si="15"/>
        <v>0</v>
      </c>
      <c r="I217" s="99">
        <f t="shared" si="13"/>
        <v>-7392000</v>
      </c>
      <c r="J217" s="99">
        <f t="shared" si="20"/>
        <v>0</v>
      </c>
      <c r="K217" s="99">
        <f t="shared" si="17"/>
        <v>-7392000</v>
      </c>
    </row>
    <row r="218" spans="1:13">
      <c r="A218" s="99" t="s">
        <v>4207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86</v>
      </c>
      <c r="H218" s="99">
        <f t="shared" si="15"/>
        <v>0</v>
      </c>
      <c r="I218" s="99">
        <f t="shared" si="13"/>
        <v>-2838000</v>
      </c>
      <c r="J218" s="99">
        <f t="shared" si="20"/>
        <v>0</v>
      </c>
      <c r="K218" s="99">
        <f t="shared" si="17"/>
        <v>-2838000</v>
      </c>
    </row>
    <row r="219" spans="1:13">
      <c r="A219" s="99" t="s">
        <v>4212</v>
      </c>
      <c r="B219" s="18">
        <v>1548000</v>
      </c>
      <c r="C219" s="18">
        <v>0</v>
      </c>
      <c r="D219" s="18">
        <f t="shared" si="18"/>
        <v>1548000</v>
      </c>
      <c r="E219" s="99" t="s">
        <v>4242</v>
      </c>
      <c r="F219" s="99">
        <v>1</v>
      </c>
      <c r="G219" s="36">
        <f t="shared" si="21"/>
        <v>83</v>
      </c>
      <c r="H219" s="99">
        <f t="shared" si="15"/>
        <v>1</v>
      </c>
      <c r="I219" s="99">
        <f t="shared" si="13"/>
        <v>126936000</v>
      </c>
      <c r="J219" s="99">
        <f t="shared" si="20"/>
        <v>0</v>
      </c>
      <c r="K219" s="99">
        <f t="shared" si="17"/>
        <v>126936000</v>
      </c>
    </row>
    <row r="220" spans="1:13">
      <c r="A220" s="99" t="s">
        <v>4243</v>
      </c>
      <c r="B220" s="18">
        <v>-1400700</v>
      </c>
      <c r="C220" s="18">
        <v>0</v>
      </c>
      <c r="D220" s="18">
        <f t="shared" si="18"/>
        <v>-1400700</v>
      </c>
      <c r="E220" s="99" t="s">
        <v>4244</v>
      </c>
      <c r="F220" s="99">
        <v>0</v>
      </c>
      <c r="G220" s="36">
        <f t="shared" si="21"/>
        <v>82</v>
      </c>
      <c r="H220" s="99">
        <f t="shared" si="15"/>
        <v>0</v>
      </c>
      <c r="I220" s="99">
        <f t="shared" si="13"/>
        <v>-114857400</v>
      </c>
      <c r="J220" s="99">
        <f t="shared" si="20"/>
        <v>0</v>
      </c>
      <c r="K220" s="99">
        <f t="shared" si="17"/>
        <v>-114857400</v>
      </c>
    </row>
    <row r="221" spans="1:13">
      <c r="A221" s="99" t="s">
        <v>4243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82</v>
      </c>
      <c r="H221" s="99">
        <f t="shared" si="15"/>
        <v>0</v>
      </c>
      <c r="I221" s="99">
        <f t="shared" si="13"/>
        <v>-820000</v>
      </c>
      <c r="J221" s="99">
        <f t="shared" si="20"/>
        <v>0</v>
      </c>
      <c r="K221" s="99">
        <f t="shared" si="17"/>
        <v>-820000</v>
      </c>
    </row>
    <row r="222" spans="1:13">
      <c r="A222" s="99" t="s">
        <v>4243</v>
      </c>
      <c r="B222" s="18">
        <v>-5000</v>
      </c>
      <c r="C222" s="18">
        <v>-2500</v>
      </c>
      <c r="D222" s="18">
        <f t="shared" si="18"/>
        <v>-2500</v>
      </c>
      <c r="E222" s="99" t="s">
        <v>4251</v>
      </c>
      <c r="F222" s="99">
        <v>6</v>
      </c>
      <c r="G222" s="36">
        <f t="shared" si="21"/>
        <v>82</v>
      </c>
      <c r="H222" s="99">
        <f t="shared" si="15"/>
        <v>0</v>
      </c>
      <c r="I222" s="99">
        <f t="shared" si="13"/>
        <v>-410000</v>
      </c>
      <c r="J222" s="99">
        <f t="shared" si="20"/>
        <v>-205000</v>
      </c>
      <c r="K222" s="99">
        <f t="shared" si="17"/>
        <v>-205000</v>
      </c>
    </row>
    <row r="223" spans="1:13">
      <c r="A223" s="99" t="s">
        <v>4260</v>
      </c>
      <c r="B223" s="18">
        <v>-190000</v>
      </c>
      <c r="C223" s="18">
        <v>0</v>
      </c>
      <c r="D223" s="18">
        <f t="shared" si="18"/>
        <v>-190000</v>
      </c>
      <c r="E223" s="99" t="s">
        <v>4261</v>
      </c>
      <c r="F223" s="99">
        <v>7</v>
      </c>
      <c r="G223" s="36">
        <f t="shared" si="21"/>
        <v>76</v>
      </c>
      <c r="H223" s="99">
        <f t="shared" si="15"/>
        <v>0</v>
      </c>
      <c r="I223" s="99">
        <f t="shared" si="13"/>
        <v>-14440000</v>
      </c>
      <c r="J223" s="99">
        <f t="shared" si="20"/>
        <v>0</v>
      </c>
      <c r="K223" s="99">
        <f t="shared" si="17"/>
        <v>-14440000</v>
      </c>
      <c r="M223" t="s">
        <v>25</v>
      </c>
    </row>
    <row r="224" spans="1:13">
      <c r="A224" s="99" t="s">
        <v>4288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69</v>
      </c>
      <c r="H224" s="99">
        <f t="shared" si="15"/>
        <v>1</v>
      </c>
      <c r="I224" s="99">
        <f t="shared" si="13"/>
        <v>129948</v>
      </c>
      <c r="J224" s="99">
        <f t="shared" si="20"/>
        <v>4418096</v>
      </c>
      <c r="K224" s="99">
        <f t="shared" si="17"/>
        <v>-4288148</v>
      </c>
      <c r="M224" t="s">
        <v>25</v>
      </c>
    </row>
    <row r="225" spans="1:13">
      <c r="A225" s="99" t="s">
        <v>4307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63</v>
      </c>
      <c r="H225" s="99">
        <f t="shared" si="15"/>
        <v>1</v>
      </c>
      <c r="I225" s="99">
        <f t="shared" si="13"/>
        <v>310000000</v>
      </c>
      <c r="J225" s="99">
        <f t="shared" si="20"/>
        <v>0</v>
      </c>
      <c r="K225" s="99">
        <f t="shared" si="17"/>
        <v>310000000</v>
      </c>
    </row>
    <row r="226" spans="1:13">
      <c r="A226" s="99" t="s">
        <v>4313</v>
      </c>
      <c r="B226" s="18">
        <v>-3200000</v>
      </c>
      <c r="C226" s="18">
        <v>0</v>
      </c>
      <c r="D226" s="18">
        <f t="shared" si="18"/>
        <v>-3200000</v>
      </c>
      <c r="E226" s="99" t="s">
        <v>4325</v>
      </c>
      <c r="F226" s="99">
        <v>0</v>
      </c>
      <c r="G226" s="36">
        <f t="shared" si="21"/>
        <v>62</v>
      </c>
      <c r="H226" s="99">
        <f t="shared" si="15"/>
        <v>0</v>
      </c>
      <c r="I226" s="99">
        <f t="shared" si="13"/>
        <v>-198400000</v>
      </c>
      <c r="J226" s="99">
        <f t="shared" si="20"/>
        <v>0</v>
      </c>
      <c r="K226" s="99">
        <f t="shared" si="17"/>
        <v>-198400000</v>
      </c>
    </row>
    <row r="227" spans="1:13">
      <c r="A227" s="99" t="s">
        <v>4313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62</v>
      </c>
      <c r="H227" s="99">
        <f t="shared" si="15"/>
        <v>1</v>
      </c>
      <c r="I227" s="99">
        <f t="shared" si="13"/>
        <v>146400000</v>
      </c>
      <c r="J227" s="99">
        <f t="shared" si="20"/>
        <v>0</v>
      </c>
      <c r="K227" s="99">
        <f t="shared" si="17"/>
        <v>146400000</v>
      </c>
    </row>
    <row r="228" spans="1:13">
      <c r="A228" s="99" t="s">
        <v>4341</v>
      </c>
      <c r="B228" s="18">
        <v>-50000</v>
      </c>
      <c r="C228" s="18">
        <v>0</v>
      </c>
      <c r="D228" s="18">
        <f t="shared" si="18"/>
        <v>-50000</v>
      </c>
      <c r="E228" s="99" t="s">
        <v>4345</v>
      </c>
      <c r="F228" s="99">
        <v>1</v>
      </c>
      <c r="G228" s="36">
        <f t="shared" si="21"/>
        <v>60</v>
      </c>
      <c r="H228" s="99">
        <f t="shared" si="15"/>
        <v>0</v>
      </c>
      <c r="I228" s="99">
        <f t="shared" si="13"/>
        <v>-3000000</v>
      </c>
      <c r="J228" s="99">
        <f t="shared" si="20"/>
        <v>0</v>
      </c>
      <c r="K228" s="99">
        <f t="shared" si="17"/>
        <v>-3000000</v>
      </c>
    </row>
    <row r="229" spans="1:13">
      <c r="A229" s="99" t="s">
        <v>4335</v>
      </c>
      <c r="B229" s="18">
        <v>-4100700</v>
      </c>
      <c r="C229" s="18">
        <v>0</v>
      </c>
      <c r="D229" s="18">
        <f t="shared" si="18"/>
        <v>-4100700</v>
      </c>
      <c r="E229" s="99" t="s">
        <v>4346</v>
      </c>
      <c r="F229" s="99">
        <v>4</v>
      </c>
      <c r="G229" s="36">
        <f t="shared" si="21"/>
        <v>59</v>
      </c>
      <c r="H229" s="99">
        <f t="shared" si="15"/>
        <v>0</v>
      </c>
      <c r="I229" s="99">
        <f t="shared" si="13"/>
        <v>-241941300</v>
      </c>
      <c r="J229" s="99">
        <f t="shared" si="20"/>
        <v>0</v>
      </c>
      <c r="K229" s="99">
        <f t="shared" si="17"/>
        <v>-241941300</v>
      </c>
    </row>
    <row r="230" spans="1:13">
      <c r="A230" s="99" t="s">
        <v>4354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55</v>
      </c>
      <c r="H230" s="99">
        <f t="shared" si="15"/>
        <v>1</v>
      </c>
      <c r="I230" s="99">
        <f t="shared" si="13"/>
        <v>523800000</v>
      </c>
      <c r="J230" s="99">
        <f t="shared" si="20"/>
        <v>0</v>
      </c>
      <c r="K230" s="99">
        <f t="shared" si="17"/>
        <v>523800000</v>
      </c>
    </row>
    <row r="231" spans="1:13">
      <c r="A231" s="99" t="s">
        <v>4354</v>
      </c>
      <c r="B231" s="18">
        <v>-3000900</v>
      </c>
      <c r="C231" s="18">
        <v>0</v>
      </c>
      <c r="D231" s="18">
        <f t="shared" si="18"/>
        <v>-3000900</v>
      </c>
      <c r="E231" s="99" t="s">
        <v>4362</v>
      </c>
      <c r="F231" s="99">
        <v>1</v>
      </c>
      <c r="G231" s="36">
        <f t="shared" si="21"/>
        <v>55</v>
      </c>
      <c r="H231" s="99">
        <f t="shared" si="15"/>
        <v>0</v>
      </c>
      <c r="I231" s="99">
        <f t="shared" si="13"/>
        <v>-165049500</v>
      </c>
      <c r="J231" s="99">
        <f t="shared" si="20"/>
        <v>0</v>
      </c>
      <c r="K231" s="99">
        <f t="shared" si="17"/>
        <v>-165049500</v>
      </c>
    </row>
    <row r="232" spans="1:13">
      <c r="A232" s="99" t="s">
        <v>4355</v>
      </c>
      <c r="B232" s="18">
        <v>-3000900</v>
      </c>
      <c r="C232" s="18">
        <v>0</v>
      </c>
      <c r="D232" s="18">
        <f t="shared" si="18"/>
        <v>-3000900</v>
      </c>
      <c r="E232" s="99" t="s">
        <v>4362</v>
      </c>
      <c r="F232" s="99">
        <v>0</v>
      </c>
      <c r="G232" s="36">
        <f t="shared" si="21"/>
        <v>54</v>
      </c>
      <c r="H232" s="99">
        <f t="shared" si="15"/>
        <v>0</v>
      </c>
      <c r="I232" s="99">
        <f t="shared" si="13"/>
        <v>-162048600</v>
      </c>
      <c r="J232" s="99">
        <f t="shared" si="20"/>
        <v>0</v>
      </c>
      <c r="K232" s="99">
        <f t="shared" si="17"/>
        <v>-162048600</v>
      </c>
    </row>
    <row r="233" spans="1:13">
      <c r="A233" s="99" t="s">
        <v>4355</v>
      </c>
      <c r="B233" s="18">
        <v>-555000</v>
      </c>
      <c r="C233" s="18">
        <v>0</v>
      </c>
      <c r="D233" s="18">
        <f t="shared" si="18"/>
        <v>-555000</v>
      </c>
      <c r="E233" s="99" t="s">
        <v>4261</v>
      </c>
      <c r="F233" s="99">
        <v>1</v>
      </c>
      <c r="G233" s="36">
        <f t="shared" si="21"/>
        <v>54</v>
      </c>
      <c r="H233" s="99">
        <f t="shared" si="15"/>
        <v>0</v>
      </c>
      <c r="I233" s="99">
        <f t="shared" si="13"/>
        <v>-29970000</v>
      </c>
      <c r="J233" s="99">
        <f t="shared" si="20"/>
        <v>0</v>
      </c>
      <c r="K233" s="99">
        <f t="shared" si="17"/>
        <v>-29970000</v>
      </c>
    </row>
    <row r="234" spans="1:13">
      <c r="A234" s="99" t="s">
        <v>4374</v>
      </c>
      <c r="B234" s="18">
        <v>-138360</v>
      </c>
      <c r="C234" s="18">
        <v>0</v>
      </c>
      <c r="D234" s="18">
        <f t="shared" si="18"/>
        <v>-138360</v>
      </c>
      <c r="E234" s="99" t="s">
        <v>4376</v>
      </c>
      <c r="F234" s="99">
        <v>1</v>
      </c>
      <c r="G234" s="36">
        <f t="shared" si="21"/>
        <v>53</v>
      </c>
      <c r="H234" s="99">
        <f t="shared" si="15"/>
        <v>0</v>
      </c>
      <c r="I234" s="99">
        <f t="shared" si="13"/>
        <v>-7333080</v>
      </c>
      <c r="J234" s="99">
        <f t="shared" si="20"/>
        <v>0</v>
      </c>
      <c r="K234" s="99">
        <f t="shared" si="17"/>
        <v>-7333080</v>
      </c>
    </row>
    <row r="235" spans="1:13">
      <c r="A235" s="99" t="s">
        <v>4377</v>
      </c>
      <c r="B235" s="18">
        <v>-3000900</v>
      </c>
      <c r="C235" s="18">
        <v>0</v>
      </c>
      <c r="D235" s="18">
        <f t="shared" si="18"/>
        <v>-3000900</v>
      </c>
      <c r="E235" s="99" t="s">
        <v>4362</v>
      </c>
      <c r="F235" s="99">
        <v>2</v>
      </c>
      <c r="G235" s="36">
        <f t="shared" si="21"/>
        <v>52</v>
      </c>
      <c r="H235" s="99">
        <f t="shared" si="15"/>
        <v>0</v>
      </c>
      <c r="I235" s="99">
        <f t="shared" si="13"/>
        <v>-156046800</v>
      </c>
      <c r="J235" s="99">
        <f t="shared" si="20"/>
        <v>0</v>
      </c>
      <c r="K235" s="99">
        <f t="shared" si="17"/>
        <v>-156046800</v>
      </c>
      <c r="M235" t="s">
        <v>25</v>
      </c>
    </row>
    <row r="236" spans="1:13">
      <c r="A236" s="99" t="s">
        <v>4383</v>
      </c>
      <c r="B236" s="18">
        <v>-55000</v>
      </c>
      <c r="C236" s="18">
        <v>0</v>
      </c>
      <c r="D236" s="18">
        <f t="shared" si="18"/>
        <v>-55000</v>
      </c>
      <c r="E236" s="99" t="s">
        <v>4155</v>
      </c>
      <c r="F236" s="99">
        <v>4</v>
      </c>
      <c r="G236" s="36">
        <f t="shared" si="21"/>
        <v>50</v>
      </c>
      <c r="H236" s="99">
        <f t="shared" si="15"/>
        <v>0</v>
      </c>
      <c r="I236" s="99">
        <f t="shared" si="13"/>
        <v>-2750000</v>
      </c>
      <c r="J236" s="99">
        <f t="shared" si="20"/>
        <v>0</v>
      </c>
      <c r="K236" s="99">
        <f t="shared" si="17"/>
        <v>-2750000</v>
      </c>
    </row>
    <row r="237" spans="1:13">
      <c r="A237" s="99" t="s">
        <v>4400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46</v>
      </c>
      <c r="H237" s="99">
        <f t="shared" si="15"/>
        <v>1</v>
      </c>
      <c r="I237" s="99">
        <f t="shared" si="13"/>
        <v>271575000</v>
      </c>
      <c r="J237" s="99">
        <f t="shared" si="20"/>
        <v>0</v>
      </c>
      <c r="K237" s="99">
        <f t="shared" si="17"/>
        <v>271575000</v>
      </c>
    </row>
    <row r="238" spans="1:13">
      <c r="A238" s="99" t="s">
        <v>4407</v>
      </c>
      <c r="B238" s="18">
        <v>-7500</v>
      </c>
      <c r="C238" s="18">
        <v>0</v>
      </c>
      <c r="D238" s="18">
        <f t="shared" si="18"/>
        <v>-7500</v>
      </c>
      <c r="E238" s="99" t="s">
        <v>4408</v>
      </c>
      <c r="F238" s="99">
        <v>1</v>
      </c>
      <c r="G238" s="36">
        <f t="shared" si="21"/>
        <v>44</v>
      </c>
      <c r="H238" s="99">
        <f t="shared" si="15"/>
        <v>0</v>
      </c>
      <c r="I238" s="99">
        <f t="shared" si="13"/>
        <v>-330000</v>
      </c>
      <c r="J238" s="99">
        <f t="shared" si="20"/>
        <v>0</v>
      </c>
      <c r="K238" s="99">
        <f t="shared" si="17"/>
        <v>-330000</v>
      </c>
    </row>
    <row r="239" spans="1:13">
      <c r="A239" s="99" t="s">
        <v>4409</v>
      </c>
      <c r="B239" s="18">
        <v>-4098523</v>
      </c>
      <c r="C239" s="18">
        <v>0</v>
      </c>
      <c r="D239" s="18">
        <f t="shared" si="18"/>
        <v>-4098523</v>
      </c>
      <c r="E239" s="99" t="s">
        <v>4410</v>
      </c>
      <c r="F239" s="99">
        <v>0</v>
      </c>
      <c r="G239" s="36">
        <f t="shared" si="21"/>
        <v>43</v>
      </c>
      <c r="H239" s="99">
        <f t="shared" si="15"/>
        <v>0</v>
      </c>
      <c r="I239" s="99">
        <f t="shared" si="13"/>
        <v>-176236489</v>
      </c>
      <c r="J239" s="99">
        <f t="shared" si="20"/>
        <v>0</v>
      </c>
      <c r="K239" s="99">
        <f t="shared" si="17"/>
        <v>-176236489</v>
      </c>
    </row>
    <row r="240" spans="1:13">
      <c r="A240" s="99" t="s">
        <v>4411</v>
      </c>
      <c r="B240" s="18">
        <v>-33225</v>
      </c>
      <c r="C240" s="18">
        <v>0</v>
      </c>
      <c r="D240" s="18">
        <f t="shared" si="18"/>
        <v>-33225</v>
      </c>
      <c r="E240" s="99" t="s">
        <v>4261</v>
      </c>
      <c r="F240" s="99">
        <v>0</v>
      </c>
      <c r="G240" s="36">
        <f t="shared" si="21"/>
        <v>43</v>
      </c>
      <c r="H240" s="99">
        <f t="shared" si="15"/>
        <v>0</v>
      </c>
      <c r="I240" s="99">
        <f t="shared" si="13"/>
        <v>-1428675</v>
      </c>
      <c r="J240" s="99">
        <f t="shared" si="20"/>
        <v>0</v>
      </c>
      <c r="K240" s="99">
        <f t="shared" si="17"/>
        <v>-1428675</v>
      </c>
    </row>
    <row r="241" spans="1:13">
      <c r="A241" s="99" t="s">
        <v>4411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43</v>
      </c>
      <c r="H241" s="99">
        <f t="shared" si="15"/>
        <v>0</v>
      </c>
      <c r="I241" s="99">
        <f t="shared" si="13"/>
        <v>-81485000</v>
      </c>
      <c r="J241" s="99">
        <f t="shared" si="20"/>
        <v>0</v>
      </c>
      <c r="K241" s="99">
        <f t="shared" si="17"/>
        <v>-81485000</v>
      </c>
    </row>
    <row r="242" spans="1:13">
      <c r="A242" s="99" t="s">
        <v>4446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36</v>
      </c>
      <c r="H242" s="99">
        <f t="shared" si="15"/>
        <v>1</v>
      </c>
      <c r="I242" s="99">
        <f t="shared" si="13"/>
        <v>87500000</v>
      </c>
      <c r="J242" s="99">
        <f t="shared" si="20"/>
        <v>0</v>
      </c>
      <c r="K242" s="99">
        <f t="shared" si="17"/>
        <v>87500000</v>
      </c>
    </row>
    <row r="243" spans="1:13">
      <c r="A243" s="99" t="s">
        <v>4448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34</v>
      </c>
      <c r="H243" s="99">
        <f t="shared" si="15"/>
        <v>0</v>
      </c>
      <c r="I243" s="99">
        <f t="shared" si="13"/>
        <v>-85000000</v>
      </c>
      <c r="J243" s="99">
        <f t="shared" si="20"/>
        <v>0</v>
      </c>
      <c r="K243" s="99">
        <f t="shared" si="17"/>
        <v>-85000000</v>
      </c>
    </row>
    <row r="244" spans="1:13">
      <c r="A244" s="99" t="s">
        <v>4453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32</v>
      </c>
      <c r="H244" s="99">
        <f t="shared" si="15"/>
        <v>1</v>
      </c>
      <c r="I244" s="99">
        <f t="shared" si="13"/>
        <v>34100000</v>
      </c>
      <c r="J244" s="99">
        <f t="shared" si="20"/>
        <v>0</v>
      </c>
      <c r="K244" s="99">
        <f t="shared" si="17"/>
        <v>34100000</v>
      </c>
    </row>
    <row r="245" spans="1:13">
      <c r="A245" s="99" t="s">
        <v>4456</v>
      </c>
      <c r="B245" s="18">
        <v>3000000</v>
      </c>
      <c r="C245" s="18">
        <v>0</v>
      </c>
      <c r="D245" s="18">
        <f t="shared" si="18"/>
        <v>3000000</v>
      </c>
      <c r="E245" s="99" t="s">
        <v>4458</v>
      </c>
      <c r="F245" s="99">
        <v>2</v>
      </c>
      <c r="G245" s="36">
        <f t="shared" si="21"/>
        <v>30</v>
      </c>
      <c r="H245" s="99">
        <f t="shared" si="15"/>
        <v>1</v>
      </c>
      <c r="I245" s="99">
        <f t="shared" si="13"/>
        <v>87000000</v>
      </c>
      <c r="J245" s="99">
        <f t="shared" si="20"/>
        <v>0</v>
      </c>
      <c r="K245" s="99">
        <f t="shared" si="17"/>
        <v>87000000</v>
      </c>
    </row>
    <row r="246" spans="1:13">
      <c r="A246" s="99" t="s">
        <v>4452</v>
      </c>
      <c r="B246" s="18">
        <v>-4040700</v>
      </c>
      <c r="C246" s="18">
        <v>0</v>
      </c>
      <c r="D246" s="18">
        <f t="shared" si="18"/>
        <v>-4040700</v>
      </c>
      <c r="E246" s="99" t="s">
        <v>4491</v>
      </c>
      <c r="F246" s="99">
        <v>0</v>
      </c>
      <c r="G246" s="36">
        <f t="shared" si="21"/>
        <v>28</v>
      </c>
      <c r="H246" s="99">
        <f t="shared" si="15"/>
        <v>0</v>
      </c>
      <c r="I246" s="99">
        <f t="shared" si="13"/>
        <v>-113139600</v>
      </c>
      <c r="J246" s="99">
        <f t="shared" si="20"/>
        <v>0</v>
      </c>
      <c r="K246" s="99">
        <f t="shared" si="17"/>
        <v>-113139600</v>
      </c>
    </row>
    <row r="247" spans="1:13">
      <c r="A247" s="99" t="s">
        <v>4452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28</v>
      </c>
      <c r="H247" s="99">
        <f t="shared" si="15"/>
        <v>1</v>
      </c>
      <c r="I247" s="99">
        <f t="shared" si="13"/>
        <v>13230000</v>
      </c>
      <c r="J247" s="99">
        <f t="shared" si="20"/>
        <v>0</v>
      </c>
      <c r="K247" s="99">
        <f t="shared" si="17"/>
        <v>13230000</v>
      </c>
    </row>
    <row r="248" spans="1:13">
      <c r="A248" s="99" t="s">
        <v>4495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27</v>
      </c>
      <c r="H248" s="99">
        <f t="shared" si="15"/>
        <v>1</v>
      </c>
      <c r="I248" s="99">
        <f t="shared" si="13"/>
        <v>36400000</v>
      </c>
      <c r="J248" s="99">
        <f t="shared" si="20"/>
        <v>0</v>
      </c>
      <c r="K248" s="99">
        <f t="shared" si="17"/>
        <v>36400000</v>
      </c>
      <c r="M248" t="s">
        <v>25</v>
      </c>
    </row>
    <row r="249" spans="1:13">
      <c r="A249" s="99" t="s">
        <v>4495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27</v>
      </c>
      <c r="H249" s="99">
        <f t="shared" si="15"/>
        <v>0</v>
      </c>
      <c r="I249" s="99">
        <f t="shared" si="13"/>
        <v>-40500000</v>
      </c>
      <c r="J249" s="99">
        <f t="shared" si="20"/>
        <v>0</v>
      </c>
      <c r="K249" s="99">
        <f t="shared" si="17"/>
        <v>-40500000</v>
      </c>
    </row>
    <row r="250" spans="1:13">
      <c r="A250" s="99" t="s">
        <v>4502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26</v>
      </c>
      <c r="H250" s="99">
        <f t="shared" si="15"/>
        <v>0</v>
      </c>
      <c r="I250" s="99">
        <f t="shared" si="13"/>
        <v>-2600000</v>
      </c>
      <c r="J250" s="99">
        <f t="shared" si="20"/>
        <v>0</v>
      </c>
      <c r="K250" s="99">
        <f t="shared" si="17"/>
        <v>-2600000</v>
      </c>
    </row>
    <row r="251" spans="1:13">
      <c r="A251" s="99" t="s">
        <v>4234</v>
      </c>
      <c r="B251" s="18">
        <v>-13900</v>
      </c>
      <c r="C251" s="18">
        <v>0</v>
      </c>
      <c r="D251" s="18">
        <f t="shared" si="18"/>
        <v>-13900</v>
      </c>
      <c r="E251" s="99" t="s">
        <v>4016</v>
      </c>
      <c r="F251" s="99">
        <v>0</v>
      </c>
      <c r="G251" s="36">
        <f t="shared" si="21"/>
        <v>25</v>
      </c>
      <c r="H251" s="99">
        <f t="shared" si="15"/>
        <v>0</v>
      </c>
      <c r="I251" s="99">
        <f t="shared" si="13"/>
        <v>-347500</v>
      </c>
      <c r="J251" s="99">
        <f t="shared" si="20"/>
        <v>0</v>
      </c>
      <c r="K251" s="99">
        <f t="shared" si="17"/>
        <v>-347500</v>
      </c>
    </row>
    <row r="252" spans="1:13">
      <c r="A252" s="99" t="s">
        <v>4234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25</v>
      </c>
      <c r="H252" s="99">
        <f t="shared" si="15"/>
        <v>1</v>
      </c>
      <c r="I252" s="99">
        <f t="shared" si="13"/>
        <v>7200000</v>
      </c>
      <c r="J252" s="99">
        <f t="shared" si="20"/>
        <v>0</v>
      </c>
      <c r="K252" s="99">
        <f t="shared" si="17"/>
        <v>7200000</v>
      </c>
    </row>
    <row r="253" spans="1:13">
      <c r="A253" s="99" t="s">
        <v>4513</v>
      </c>
      <c r="B253" s="18">
        <v>12000000</v>
      </c>
      <c r="C253" s="18">
        <v>0</v>
      </c>
      <c r="D253" s="18">
        <f t="shared" si="18"/>
        <v>12000000</v>
      </c>
      <c r="E253" s="99" t="s">
        <v>4514</v>
      </c>
      <c r="F253" s="99">
        <v>1</v>
      </c>
      <c r="G253" s="36">
        <f t="shared" si="21"/>
        <v>23</v>
      </c>
      <c r="H253" s="99">
        <f t="shared" si="15"/>
        <v>1</v>
      </c>
      <c r="I253" s="99">
        <f t="shared" si="13"/>
        <v>264000000</v>
      </c>
      <c r="J253" s="99">
        <f t="shared" si="20"/>
        <v>0</v>
      </c>
      <c r="K253" s="99">
        <f t="shared" si="17"/>
        <v>264000000</v>
      </c>
    </row>
    <row r="254" spans="1:13">
      <c r="A254" s="99" t="s">
        <v>4515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22</v>
      </c>
      <c r="H254" s="99">
        <f t="shared" si="15"/>
        <v>1</v>
      </c>
      <c r="I254" s="99">
        <f t="shared" si="13"/>
        <v>63000000</v>
      </c>
      <c r="J254" s="99">
        <f t="shared" si="20"/>
        <v>0</v>
      </c>
      <c r="K254" s="99">
        <f t="shared" si="17"/>
        <v>63000000</v>
      </c>
    </row>
    <row r="255" spans="1:13">
      <c r="A255" s="99" t="s">
        <v>4517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21</v>
      </c>
      <c r="H255" s="99">
        <f t="shared" si="15"/>
        <v>0</v>
      </c>
      <c r="I255" s="99">
        <f t="shared" si="13"/>
        <v>-294000000</v>
      </c>
      <c r="J255" s="99">
        <f t="shared" si="20"/>
        <v>0</v>
      </c>
      <c r="K255" s="99">
        <f t="shared" si="17"/>
        <v>-294000000</v>
      </c>
    </row>
    <row r="256" spans="1:13">
      <c r="A256" s="99" t="s">
        <v>4519</v>
      </c>
      <c r="B256" s="18">
        <v>-124969</v>
      </c>
      <c r="C256" s="18">
        <v>0</v>
      </c>
      <c r="D256" s="18">
        <f t="shared" si="18"/>
        <v>-124969</v>
      </c>
      <c r="E256" s="99" t="s">
        <v>4016</v>
      </c>
      <c r="F256" s="99">
        <v>0</v>
      </c>
      <c r="G256" s="36">
        <f t="shared" si="21"/>
        <v>20</v>
      </c>
      <c r="H256" s="99">
        <f t="shared" si="15"/>
        <v>0</v>
      </c>
      <c r="I256" s="99">
        <f t="shared" si="13"/>
        <v>-2499380</v>
      </c>
      <c r="J256" s="99">
        <f t="shared" si="20"/>
        <v>0</v>
      </c>
      <c r="K256" s="99">
        <f t="shared" si="17"/>
        <v>-2499380</v>
      </c>
    </row>
    <row r="257" spans="1:13">
      <c r="A257" s="99" t="s">
        <v>4519</v>
      </c>
      <c r="B257" s="18">
        <v>0</v>
      </c>
      <c r="C257" s="39">
        <v>-7968789</v>
      </c>
      <c r="D257" s="39">
        <f t="shared" si="18"/>
        <v>7968789</v>
      </c>
      <c r="E257" s="99" t="s">
        <v>4523</v>
      </c>
      <c r="F257" s="99">
        <v>1</v>
      </c>
      <c r="G257" s="36">
        <f t="shared" si="21"/>
        <v>20</v>
      </c>
      <c r="H257" s="99">
        <f t="shared" si="15"/>
        <v>0</v>
      </c>
      <c r="I257" s="99">
        <f t="shared" si="13"/>
        <v>0</v>
      </c>
      <c r="J257" s="99">
        <f t="shared" si="20"/>
        <v>-159375780</v>
      </c>
      <c r="K257" s="99">
        <f t="shared" si="17"/>
        <v>159375780</v>
      </c>
    </row>
    <row r="258" spans="1:13">
      <c r="A258" s="99" t="s">
        <v>4525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19</v>
      </c>
      <c r="H258" s="99">
        <f t="shared" si="15"/>
        <v>0</v>
      </c>
      <c r="I258" s="99">
        <f t="shared" si="13"/>
        <v>-24947000</v>
      </c>
      <c r="J258" s="99">
        <f t="shared" si="20"/>
        <v>0</v>
      </c>
      <c r="K258" s="99">
        <f t="shared" si="17"/>
        <v>-24947000</v>
      </c>
    </row>
    <row r="259" spans="1:13">
      <c r="A259" s="99" t="s">
        <v>4539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16</v>
      </c>
      <c r="H259" s="99">
        <f t="shared" si="15"/>
        <v>1</v>
      </c>
      <c r="I259" s="99">
        <f t="shared" si="13"/>
        <v>30000000</v>
      </c>
      <c r="J259" s="99">
        <f t="shared" si="20"/>
        <v>0</v>
      </c>
      <c r="K259" s="99">
        <f t="shared" si="17"/>
        <v>30000000</v>
      </c>
      <c r="M259" t="s">
        <v>25</v>
      </c>
    </row>
    <row r="260" spans="1:13">
      <c r="A260" s="99" t="s">
        <v>4540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15</v>
      </c>
      <c r="H260" s="99">
        <f t="shared" si="15"/>
        <v>0</v>
      </c>
      <c r="I260" s="99">
        <f t="shared" si="13"/>
        <v>-28500000</v>
      </c>
      <c r="J260" s="99">
        <f t="shared" si="20"/>
        <v>0</v>
      </c>
      <c r="K260" s="99">
        <f t="shared" si="17"/>
        <v>-28500000</v>
      </c>
    </row>
    <row r="261" spans="1:13">
      <c r="A261" s="99" t="s">
        <v>4540</v>
      </c>
      <c r="B261" s="18">
        <v>-100500</v>
      </c>
      <c r="C261" s="18">
        <v>0</v>
      </c>
      <c r="D261" s="18">
        <f t="shared" si="18"/>
        <v>-100500</v>
      </c>
      <c r="E261" s="99" t="s">
        <v>4543</v>
      </c>
      <c r="F261" s="99">
        <v>0</v>
      </c>
      <c r="G261" s="36">
        <f t="shared" si="21"/>
        <v>15</v>
      </c>
      <c r="H261" s="99">
        <f t="shared" si="15"/>
        <v>0</v>
      </c>
      <c r="I261" s="99">
        <f t="shared" si="13"/>
        <v>-1507500</v>
      </c>
      <c r="J261" s="99">
        <f t="shared" si="20"/>
        <v>0</v>
      </c>
      <c r="K261" s="99">
        <f t="shared" si="17"/>
        <v>-1507500</v>
      </c>
    </row>
    <row r="262" spans="1:13">
      <c r="A262" s="99" t="s">
        <v>4540</v>
      </c>
      <c r="B262" s="18">
        <v>-68670</v>
      </c>
      <c r="C262" s="18">
        <v>0</v>
      </c>
      <c r="D262" s="18">
        <f t="shared" si="18"/>
        <v>-68670</v>
      </c>
      <c r="E262" s="99" t="s">
        <v>4548</v>
      </c>
      <c r="F262" s="99">
        <v>1</v>
      </c>
      <c r="G262" s="36">
        <f t="shared" si="21"/>
        <v>15</v>
      </c>
      <c r="H262" s="99">
        <f t="shared" si="15"/>
        <v>0</v>
      </c>
      <c r="I262" s="99">
        <f t="shared" si="13"/>
        <v>-1030050</v>
      </c>
      <c r="J262" s="99">
        <f t="shared" si="20"/>
        <v>0</v>
      </c>
      <c r="K262" s="99">
        <f t="shared" si="17"/>
        <v>-1030050</v>
      </c>
    </row>
    <row r="263" spans="1:13">
      <c r="A263" s="99" t="s">
        <v>4544</v>
      </c>
      <c r="B263" s="18">
        <v>-118600</v>
      </c>
      <c r="C263" s="18">
        <v>0</v>
      </c>
      <c r="D263" s="18">
        <f t="shared" si="18"/>
        <v>-118600</v>
      </c>
      <c r="E263" s="99" t="s">
        <v>4410</v>
      </c>
      <c r="F263" s="99">
        <v>2</v>
      </c>
      <c r="G263" s="36">
        <f t="shared" si="21"/>
        <v>14</v>
      </c>
      <c r="H263" s="99">
        <f t="shared" si="15"/>
        <v>0</v>
      </c>
      <c r="I263" s="99">
        <f t="shared" si="13"/>
        <v>-1660400</v>
      </c>
      <c r="J263" s="99">
        <f t="shared" si="20"/>
        <v>0</v>
      </c>
      <c r="K263" s="99">
        <f t="shared" si="17"/>
        <v>-1660400</v>
      </c>
      <c r="L263" t="s">
        <v>25</v>
      </c>
    </row>
    <row r="264" spans="1:13">
      <c r="A264" s="99" t="s">
        <v>4560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12</v>
      </c>
      <c r="H264" s="99">
        <f t="shared" si="15"/>
        <v>1</v>
      </c>
      <c r="I264" s="99">
        <f t="shared" si="13"/>
        <v>74569000</v>
      </c>
      <c r="J264" s="99">
        <f t="shared" si="20"/>
        <v>0</v>
      </c>
      <c r="K264" s="99">
        <f t="shared" si="17"/>
        <v>74569000</v>
      </c>
    </row>
    <row r="265" spans="1:13">
      <c r="A265" s="99" t="s">
        <v>4560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12</v>
      </c>
      <c r="H265" s="99">
        <f t="shared" si="15"/>
        <v>0</v>
      </c>
      <c r="I265" s="99">
        <f t="shared" si="13"/>
        <v>-76800000</v>
      </c>
      <c r="J265" s="99">
        <f t="shared" si="20"/>
        <v>0</v>
      </c>
      <c r="K265" s="99">
        <f t="shared" si="17"/>
        <v>-76800000</v>
      </c>
    </row>
    <row r="266" spans="1:13">
      <c r="A266" s="99" t="s">
        <v>4560</v>
      </c>
      <c r="B266" s="18">
        <v>-389000</v>
      </c>
      <c r="C266" s="18">
        <v>0</v>
      </c>
      <c r="D266" s="18">
        <f t="shared" si="18"/>
        <v>-389000</v>
      </c>
      <c r="E266" s="99" t="s">
        <v>4564</v>
      </c>
      <c r="F266" s="99">
        <v>4</v>
      </c>
      <c r="G266" s="36">
        <f t="shared" si="21"/>
        <v>12</v>
      </c>
      <c r="H266" s="99">
        <f t="shared" si="15"/>
        <v>0</v>
      </c>
      <c r="I266" s="99">
        <f t="shared" si="13"/>
        <v>-4668000</v>
      </c>
      <c r="J266" s="99">
        <f t="shared" si="20"/>
        <v>0</v>
      </c>
      <c r="K266" s="99">
        <f t="shared" si="17"/>
        <v>-4668000</v>
      </c>
      <c r="M266" t="s">
        <v>25</v>
      </c>
    </row>
    <row r="267" spans="1:13">
      <c r="A267" s="99" t="s">
        <v>4592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8</v>
      </c>
      <c r="H267" s="99">
        <f t="shared" si="15"/>
        <v>1</v>
      </c>
      <c r="I267" s="99">
        <f t="shared" si="13"/>
        <v>1540000</v>
      </c>
      <c r="J267" s="99">
        <f t="shared" si="20"/>
        <v>0</v>
      </c>
      <c r="K267" s="99">
        <f t="shared" si="17"/>
        <v>1540000</v>
      </c>
    </row>
    <row r="268" spans="1:13">
      <c r="A268" s="99" t="s">
        <v>4593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</v>
      </c>
      <c r="H268" s="99">
        <f t="shared" si="15"/>
        <v>0</v>
      </c>
      <c r="I268" s="99">
        <f t="shared" si="13"/>
        <v>-875120</v>
      </c>
      <c r="J268" s="99">
        <f t="shared" si="20"/>
        <v>0</v>
      </c>
      <c r="K268" s="99">
        <f t="shared" si="17"/>
        <v>-875120</v>
      </c>
    </row>
    <row r="269" spans="1:13">
      <c r="A269" s="99" t="s">
        <v>4597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6</v>
      </c>
      <c r="H269" s="99">
        <f t="shared" si="15"/>
        <v>1</v>
      </c>
      <c r="I269" s="99">
        <f t="shared" si="13"/>
        <v>500000</v>
      </c>
      <c r="J269" s="99">
        <f t="shared" si="20"/>
        <v>0</v>
      </c>
      <c r="K269" s="99">
        <f t="shared" si="17"/>
        <v>500000</v>
      </c>
    </row>
    <row r="270" spans="1:13">
      <c r="A270" s="99" t="s">
        <v>4597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6</v>
      </c>
      <c r="H270" s="99">
        <f t="shared" si="15"/>
        <v>1</v>
      </c>
      <c r="I270" s="99">
        <f t="shared" si="13"/>
        <v>13000000</v>
      </c>
      <c r="J270" s="99">
        <f t="shared" si="20"/>
        <v>0</v>
      </c>
      <c r="K270" s="99">
        <f t="shared" si="17"/>
        <v>13000000</v>
      </c>
      <c r="L270" t="s">
        <v>25</v>
      </c>
    </row>
    <row r="271" spans="1:13">
      <c r="A271" s="99" t="s">
        <v>4606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5</v>
      </c>
      <c r="H271" s="99">
        <f t="shared" si="15"/>
        <v>1</v>
      </c>
      <c r="I271" s="99">
        <f t="shared" si="13"/>
        <v>17600000</v>
      </c>
      <c r="J271" s="99">
        <f t="shared" si="20"/>
        <v>0</v>
      </c>
      <c r="K271" s="99">
        <f t="shared" si="17"/>
        <v>17600000</v>
      </c>
    </row>
    <row r="272" spans="1:13">
      <c r="A272" s="99" t="s">
        <v>4606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5</v>
      </c>
      <c r="H272" s="99">
        <f t="shared" si="15"/>
        <v>0</v>
      </c>
      <c r="I272" s="99">
        <f t="shared" si="13"/>
        <v>-475000</v>
      </c>
      <c r="J272" s="99">
        <f t="shared" si="20"/>
        <v>0</v>
      </c>
      <c r="K272" s="99">
        <f t="shared" si="17"/>
        <v>-475000</v>
      </c>
    </row>
    <row r="273" spans="1:11">
      <c r="A273" s="99" t="s">
        <v>4612</v>
      </c>
      <c r="B273" s="18">
        <v>-900000</v>
      </c>
      <c r="C273" s="18">
        <v>0</v>
      </c>
      <c r="D273" s="18">
        <f t="shared" si="18"/>
        <v>-900000</v>
      </c>
      <c r="E273" s="99" t="s">
        <v>4628</v>
      </c>
      <c r="F273" s="99">
        <v>1</v>
      </c>
      <c r="G273" s="36">
        <f t="shared" si="21"/>
        <v>4</v>
      </c>
      <c r="H273" s="99">
        <f t="shared" si="15"/>
        <v>0</v>
      </c>
      <c r="I273" s="99">
        <f t="shared" si="13"/>
        <v>-3600000</v>
      </c>
      <c r="J273" s="99">
        <f t="shared" si="20"/>
        <v>0</v>
      </c>
      <c r="K273" s="99">
        <f t="shared" si="17"/>
        <v>-3600000</v>
      </c>
    </row>
    <row r="274" spans="1:11">
      <c r="A274" s="99" t="s">
        <v>4625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</v>
      </c>
      <c r="H274" s="99">
        <f t="shared" si="15"/>
        <v>1</v>
      </c>
      <c r="I274" s="99">
        <f t="shared" si="13"/>
        <v>5000000</v>
      </c>
      <c r="J274" s="99">
        <f t="shared" si="20"/>
        <v>0</v>
      </c>
      <c r="K274" s="99">
        <f t="shared" si="17"/>
        <v>5000000</v>
      </c>
    </row>
    <row r="275" spans="1:11">
      <c r="A275" s="99" t="s">
        <v>4625</v>
      </c>
      <c r="B275" s="18">
        <v>-1287000</v>
      </c>
      <c r="C275" s="18">
        <v>0</v>
      </c>
      <c r="D275" s="18">
        <f t="shared" si="18"/>
        <v>-1287000</v>
      </c>
      <c r="E275" s="99" t="s">
        <v>4626</v>
      </c>
      <c r="F275" s="99">
        <v>2</v>
      </c>
      <c r="G275" s="36">
        <f t="shared" si="21"/>
        <v>3</v>
      </c>
      <c r="H275" s="99">
        <f t="shared" si="15"/>
        <v>0</v>
      </c>
      <c r="I275" s="99">
        <f t="shared" si="13"/>
        <v>-3861000</v>
      </c>
      <c r="J275" s="99">
        <f t="shared" si="20"/>
        <v>0</v>
      </c>
      <c r="K275" s="99">
        <f t="shared" si="17"/>
        <v>-3861000</v>
      </c>
    </row>
    <row r="276" spans="1:11">
      <c r="A276" s="99" t="s">
        <v>4617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1</v>
      </c>
      <c r="H276" s="99">
        <f t="shared" si="15"/>
        <v>1</v>
      </c>
      <c r="I276" s="99">
        <f t="shared" si="13"/>
        <v>0</v>
      </c>
      <c r="J276" s="99">
        <f t="shared" si="20"/>
        <v>0</v>
      </c>
      <c r="K276" s="99">
        <f t="shared" si="17"/>
        <v>0</v>
      </c>
    </row>
    <row r="277" spans="1:11">
      <c r="A277" s="99"/>
      <c r="B277" s="18"/>
      <c r="C277" s="18"/>
      <c r="D277" s="18"/>
      <c r="E277" s="99"/>
      <c r="F277" s="99"/>
      <c r="G277" s="36">
        <f t="shared" si="21"/>
        <v>0</v>
      </c>
      <c r="H277" s="99">
        <f t="shared" si="15"/>
        <v>0</v>
      </c>
      <c r="I277" s="99">
        <f t="shared" si="13"/>
        <v>0</v>
      </c>
      <c r="J277" s="99">
        <f t="shared" si="20"/>
        <v>0</v>
      </c>
      <c r="K277" s="99">
        <f t="shared" si="17"/>
        <v>0</v>
      </c>
    </row>
    <row r="278" spans="1:11">
      <c r="A278" s="99"/>
      <c r="B278" s="18"/>
      <c r="C278" s="18"/>
      <c r="D278" s="18"/>
      <c r="E278" s="99"/>
      <c r="F278" s="99"/>
      <c r="G278" s="36">
        <f t="shared" si="21"/>
        <v>0</v>
      </c>
      <c r="H278" s="99">
        <f t="shared" si="15"/>
        <v>0</v>
      </c>
      <c r="I278" s="99">
        <f t="shared" si="13"/>
        <v>0</v>
      </c>
      <c r="J278" s="99">
        <f t="shared" si="20"/>
        <v>0</v>
      </c>
      <c r="K278" s="99">
        <f t="shared" si="17"/>
        <v>0</v>
      </c>
    </row>
    <row r="279" spans="1:11">
      <c r="A279" s="99"/>
      <c r="B279" s="18"/>
      <c r="C279" s="18"/>
      <c r="D279" s="18"/>
      <c r="E279" s="99"/>
      <c r="F279" s="99"/>
      <c r="G279" s="36">
        <f t="shared" si="21"/>
        <v>0</v>
      </c>
      <c r="H279" s="99">
        <f t="shared" si="15"/>
        <v>0</v>
      </c>
      <c r="I279" s="99">
        <f t="shared" si="13"/>
        <v>0</v>
      </c>
      <c r="J279" s="99">
        <f t="shared" si="20"/>
        <v>0</v>
      </c>
      <c r="K279" s="99">
        <f t="shared" si="17"/>
        <v>0</v>
      </c>
    </row>
    <row r="280" spans="1:11">
      <c r="A280" s="99"/>
      <c r="B280" s="18"/>
      <c r="C280" s="18"/>
      <c r="D280" s="18"/>
      <c r="E280" s="99"/>
      <c r="F280" s="99"/>
      <c r="G280" s="36">
        <f t="shared" si="21"/>
        <v>0</v>
      </c>
      <c r="H280" s="99">
        <f t="shared" si="15"/>
        <v>0</v>
      </c>
      <c r="I280" s="99">
        <f t="shared" si="13"/>
        <v>0</v>
      </c>
      <c r="J280" s="99">
        <f t="shared" si="20"/>
        <v>0</v>
      </c>
      <c r="K280" s="99">
        <f t="shared" si="17"/>
        <v>0</v>
      </c>
    </row>
    <row r="281" spans="1:11">
      <c r="A281" s="99"/>
      <c r="B281" s="18"/>
      <c r="C281" s="18"/>
      <c r="D281" s="18"/>
      <c r="E281" s="99"/>
      <c r="F281" s="99"/>
      <c r="G281" s="36">
        <f t="shared" si="21"/>
        <v>0</v>
      </c>
      <c r="H281" s="99">
        <f t="shared" si="15"/>
        <v>0</v>
      </c>
      <c r="I281" s="99">
        <f t="shared" si="13"/>
        <v>0</v>
      </c>
      <c r="J281" s="99">
        <f t="shared" si="20"/>
        <v>0</v>
      </c>
      <c r="K281" s="99">
        <f t="shared" si="17"/>
        <v>0</v>
      </c>
    </row>
    <row r="282" spans="1:11">
      <c r="A282" s="99"/>
      <c r="B282" s="18"/>
      <c r="C282" s="18"/>
      <c r="D282" s="18"/>
      <c r="E282" s="99"/>
      <c r="F282" s="99"/>
      <c r="G282" s="36">
        <f t="shared" si="21"/>
        <v>0</v>
      </c>
      <c r="H282" s="99">
        <f t="shared" si="15"/>
        <v>0</v>
      </c>
      <c r="I282" s="99">
        <f t="shared" si="13"/>
        <v>0</v>
      </c>
      <c r="J282" s="99">
        <f t="shared" si="20"/>
        <v>0</v>
      </c>
      <c r="K282" s="99">
        <f t="shared" si="17"/>
        <v>0</v>
      </c>
    </row>
    <row r="283" spans="1:11">
      <c r="A283" s="99"/>
      <c r="B283" s="18"/>
      <c r="C283" s="18"/>
      <c r="D283" s="18"/>
      <c r="E283" s="99"/>
      <c r="F283" s="99"/>
      <c r="G283" s="36">
        <f t="shared" si="21"/>
        <v>0</v>
      </c>
      <c r="H283" s="99">
        <f t="shared" si="15"/>
        <v>0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11236041</v>
      </c>
      <c r="C286" s="29">
        <f>SUM(C2:C285)</f>
        <v>0</v>
      </c>
      <c r="D286" s="29">
        <f>SUM(D2:D285)</f>
        <v>11236041</v>
      </c>
      <c r="E286" s="11"/>
      <c r="F286" s="11"/>
      <c r="G286" s="11"/>
      <c r="H286" s="11"/>
      <c r="I286" s="29">
        <f>SUM(I2:I285)</f>
        <v>18856455261</v>
      </c>
      <c r="J286" s="29">
        <f>SUM(J2:J285)</f>
        <v>8687685429</v>
      </c>
      <c r="K286" s="29">
        <f>SUM(K2:K285)</f>
        <v>10168769832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18970276.922535211</v>
      </c>
      <c r="J289" s="29">
        <f>J286/G2</f>
        <v>8740126.186116701</v>
      </c>
      <c r="K289" s="29">
        <f>K286/G2</f>
        <v>10230150.736418512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12432680</v>
      </c>
      <c r="G293" t="s">
        <v>25</v>
      </c>
      <c r="J293">
        <f>J286/I286*1448696</f>
        <v>667453.9279013531</v>
      </c>
      <c r="K293">
        <f>K286/I286*1448696</f>
        <v>781242.0720986469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3956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3981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3981</v>
      </c>
      <c r="B4" s="18">
        <v>-32000</v>
      </c>
      <c r="C4" s="18">
        <v>0</v>
      </c>
      <c r="D4" s="113">
        <f t="shared" si="0"/>
        <v>-32000</v>
      </c>
      <c r="E4" s="99" t="s">
        <v>3964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3983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4015</v>
      </c>
      <c r="B6" s="18">
        <v>-9396</v>
      </c>
      <c r="C6" s="18">
        <v>0</v>
      </c>
      <c r="D6" s="113">
        <f t="shared" si="0"/>
        <v>-9396</v>
      </c>
      <c r="E6" s="19" t="s">
        <v>4018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4019</v>
      </c>
      <c r="B7" s="18">
        <v>-43300</v>
      </c>
      <c r="C7" s="18">
        <v>0</v>
      </c>
      <c r="D7" s="113">
        <f t="shared" si="0"/>
        <v>-43300</v>
      </c>
      <c r="E7" s="19" t="s">
        <v>4018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4032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4036</v>
      </c>
      <c r="B9" s="18">
        <v>3000000</v>
      </c>
      <c r="C9" s="18">
        <v>0</v>
      </c>
      <c r="D9" s="113">
        <f t="shared" si="0"/>
        <v>3000000</v>
      </c>
      <c r="E9" s="21" t="s">
        <v>4035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4034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3963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3988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4249</v>
      </c>
      <c r="B72" s="113">
        <v>-5000</v>
      </c>
      <c r="C72" s="99" t="s">
        <v>4250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4042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4039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4041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4047</v>
      </c>
      <c r="B4" s="18">
        <v>-35800</v>
      </c>
      <c r="C4" s="18">
        <v>0</v>
      </c>
      <c r="D4" s="113">
        <f t="shared" si="0"/>
        <v>-35800</v>
      </c>
      <c r="E4" s="99" t="s">
        <v>3964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4046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4046</v>
      </c>
      <c r="B6" s="18">
        <v>-33377</v>
      </c>
      <c r="C6" s="18">
        <v>0</v>
      </c>
      <c r="D6" s="113">
        <f t="shared" si="0"/>
        <v>-33377</v>
      </c>
      <c r="E6" s="19" t="s">
        <v>4050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4069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4069</v>
      </c>
      <c r="B8" s="18">
        <v>18000000</v>
      </c>
      <c r="C8" s="18">
        <v>0</v>
      </c>
      <c r="D8" s="113">
        <f t="shared" si="0"/>
        <v>18000000</v>
      </c>
      <c r="E8" s="19" t="s">
        <v>4070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4069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4069</v>
      </c>
      <c r="B10" s="18">
        <v>-11600</v>
      </c>
      <c r="C10" s="18">
        <v>0</v>
      </c>
      <c r="D10" s="113">
        <f t="shared" si="0"/>
        <v>-11600</v>
      </c>
      <c r="E10" s="19" t="s">
        <v>4073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4069</v>
      </c>
      <c r="B11" s="18">
        <v>-3304327</v>
      </c>
      <c r="C11" s="18">
        <v>0</v>
      </c>
      <c r="D11" s="113">
        <f t="shared" si="0"/>
        <v>-3304327</v>
      </c>
      <c r="E11" s="19" t="s">
        <v>4074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4078</v>
      </c>
      <c r="B12" s="18">
        <v>-3000900</v>
      </c>
      <c r="C12" s="18">
        <v>0</v>
      </c>
      <c r="D12" s="113">
        <f t="shared" si="0"/>
        <v>-3000900</v>
      </c>
      <c r="E12" s="20" t="s">
        <v>4079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4083</v>
      </c>
      <c r="B13" s="18">
        <v>-2760900</v>
      </c>
      <c r="C13" s="18">
        <v>0</v>
      </c>
      <c r="D13" s="113">
        <f t="shared" si="0"/>
        <v>-2760900</v>
      </c>
      <c r="E13" s="20" t="s">
        <v>4084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4097</v>
      </c>
      <c r="B14" s="18">
        <v>1000000</v>
      </c>
      <c r="C14" s="18">
        <v>0</v>
      </c>
      <c r="D14" s="113">
        <f t="shared" si="0"/>
        <v>1000000</v>
      </c>
      <c r="E14" s="20" t="s">
        <v>4076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4113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4109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4109</v>
      </c>
      <c r="B17" s="18">
        <v>783000</v>
      </c>
      <c r="C17" s="18">
        <v>0</v>
      </c>
      <c r="D17" s="113">
        <f t="shared" si="0"/>
        <v>783000</v>
      </c>
      <c r="E17" s="20" t="s">
        <v>4116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4119</v>
      </c>
      <c r="B18" s="18">
        <v>-750500</v>
      </c>
      <c r="C18" s="18">
        <v>0</v>
      </c>
      <c r="D18" s="113">
        <f t="shared" si="0"/>
        <v>-750500</v>
      </c>
      <c r="E18" s="20" t="s">
        <v>4120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4132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4132</v>
      </c>
      <c r="B20" s="18">
        <v>-99000</v>
      </c>
      <c r="C20" s="18">
        <v>0</v>
      </c>
      <c r="D20" s="113">
        <f t="shared" si="0"/>
        <v>-99000</v>
      </c>
      <c r="E20" s="19" t="s">
        <v>4134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4135</v>
      </c>
      <c r="B21" s="18">
        <v>-205750</v>
      </c>
      <c r="C21" s="18">
        <v>0</v>
      </c>
      <c r="D21" s="113">
        <f t="shared" si="0"/>
        <v>-205750</v>
      </c>
      <c r="E21" s="19" t="s">
        <v>4136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4135</v>
      </c>
      <c r="B22" s="18">
        <v>-95000</v>
      </c>
      <c r="C22" s="18">
        <v>0</v>
      </c>
      <c r="D22" s="113">
        <f t="shared" si="0"/>
        <v>-95000</v>
      </c>
      <c r="E22" s="19" t="s">
        <v>4137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4153</v>
      </c>
      <c r="B23" s="18">
        <v>48650000</v>
      </c>
      <c r="C23" s="18">
        <v>0</v>
      </c>
      <c r="D23" s="113">
        <f t="shared" si="0"/>
        <v>48650000</v>
      </c>
      <c r="E23" s="19" t="s">
        <v>4154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4153</v>
      </c>
      <c r="B24" s="18">
        <v>-3005900</v>
      </c>
      <c r="C24" s="18">
        <v>0</v>
      </c>
      <c r="D24" s="113">
        <f t="shared" si="0"/>
        <v>-3005900</v>
      </c>
      <c r="E24" s="19" t="s">
        <v>4156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4158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4158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4171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4172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4168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4043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4096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4099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4110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4110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4131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4133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4146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4160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4161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4162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4163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4165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4169</v>
      </c>
      <c r="F82" s="96"/>
      <c r="G82" s="96"/>
      <c r="H82" s="96"/>
      <c r="I82" s="96"/>
    </row>
    <row r="83" spans="1:9">
      <c r="D83" s="114">
        <v>-150000</v>
      </c>
      <c r="E83" s="41" t="s">
        <v>4170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4173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4168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4174</v>
      </c>
      <c r="B3" s="18">
        <v>830000</v>
      </c>
      <c r="C3" s="18">
        <v>0</v>
      </c>
      <c r="D3" s="117">
        <f t="shared" ref="D3:D26" si="0">B3-C3</f>
        <v>830000</v>
      </c>
      <c r="E3" s="20" t="s">
        <v>4176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4191</v>
      </c>
      <c r="B4" s="18">
        <v>-52440</v>
      </c>
      <c r="C4" s="18">
        <v>0</v>
      </c>
      <c r="D4" s="113">
        <f t="shared" si="0"/>
        <v>-52440</v>
      </c>
      <c r="E4" s="99" t="s">
        <v>4193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4194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4195</v>
      </c>
      <c r="B6" s="18">
        <v>-200000</v>
      </c>
      <c r="C6" s="18">
        <v>0</v>
      </c>
      <c r="D6" s="113">
        <f t="shared" si="0"/>
        <v>-200000</v>
      </c>
      <c r="E6" s="19" t="s">
        <v>4196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4197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4198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4198</v>
      </c>
      <c r="B9" s="18">
        <v>-30000</v>
      </c>
      <c r="C9" s="18">
        <v>0</v>
      </c>
      <c r="D9" s="113">
        <f t="shared" si="0"/>
        <v>-30000</v>
      </c>
      <c r="E9" s="21" t="s">
        <v>4199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4069</v>
      </c>
      <c r="B10" s="18">
        <v>-178000</v>
      </c>
      <c r="C10" s="18">
        <v>0</v>
      </c>
      <c r="D10" s="113">
        <f t="shared" si="0"/>
        <v>-178000</v>
      </c>
      <c r="E10" s="19" t="s">
        <v>4202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4203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4167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4207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4212</v>
      </c>
      <c r="B14" s="18">
        <v>1548000</v>
      </c>
      <c r="C14" s="18">
        <v>0</v>
      </c>
      <c r="D14" s="113">
        <f t="shared" si="0"/>
        <v>1548000</v>
      </c>
      <c r="E14" s="20" t="s">
        <v>4248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4243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4249</v>
      </c>
      <c r="B16" s="18">
        <v>-5000</v>
      </c>
      <c r="C16" s="18">
        <v>-2500</v>
      </c>
      <c r="D16" s="113">
        <f t="shared" si="0"/>
        <v>-2500</v>
      </c>
      <c r="E16" s="20" t="s">
        <v>4250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4260</v>
      </c>
      <c r="B17" s="18">
        <v>-190000</v>
      </c>
      <c r="C17" s="18">
        <v>0</v>
      </c>
      <c r="D17" s="113">
        <f t="shared" si="0"/>
        <v>-190000</v>
      </c>
      <c r="E17" s="20" t="s">
        <v>4261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4288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4132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4132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4135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4135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4158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4171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4177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4179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4206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4284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4287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4288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4307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4313</v>
      </c>
      <c r="B4" s="18">
        <v>-3200000</v>
      </c>
      <c r="C4" s="18">
        <v>0</v>
      </c>
      <c r="D4" s="113">
        <f t="shared" si="0"/>
        <v>-3200000</v>
      </c>
      <c r="E4" s="99" t="s">
        <v>4324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4313</v>
      </c>
      <c r="B5" s="18">
        <v>2400000</v>
      </c>
      <c r="C5" s="18">
        <v>0</v>
      </c>
      <c r="D5" s="113">
        <f t="shared" si="0"/>
        <v>2400000</v>
      </c>
      <c r="E5" s="20" t="s">
        <v>4327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4335</v>
      </c>
      <c r="B6" s="18">
        <v>-2000700</v>
      </c>
      <c r="C6" s="18">
        <v>0</v>
      </c>
      <c r="D6" s="113">
        <f t="shared" si="0"/>
        <v>-2000700</v>
      </c>
      <c r="E6" s="19" t="s">
        <v>4336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4335</v>
      </c>
      <c r="B7" s="18">
        <v>-200000</v>
      </c>
      <c r="C7" s="18">
        <v>0</v>
      </c>
      <c r="D7" s="113">
        <f t="shared" si="0"/>
        <v>-200000</v>
      </c>
      <c r="E7" s="19" t="s">
        <v>4337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4335</v>
      </c>
      <c r="B8" s="18">
        <v>-1900000</v>
      </c>
      <c r="C8" s="18">
        <v>0</v>
      </c>
      <c r="D8" s="113">
        <f t="shared" si="0"/>
        <v>-1900000</v>
      </c>
      <c r="E8" s="19" t="s">
        <v>4338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4341</v>
      </c>
      <c r="B9" s="18">
        <v>-50000</v>
      </c>
      <c r="C9" s="18">
        <v>0</v>
      </c>
      <c r="D9" s="113">
        <f t="shared" si="0"/>
        <v>-50000</v>
      </c>
      <c r="E9" s="21" t="s">
        <v>4342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4354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4354</v>
      </c>
      <c r="B11" s="18">
        <v>-3000900</v>
      </c>
      <c r="C11" s="18">
        <v>0</v>
      </c>
      <c r="D11" s="113">
        <f t="shared" si="0"/>
        <v>-3000900</v>
      </c>
      <c r="E11" s="19" t="s">
        <v>4362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4355</v>
      </c>
      <c r="B12" s="18">
        <v>-3000900</v>
      </c>
      <c r="C12" s="18">
        <v>0</v>
      </c>
      <c r="D12" s="113">
        <f t="shared" si="0"/>
        <v>-3000900</v>
      </c>
      <c r="E12" s="20" t="s">
        <v>4362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4355</v>
      </c>
      <c r="B13" s="18">
        <v>-555000</v>
      </c>
      <c r="C13" s="18">
        <v>0</v>
      </c>
      <c r="D13" s="113">
        <f t="shared" si="0"/>
        <v>-555000</v>
      </c>
      <c r="E13" s="20" t="s">
        <v>4261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4374</v>
      </c>
      <c r="B14" s="18">
        <v>-138360</v>
      </c>
      <c r="C14" s="18">
        <v>0</v>
      </c>
      <c r="D14" s="113">
        <f t="shared" si="0"/>
        <v>-138360</v>
      </c>
      <c r="E14" s="20" t="s">
        <v>4375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4377</v>
      </c>
      <c r="B15" s="18">
        <v>-3000900</v>
      </c>
      <c r="C15" s="18">
        <v>0</v>
      </c>
      <c r="D15" s="117">
        <f t="shared" si="0"/>
        <v>-3000900</v>
      </c>
      <c r="E15" s="20" t="s">
        <v>4362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4383</v>
      </c>
      <c r="B16" s="18">
        <v>-55000</v>
      </c>
      <c r="C16" s="18">
        <v>0</v>
      </c>
      <c r="D16" s="113">
        <f t="shared" si="0"/>
        <v>-55000</v>
      </c>
      <c r="E16" s="20" t="s">
        <v>4155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4400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4411</v>
      </c>
      <c r="B18" s="18">
        <v>-4098523</v>
      </c>
      <c r="C18" s="18">
        <v>0</v>
      </c>
      <c r="D18" s="113">
        <f t="shared" si="0"/>
        <v>-4098523</v>
      </c>
      <c r="E18" s="20" t="s">
        <v>4410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4411</v>
      </c>
      <c r="B19" s="18">
        <v>-33225</v>
      </c>
      <c r="C19" s="18">
        <v>0</v>
      </c>
      <c r="D19" s="113">
        <f t="shared" si="0"/>
        <v>-33225</v>
      </c>
      <c r="E19" s="20" t="s">
        <v>4261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4411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4407</v>
      </c>
      <c r="B21" s="18">
        <v>-7500</v>
      </c>
      <c r="C21" s="18">
        <v>0</v>
      </c>
      <c r="D21" s="113">
        <f t="shared" si="0"/>
        <v>-7500</v>
      </c>
      <c r="E21" s="19" t="s">
        <v>4408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4444</v>
      </c>
      <c r="B22" s="18">
        <v>7964</v>
      </c>
      <c r="C22" s="18">
        <v>65497</v>
      </c>
      <c r="D22" s="113">
        <f t="shared" si="0"/>
        <v>-57533</v>
      </c>
      <c r="E22" s="19" t="s">
        <v>4445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4158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4171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4291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4300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4384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4385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4386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4387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4389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4391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4392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4393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4394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4395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4396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4399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4401</v>
      </c>
    </row>
    <row r="82" spans="4:5">
      <c r="D82" s="114">
        <v>-142143</v>
      </c>
      <c r="E82" s="54" t="s">
        <v>4405</v>
      </c>
    </row>
    <row r="83" spans="4:5">
      <c r="D83" s="114">
        <v>-128352</v>
      </c>
      <c r="E83" s="54" t="s">
        <v>4404</v>
      </c>
    </row>
    <row r="84" spans="4:5">
      <c r="D84" s="114">
        <v>-6035000</v>
      </c>
      <c r="E84" s="54" t="s">
        <v>4414</v>
      </c>
    </row>
    <row r="85" spans="4:5">
      <c r="D85" s="114">
        <v>-55957</v>
      </c>
      <c r="E85" s="54" t="s">
        <v>4413</v>
      </c>
    </row>
    <row r="86" spans="4:5">
      <c r="D86" s="114">
        <v>7500</v>
      </c>
      <c r="E86" s="54" t="s">
        <v>4412</v>
      </c>
    </row>
    <row r="87" spans="4:5">
      <c r="D87" s="114">
        <v>1700000</v>
      </c>
      <c r="E87" s="54" t="s">
        <v>4415</v>
      </c>
    </row>
    <row r="88" spans="4:5">
      <c r="D88" s="114">
        <v>129648</v>
      </c>
      <c r="E88" s="54" t="s">
        <v>4416</v>
      </c>
    </row>
    <row r="89" spans="4:5">
      <c r="D89" s="114">
        <v>1000000</v>
      </c>
      <c r="E89" s="54" t="s">
        <v>4419</v>
      </c>
    </row>
    <row r="90" spans="4:5">
      <c r="D90" s="114">
        <v>-53003</v>
      </c>
      <c r="E90" s="54" t="s">
        <v>4420</v>
      </c>
    </row>
    <row r="91" spans="4:5">
      <c r="D91" s="114">
        <v>-23690</v>
      </c>
      <c r="E91" s="54" t="s">
        <v>4420</v>
      </c>
    </row>
    <row r="92" spans="4:5">
      <c r="D92" s="114">
        <v>-216910</v>
      </c>
      <c r="E92" s="54" t="s">
        <v>4422</v>
      </c>
    </row>
    <row r="93" spans="4:5">
      <c r="D93" s="114">
        <v>-30304</v>
      </c>
      <c r="E93" s="54" t="s">
        <v>4426</v>
      </c>
    </row>
    <row r="94" spans="4:5">
      <c r="D94" s="114">
        <v>-10067</v>
      </c>
      <c r="E94" s="54" t="s">
        <v>4427</v>
      </c>
    </row>
    <row r="95" spans="4:5">
      <c r="D95" s="114">
        <v>-16248</v>
      </c>
      <c r="E95" s="54" t="s">
        <v>4429</v>
      </c>
    </row>
    <row r="96" spans="4:5">
      <c r="D96" s="114">
        <v>-87695</v>
      </c>
      <c r="E96" s="54" t="s">
        <v>4430</v>
      </c>
    </row>
    <row r="97" spans="4:7">
      <c r="D97" s="114">
        <v>-29231</v>
      </c>
      <c r="E97" s="54" t="s">
        <v>4431</v>
      </c>
    </row>
    <row r="98" spans="4:7">
      <c r="D98" s="114">
        <v>1000000</v>
      </c>
      <c r="E98" s="54" t="s">
        <v>4432</v>
      </c>
    </row>
    <row r="99" spans="4:7">
      <c r="D99" s="114">
        <v>-35250</v>
      </c>
      <c r="E99" s="54" t="s">
        <v>4433</v>
      </c>
    </row>
    <row r="100" spans="4:7">
      <c r="D100" s="114">
        <v>-57477</v>
      </c>
      <c r="E100" s="54" t="s">
        <v>4434</v>
      </c>
    </row>
    <row r="101" spans="4:7">
      <c r="D101" s="114">
        <v>-13565</v>
      </c>
      <c r="E101" s="54" t="s">
        <v>4435</v>
      </c>
    </row>
    <row r="102" spans="4:7">
      <c r="D102" s="114">
        <v>-9429</v>
      </c>
      <c r="E102" s="54" t="s">
        <v>4436</v>
      </c>
    </row>
    <row r="103" spans="4:7">
      <c r="D103" s="114">
        <v>-600000</v>
      </c>
      <c r="E103" s="54" t="s">
        <v>4437</v>
      </c>
    </row>
    <row r="104" spans="4:7">
      <c r="D104" s="114">
        <v>335</v>
      </c>
      <c r="E104" s="54" t="s">
        <v>4439</v>
      </c>
    </row>
    <row r="105" spans="4:7">
      <c r="D105" s="114">
        <v>31026</v>
      </c>
      <c r="E105" s="54" t="s">
        <v>4440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4438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4446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4448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4453</v>
      </c>
      <c r="B5" s="18">
        <v>1100000</v>
      </c>
      <c r="C5" s="18">
        <v>0</v>
      </c>
      <c r="D5" s="113">
        <f t="shared" si="0"/>
        <v>1100000</v>
      </c>
      <c r="E5" s="20" t="s">
        <v>4327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4456</v>
      </c>
      <c r="B6" s="18">
        <v>3000000</v>
      </c>
      <c r="C6" s="18">
        <v>0</v>
      </c>
      <c r="D6" s="113">
        <f t="shared" si="0"/>
        <v>3000000</v>
      </c>
      <c r="E6" s="19" t="s">
        <v>4457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4452</v>
      </c>
      <c r="B7" s="18">
        <v>-2000700</v>
      </c>
      <c r="C7" s="18">
        <v>0</v>
      </c>
      <c r="D7" s="113">
        <f t="shared" si="0"/>
        <v>-2000700</v>
      </c>
      <c r="E7" s="19" t="s">
        <v>4487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4452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4452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4452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4495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4495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4502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4234</v>
      </c>
      <c r="B14" s="18">
        <v>-13900</v>
      </c>
      <c r="C14" s="18">
        <v>0</v>
      </c>
      <c r="D14" s="113">
        <f t="shared" si="0"/>
        <v>-13900</v>
      </c>
      <c r="E14" s="20" t="s">
        <v>4016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4234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4513</v>
      </c>
      <c r="B16" s="18">
        <v>12000000</v>
      </c>
      <c r="C16" s="18">
        <v>0</v>
      </c>
      <c r="D16" s="113">
        <f t="shared" si="0"/>
        <v>12000000</v>
      </c>
      <c r="E16" s="20" t="s">
        <v>4514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4515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4517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4519</v>
      </c>
      <c r="B19" s="18">
        <v>-124969</v>
      </c>
      <c r="C19" s="18">
        <v>0</v>
      </c>
      <c r="D19" s="113">
        <f t="shared" si="0"/>
        <v>-124969</v>
      </c>
      <c r="E19" s="20" t="s">
        <v>4016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4519</v>
      </c>
      <c r="B20" s="18">
        <v>0</v>
      </c>
      <c r="C20" s="18">
        <v>-8034286</v>
      </c>
      <c r="D20" s="113">
        <f t="shared" si="0"/>
        <v>8034286</v>
      </c>
      <c r="E20" s="19" t="s">
        <v>4523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4519</v>
      </c>
      <c r="B21" s="18">
        <v>-10000</v>
      </c>
      <c r="C21" s="18">
        <v>0</v>
      </c>
      <c r="D21" s="113">
        <f t="shared" si="0"/>
        <v>-10000</v>
      </c>
      <c r="E21" s="19" t="s">
        <v>4524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4525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4539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4540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4540</v>
      </c>
      <c r="B25" s="18">
        <v>-100500</v>
      </c>
      <c r="C25" s="18">
        <v>0</v>
      </c>
      <c r="D25" s="113">
        <f t="shared" si="0"/>
        <v>-100500</v>
      </c>
      <c r="E25" s="19" t="s">
        <v>4543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4540</v>
      </c>
      <c r="B26" s="18">
        <v>-68670</v>
      </c>
      <c r="C26" s="18">
        <v>0</v>
      </c>
      <c r="D26" s="113">
        <f t="shared" si="0"/>
        <v>-68670</v>
      </c>
      <c r="E26" s="19" t="s">
        <v>4548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4544</v>
      </c>
      <c r="B27" s="18">
        <v>-118600</v>
      </c>
      <c r="C27" s="18">
        <v>0</v>
      </c>
      <c r="D27" s="113">
        <f t="shared" si="0"/>
        <v>-118600</v>
      </c>
      <c r="E27" s="19" t="s">
        <v>4550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4560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4560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4560</v>
      </c>
      <c r="B30" s="18">
        <v>-389000</v>
      </c>
      <c r="C30" s="18">
        <v>0</v>
      </c>
      <c r="D30" s="113">
        <f t="shared" si="0"/>
        <v>-389000</v>
      </c>
      <c r="E30" s="19" t="s">
        <v>4563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4171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4516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4530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4534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4543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4549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4561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4038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4224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4233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4225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4234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3955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4211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4226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4235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4227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4236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4228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4237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4229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4230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4238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4357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4282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4283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4231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4239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4232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4240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4037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4223</v>
      </c>
      <c r="AD63" s="25"/>
      <c r="AE63" s="26"/>
    </row>
    <row r="64" spans="1:31">
      <c r="A64">
        <v>611</v>
      </c>
      <c r="B64" t="s">
        <v>4215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4216</v>
      </c>
      <c r="AD66" s="25"/>
      <c r="AE66" s="26"/>
    </row>
    <row r="67" spans="1:31">
      <c r="A67">
        <v>702</v>
      </c>
      <c r="B67" t="s">
        <v>4217</v>
      </c>
      <c r="AD67" s="25"/>
      <c r="AE67" s="26"/>
    </row>
    <row r="68" spans="1:31">
      <c r="A68">
        <v>704</v>
      </c>
      <c r="B68" t="s">
        <v>4218</v>
      </c>
      <c r="AD68" s="25"/>
      <c r="AE68" s="26"/>
    </row>
    <row r="69" spans="1:31">
      <c r="A69">
        <v>705</v>
      </c>
      <c r="B69" t="s">
        <v>4219</v>
      </c>
      <c r="AD69" s="25"/>
      <c r="AE69" s="26"/>
    </row>
    <row r="70" spans="1:31">
      <c r="A70">
        <v>706</v>
      </c>
      <c r="B70" t="s">
        <v>4220</v>
      </c>
      <c r="AD70" s="25"/>
      <c r="AE70" s="26"/>
    </row>
    <row r="71" spans="1:31">
      <c r="A71" s="25">
        <v>711</v>
      </c>
      <c r="B71" s="25" t="s">
        <v>4221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4222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3958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4254</v>
      </c>
      <c r="B8" s="95">
        <f>B2*B4*B5*B6/(B1*B3)+B7</f>
        <v>4199588.2122186488</v>
      </c>
      <c r="C8" s="99">
        <f>B2*B4*B5/(B1*B3)+B7/B6</f>
        <v>299.97058658704634</v>
      </c>
      <c r="D8" s="99" t="s">
        <v>4257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4255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4256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4167</v>
      </c>
      <c r="J11" s="69" t="s">
        <v>4166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4088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4144</v>
      </c>
      <c r="P25" s="174">
        <v>2182188507</v>
      </c>
      <c r="Q25" s="175" t="s">
        <v>1094</v>
      </c>
      <c r="R25" s="175" t="s">
        <v>4089</v>
      </c>
      <c r="S25" s="175" t="s">
        <v>4094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4205</v>
      </c>
      <c r="P27" s="174">
        <v>2188831909</v>
      </c>
      <c r="Q27" s="99" t="s">
        <v>4091</v>
      </c>
      <c r="R27" s="99" t="s">
        <v>4092</v>
      </c>
      <c r="S27" s="99" t="s">
        <v>4093</v>
      </c>
      <c r="T27" s="177" t="s">
        <v>4095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4081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53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3920</v>
      </c>
    </row>
    <row r="249" spans="1:7">
      <c r="A249" s="74" t="s">
        <v>3938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3939</v>
      </c>
    </row>
    <row r="255" spans="1:7">
      <c r="A255" s="99" t="s">
        <v>3941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3943</v>
      </c>
    </row>
    <row r="256" spans="1:7">
      <c r="A256" s="99" t="s">
        <v>3941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3759</v>
      </c>
    </row>
    <row r="257" spans="1:7">
      <c r="A257" s="99" t="s">
        <v>3945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3946</v>
      </c>
    </row>
    <row r="258" spans="1:7">
      <c r="A258" s="99" t="s">
        <v>3945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3947</v>
      </c>
    </row>
    <row r="259" spans="1:7">
      <c r="A259" s="99" t="s">
        <v>4243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4250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3937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4583</v>
      </c>
      <c r="B1" t="s">
        <v>4586</v>
      </c>
      <c r="C1" t="s">
        <v>4587</v>
      </c>
    </row>
    <row r="2" spans="1:3">
      <c r="A2" t="s">
        <v>4584</v>
      </c>
      <c r="B2" t="s">
        <v>4588</v>
      </c>
      <c r="C2" t="s">
        <v>4589</v>
      </c>
    </row>
    <row r="3" spans="1:3">
      <c r="A3" t="s">
        <v>4585</v>
      </c>
      <c r="B3" t="s">
        <v>4587</v>
      </c>
      <c r="C3" t="s">
        <v>4590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4141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4142</v>
      </c>
      <c r="R8" s="115" t="s">
        <v>4143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4028</v>
      </c>
      <c r="L19" t="s">
        <v>4029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4030</v>
      </c>
      <c r="L20" t="s">
        <v>4189</v>
      </c>
      <c r="M20" t="s">
        <v>4031</v>
      </c>
      <c r="N20" t="s">
        <v>4190</v>
      </c>
      <c r="O20" t="s">
        <v>4111</v>
      </c>
      <c r="P20" t="s">
        <v>4112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4364</v>
      </c>
      <c r="L21" s="33" t="s">
        <v>4366</v>
      </c>
      <c r="M21" s="96" t="s">
        <v>4365</v>
      </c>
      <c r="N21" s="190" t="s">
        <v>4367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4329</v>
      </c>
      <c r="L23">
        <v>9149046982</v>
      </c>
      <c r="M23" t="s">
        <v>4330</v>
      </c>
      <c r="N23" t="s">
        <v>4331</v>
      </c>
      <c r="O23" t="s">
        <v>4332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4333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4334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3962</v>
      </c>
      <c r="B105" s="38">
        <f>SUM(B2:B103)</f>
        <v>59475793</v>
      </c>
      <c r="C105" s="73" t="s">
        <v>3961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3951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3951</v>
      </c>
      <c r="B178" s="38">
        <v>-100000</v>
      </c>
      <c r="C178" s="73" t="s">
        <v>3952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3956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3959</v>
      </c>
      <c r="B180" s="38">
        <v>-39030</v>
      </c>
      <c r="C180" s="73" t="s">
        <v>3960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3965</v>
      </c>
      <c r="B181" s="38">
        <v>-32000</v>
      </c>
      <c r="C181" s="73" t="s">
        <v>3966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3969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3971</v>
      </c>
      <c r="B183" s="38">
        <v>-20000</v>
      </c>
      <c r="C183" s="73" t="s">
        <v>3972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3975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3979</v>
      </c>
      <c r="B185" s="38">
        <v>-60100</v>
      </c>
      <c r="C185" s="73" t="s">
        <v>3980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3979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3995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4004</v>
      </c>
      <c r="B188" s="38">
        <v>-16000</v>
      </c>
      <c r="C188" s="73" t="s">
        <v>4005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4007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4013</v>
      </c>
      <c r="B190" s="38">
        <v>-10350</v>
      </c>
      <c r="C190" s="73" t="s">
        <v>4014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4249</v>
      </c>
      <c r="B191" s="38">
        <v>-5000</v>
      </c>
      <c r="C191" s="73" t="s">
        <v>4250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6"/>
  <sheetViews>
    <sheetView tabSelected="1" topLeftCell="K67" zoomScaleNormal="100" workbookViewId="0">
      <selection activeCell="Q54" sqref="Q54:Q9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4152</v>
      </c>
      <c r="AT6" s="99" t="s">
        <v>4183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4159</v>
      </c>
      <c r="AT7" s="99" t="s">
        <v>4184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4174</v>
      </c>
      <c r="AT8" s="99" t="s">
        <v>4185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4348</v>
      </c>
      <c r="AT9" s="99" t="s">
        <v>4349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3450000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سارا!D286</f>
        <v>11236041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3957</v>
      </c>
      <c r="K18" s="169" t="s">
        <v>683</v>
      </c>
      <c r="L18" s="117">
        <v>1000000</v>
      </c>
      <c r="M18" s="169" t="s">
        <v>4080</v>
      </c>
      <c r="N18" s="113">
        <v>35695</v>
      </c>
      <c r="Q18" s="169" t="s">
        <v>4295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4139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4370</v>
      </c>
      <c r="V19" s="73" t="s">
        <v>4372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4060</v>
      </c>
      <c r="AL19" s="69" t="s">
        <v>4052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4140</v>
      </c>
      <c r="K20" s="169"/>
      <c r="L20" s="117"/>
      <c r="M20" s="169" t="s">
        <v>4467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4174</v>
      </c>
      <c r="S20" s="194">
        <f>S54</f>
        <v>97</v>
      </c>
      <c r="T20" s="169" t="s">
        <v>4311</v>
      </c>
      <c r="U20" s="169">
        <v>192.1</v>
      </c>
      <c r="V20" s="169">
        <f t="shared" ref="V20:V32" si="4">U20*(1+$N$83+$Q$15*S20/36500)</f>
        <v>208.54586520547946</v>
      </c>
      <c r="W20" s="32">
        <f t="shared" ref="W20:W32" si="5">V20*(1+$W$19/100)</f>
        <v>212.71678250958905</v>
      </c>
      <c r="X20" s="32">
        <f t="shared" ref="X20:X32" si="6">V20*(1+$X$19/100)</f>
        <v>216.88769981369865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268</v>
      </c>
      <c r="AM20" s="113">
        <f>AJ20*AL20</f>
        <v>4824000000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4209</v>
      </c>
      <c r="J21" s="25"/>
      <c r="K21" s="169" t="s">
        <v>4480</v>
      </c>
      <c r="L21" s="117">
        <f>-N31</f>
        <v>85032565.780579969</v>
      </c>
      <c r="M21" s="169" t="s">
        <v>4303</v>
      </c>
      <c r="N21" s="113">
        <f t="shared" ref="N21:N28" si="7">O21*P21</f>
        <v>12459847.5</v>
      </c>
      <c r="O21" s="99">
        <v>72231</v>
      </c>
      <c r="P21" s="188">
        <f>P42</f>
        <v>172.5</v>
      </c>
      <c r="Q21" s="170">
        <v>1450345</v>
      </c>
      <c r="R21" s="169" t="s">
        <v>4307</v>
      </c>
      <c r="S21" s="194">
        <f>S20-36</f>
        <v>61</v>
      </c>
      <c r="T21" s="169" t="s">
        <v>4312</v>
      </c>
      <c r="U21" s="169">
        <v>313.7</v>
      </c>
      <c r="V21" s="169">
        <f t="shared" si="4"/>
        <v>331.8928810958904</v>
      </c>
      <c r="W21" s="32">
        <f t="shared" si="5"/>
        <v>338.53073871780822</v>
      </c>
      <c r="X21" s="32">
        <f t="shared" si="6"/>
        <v>345.16859633972604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267</v>
      </c>
      <c r="AM21" s="113">
        <f t="shared" ref="AM21:AM109" si="9">AJ21*AL21</f>
        <v>667500000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L63</f>
        <v>249976064.78057998</v>
      </c>
      <c r="G22" s="95">
        <f t="shared" si="0"/>
        <v>17998347.935613304</v>
      </c>
      <c r="H22" s="11"/>
      <c r="I22" s="96"/>
      <c r="J22" s="96"/>
      <c r="K22" s="169" t="s">
        <v>4483</v>
      </c>
      <c r="L22" s="117">
        <f>-'دی 97'!D57</f>
        <v>-1361703</v>
      </c>
      <c r="M22" s="169" t="s">
        <v>4315</v>
      </c>
      <c r="N22" s="113">
        <f t="shared" si="7"/>
        <v>8231955.2000000002</v>
      </c>
      <c r="O22" s="99">
        <v>28504</v>
      </c>
      <c r="P22" s="188">
        <f>P44</f>
        <v>288.8</v>
      </c>
      <c r="Q22" s="170">
        <v>400069</v>
      </c>
      <c r="R22" s="169" t="s">
        <v>4313</v>
      </c>
      <c r="S22" s="194">
        <f>S21-1</f>
        <v>60</v>
      </c>
      <c r="T22" s="169" t="s">
        <v>4314</v>
      </c>
      <c r="U22" s="169">
        <v>314.8</v>
      </c>
      <c r="V22" s="169">
        <f t="shared" si="4"/>
        <v>332.8151846575343</v>
      </c>
      <c r="W22" s="32">
        <f t="shared" si="5"/>
        <v>339.47148835068498</v>
      </c>
      <c r="X22" s="32">
        <f t="shared" si="6"/>
        <v>346.12779204383571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266</v>
      </c>
      <c r="AM22" s="113">
        <f t="shared" si="9"/>
        <v>2128000000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32000</v>
      </c>
      <c r="M23" s="169" t="s">
        <v>4402</v>
      </c>
      <c r="N23" s="113">
        <f t="shared" si="7"/>
        <v>3658985</v>
      </c>
      <c r="O23" s="99">
        <v>781</v>
      </c>
      <c r="P23" s="99">
        <f>P45</f>
        <v>4685</v>
      </c>
      <c r="Q23" s="170">
        <v>7118256</v>
      </c>
      <c r="R23" s="169" t="s">
        <v>4313</v>
      </c>
      <c r="S23" s="194">
        <f>S22</f>
        <v>60</v>
      </c>
      <c r="T23" s="169" t="s">
        <v>4565</v>
      </c>
      <c r="U23" s="169">
        <v>313</v>
      </c>
      <c r="V23" s="169">
        <f t="shared" si="4"/>
        <v>330.91217534246579</v>
      </c>
      <c r="W23" s="32">
        <f t="shared" si="5"/>
        <v>337.53041884931508</v>
      </c>
      <c r="X23" s="32">
        <f t="shared" si="6"/>
        <v>344.14866235616444</v>
      </c>
      <c r="Y23" s="96"/>
      <c r="Z23" s="96"/>
      <c r="AH23" s="99">
        <v>4</v>
      </c>
      <c r="AI23" s="113" t="s">
        <v>4056</v>
      </c>
      <c r="AJ23" s="113">
        <v>-79552</v>
      </c>
      <c r="AK23" s="99">
        <v>1</v>
      </c>
      <c r="AL23" s="99">
        <f t="shared" si="8"/>
        <v>265</v>
      </c>
      <c r="AM23" s="113">
        <f t="shared" si="9"/>
        <v>-21081280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4535</v>
      </c>
      <c r="N24" s="113">
        <f t="shared" si="7"/>
        <v>42509.9</v>
      </c>
      <c r="O24" s="69">
        <v>79</v>
      </c>
      <c r="P24" s="99">
        <f>P48</f>
        <v>538.1</v>
      </c>
      <c r="Q24" s="170">
        <v>595156</v>
      </c>
      <c r="R24" s="169" t="s">
        <v>4400</v>
      </c>
      <c r="S24" s="195">
        <f>S23-16</f>
        <v>44</v>
      </c>
      <c r="T24" s="169" t="s">
        <v>4403</v>
      </c>
      <c r="U24" s="169">
        <v>5808.5</v>
      </c>
      <c r="V24" s="169">
        <f t="shared" si="4"/>
        <v>6069.6119671232882</v>
      </c>
      <c r="W24" s="32">
        <f t="shared" si="5"/>
        <v>6191.0042064657537</v>
      </c>
      <c r="X24" s="32">
        <f t="shared" si="6"/>
        <v>6312.3964458082201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264</v>
      </c>
      <c r="AM24" s="113">
        <f t="shared" si="9"/>
        <v>43692000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4438</v>
      </c>
      <c r="S25" s="169">
        <f>S24-7</f>
        <v>37</v>
      </c>
      <c r="T25" s="19" t="s">
        <v>4441</v>
      </c>
      <c r="U25" s="169">
        <v>5474</v>
      </c>
      <c r="V25" s="169">
        <f t="shared" si="4"/>
        <v>5690.6804164383575</v>
      </c>
      <c r="W25" s="32">
        <f t="shared" si="5"/>
        <v>5804.4940247671248</v>
      </c>
      <c r="X25" s="32">
        <f t="shared" si="6"/>
        <v>5918.307633095892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252</v>
      </c>
      <c r="AM25" s="113">
        <f t="shared" si="9"/>
        <v>-7265242404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4469</v>
      </c>
      <c r="N26" s="113">
        <v>9</v>
      </c>
      <c r="O26" s="69"/>
      <c r="P26" s="99"/>
      <c r="Q26" s="170">
        <v>2197673</v>
      </c>
      <c r="R26" s="169" t="s">
        <v>4438</v>
      </c>
      <c r="S26" s="169">
        <f>S25</f>
        <v>37</v>
      </c>
      <c r="T26" s="19" t="s">
        <v>4442</v>
      </c>
      <c r="U26" s="169">
        <v>5349</v>
      </c>
      <c r="V26" s="169">
        <f t="shared" si="4"/>
        <v>5560.7324712328773</v>
      </c>
      <c r="W26" s="32">
        <f t="shared" si="5"/>
        <v>5671.9471206575354</v>
      </c>
      <c r="X26" s="32">
        <f t="shared" si="6"/>
        <v>5783.1617700821926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246</v>
      </c>
      <c r="AM26" s="113">
        <f t="shared" si="9"/>
        <v>4551000000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2" t="s">
        <v>4447</v>
      </c>
      <c r="N27" s="113">
        <f t="shared" si="7"/>
        <v>2821927.5</v>
      </c>
      <c r="O27" s="69">
        <v>16359</v>
      </c>
      <c r="P27" s="99">
        <f>P42</f>
        <v>172.5</v>
      </c>
      <c r="Q27" s="170">
        <v>1353959</v>
      </c>
      <c r="R27" s="169" t="s">
        <v>4438</v>
      </c>
      <c r="S27" s="202">
        <f>S26</f>
        <v>37</v>
      </c>
      <c r="T27" s="19" t="s">
        <v>4485</v>
      </c>
      <c r="U27" s="169">
        <v>192.2</v>
      </c>
      <c r="V27" s="169">
        <f t="shared" si="4"/>
        <v>199.80796054794524</v>
      </c>
      <c r="W27" s="32">
        <f t="shared" si="5"/>
        <v>203.80411975890416</v>
      </c>
      <c r="X27" s="32">
        <f t="shared" si="6"/>
        <v>207.80027896986306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245</v>
      </c>
      <c r="AM27" s="113">
        <f t="shared" si="9"/>
        <v>-4544750000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2" t="s">
        <v>4535</v>
      </c>
      <c r="N28" s="113">
        <f t="shared" si="7"/>
        <v>43048</v>
      </c>
      <c r="O28" s="36">
        <v>80</v>
      </c>
      <c r="P28" s="99">
        <f>P48</f>
        <v>538.1</v>
      </c>
      <c r="Q28" s="170">
        <v>1614398</v>
      </c>
      <c r="R28" s="169" t="s">
        <v>4446</v>
      </c>
      <c r="S28" s="169">
        <f>S27-3</f>
        <v>34</v>
      </c>
      <c r="T28" s="19" t="s">
        <v>4532</v>
      </c>
      <c r="U28" s="169">
        <v>184.6</v>
      </c>
      <c r="V28" s="169">
        <f t="shared" si="4"/>
        <v>191.48229260273973</v>
      </c>
      <c r="W28" s="32">
        <f t="shared" si="5"/>
        <v>195.31193845479453</v>
      </c>
      <c r="X28" s="32">
        <f t="shared" si="6"/>
        <v>199.14158430684932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244</v>
      </c>
      <c r="AM28" s="113">
        <f t="shared" si="9"/>
        <v>-15850484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4531</v>
      </c>
      <c r="S29" s="201">
        <f>S28-18</f>
        <v>16</v>
      </c>
      <c r="T29" s="169" t="s">
        <v>4537</v>
      </c>
      <c r="U29" s="169">
        <v>315</v>
      </c>
      <c r="V29" s="169">
        <f t="shared" si="4"/>
        <v>322.394301369863</v>
      </c>
      <c r="W29" s="32">
        <f t="shared" si="5"/>
        <v>328.84218739726026</v>
      </c>
      <c r="X29" s="32">
        <f t="shared" si="6"/>
        <v>335.29007342465752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239</v>
      </c>
      <c r="AM29" s="113">
        <f t="shared" si="9"/>
        <v>1529600000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4544</v>
      </c>
      <c r="S30" s="201">
        <f>S29-4</f>
        <v>12</v>
      </c>
      <c r="T30" s="169" t="s">
        <v>4545</v>
      </c>
      <c r="U30" s="169">
        <v>166.2</v>
      </c>
      <c r="V30" s="169">
        <f t="shared" si="4"/>
        <v>169.59139068493153</v>
      </c>
      <c r="W30" s="32">
        <f t="shared" si="5"/>
        <v>172.98321849863015</v>
      </c>
      <c r="X30" s="32">
        <f t="shared" si="6"/>
        <v>176.37504631232881</v>
      </c>
      <c r="Y30" s="96"/>
      <c r="Z30" s="96"/>
      <c r="AH30" s="99">
        <v>11</v>
      </c>
      <c r="AI30" s="113" t="s">
        <v>4057</v>
      </c>
      <c r="AJ30" s="113">
        <v>-170000</v>
      </c>
      <c r="AK30" s="99">
        <v>5</v>
      </c>
      <c r="AL30" s="99">
        <f t="shared" si="8"/>
        <v>238</v>
      </c>
      <c r="AM30" s="113">
        <f t="shared" si="9"/>
        <v>-40460000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4151</v>
      </c>
      <c r="N31" s="113">
        <f>-S107</f>
        <v>-85032565.780579969</v>
      </c>
      <c r="O31" s="96" t="s">
        <v>25</v>
      </c>
      <c r="P31" s="96" t="s">
        <v>25</v>
      </c>
      <c r="Q31" s="170">
        <v>220803</v>
      </c>
      <c r="R31" s="169" t="s">
        <v>4233</v>
      </c>
      <c r="S31" s="201">
        <f>S30-1</f>
        <v>11</v>
      </c>
      <c r="T31" s="169" t="s">
        <v>4552</v>
      </c>
      <c r="U31" s="169">
        <v>166</v>
      </c>
      <c r="V31" s="169">
        <f t="shared" si="4"/>
        <v>169.25996712328768</v>
      </c>
      <c r="W31" s="32">
        <f t="shared" si="5"/>
        <v>172.64516646575345</v>
      </c>
      <c r="X31" s="32">
        <f t="shared" si="6"/>
        <v>176.03036580821919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233</v>
      </c>
      <c r="AM31" s="113">
        <f t="shared" si="9"/>
        <v>-1467900000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4557</v>
      </c>
      <c r="S32" s="201">
        <f>S31-2</f>
        <v>9</v>
      </c>
      <c r="T32" s="169" t="s">
        <v>4566</v>
      </c>
      <c r="U32" s="169">
        <v>160.19999999999999</v>
      </c>
      <c r="V32" s="169">
        <f t="shared" si="4"/>
        <v>163.10027835616441</v>
      </c>
      <c r="W32" s="32">
        <f t="shared" si="5"/>
        <v>166.36228392328769</v>
      </c>
      <c r="X32" s="32">
        <f t="shared" si="6"/>
        <v>169.624289490411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232</v>
      </c>
      <c r="AM32" s="113">
        <f t="shared" si="9"/>
        <v>-12067480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210450000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216</v>
      </c>
      <c r="AM33" s="113">
        <f t="shared" si="9"/>
        <v>4323758400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4602</v>
      </c>
      <c r="L34" s="117">
        <v>-50000000</v>
      </c>
      <c r="M34" s="73"/>
      <c r="N34" s="113"/>
      <c r="O34" s="96"/>
      <c r="P34" s="96"/>
      <c r="Q34" s="170">
        <f>SUM(N21:N24)-SUM(Q20:Q33)</f>
        <v>-2493550.4000000022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216</v>
      </c>
      <c r="AM34" s="113">
        <f t="shared" si="9"/>
        <v>219124656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4326</v>
      </c>
      <c r="L35" s="117">
        <v>-2000000</v>
      </c>
      <c r="M35" s="169" t="s">
        <v>1086</v>
      </c>
      <c r="N35" s="113">
        <f>60*P15</f>
        <v>207000000</v>
      </c>
      <c r="O35" s="96"/>
      <c r="P35" s="96"/>
      <c r="R35" s="115"/>
      <c r="S35" s="115" t="s">
        <v>25</v>
      </c>
      <c r="T35" s="115"/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204</v>
      </c>
      <c r="AM35" s="113">
        <f t="shared" si="9"/>
        <v>73440000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4526</v>
      </c>
      <c r="L36" s="117">
        <v>-1000000</v>
      </c>
      <c r="M36" s="169" t="s">
        <v>4604</v>
      </c>
      <c r="N36" s="113">
        <v>-20000000</v>
      </c>
      <c r="O36" s="96"/>
      <c r="P36" s="114"/>
      <c r="Q36" s="96"/>
      <c r="R36" s="115"/>
      <c r="S36" s="115"/>
      <c r="T36" s="115" t="s">
        <v>25</v>
      </c>
      <c r="U36" s="115"/>
      <c r="V36" s="115"/>
      <c r="W36" s="198"/>
      <c r="X36" s="198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202</v>
      </c>
      <c r="AM36" s="113">
        <f t="shared" si="9"/>
        <v>-70700000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4605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202</v>
      </c>
      <c r="AM37" s="113">
        <f t="shared" si="9"/>
        <v>202000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4421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4370</v>
      </c>
      <c r="V38" s="73" t="s">
        <v>4372</v>
      </c>
      <c r="W38" s="32">
        <v>2</v>
      </c>
      <c r="X38" s="32">
        <v>4</v>
      </c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201</v>
      </c>
      <c r="AM38" s="113">
        <f t="shared" si="9"/>
        <v>6755610000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4468</v>
      </c>
      <c r="N39" s="113">
        <v>29242421</v>
      </c>
      <c r="Q39" s="169">
        <v>0</v>
      </c>
      <c r="R39" s="169" t="s">
        <v>4174</v>
      </c>
      <c r="S39" s="169">
        <f>S54</f>
        <v>97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4058</v>
      </c>
      <c r="AJ39" s="113">
        <v>-15600000</v>
      </c>
      <c r="AK39" s="99">
        <v>3</v>
      </c>
      <c r="AL39" s="99">
        <f t="shared" si="8"/>
        <v>197</v>
      </c>
      <c r="AM39" s="113">
        <f t="shared" si="9"/>
        <v>-3073200000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4446</v>
      </c>
      <c r="S40" s="169">
        <f>S39-62</f>
        <v>35</v>
      </c>
      <c r="T40" s="193" t="s">
        <v>4533</v>
      </c>
      <c r="U40" s="169">
        <v>184.6</v>
      </c>
      <c r="V40" s="169">
        <f t="shared" ref="V40:V45" si="13">U40*(1+$N$83+$Q$15*S40/36500)</f>
        <v>191.62390356164386</v>
      </c>
      <c r="W40" s="32">
        <f>V40*(1+$W$19/100)</f>
        <v>195.45638163287674</v>
      </c>
      <c r="X40" s="32">
        <f>V40*(1+$X$19/100)</f>
        <v>199.28885970410963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194</v>
      </c>
      <c r="AM40" s="113">
        <f t="shared" si="9"/>
        <v>1455000000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32" t="s">
        <v>4398</v>
      </c>
      <c r="N41" s="113">
        <f t="shared" ref="N41:N52" si="14">O41*P41</f>
        <v>1996259.2</v>
      </c>
      <c r="O41" s="99">
        <v>611</v>
      </c>
      <c r="P41" s="99">
        <v>3267.2</v>
      </c>
      <c r="Q41" s="170">
        <v>25314</v>
      </c>
      <c r="R41" s="169" t="s">
        <v>4531</v>
      </c>
      <c r="S41" s="201">
        <f>S40-18</f>
        <v>17</v>
      </c>
      <c r="T41" s="192" t="s">
        <v>4536</v>
      </c>
      <c r="U41" s="169">
        <v>315</v>
      </c>
      <c r="V41" s="169">
        <f t="shared" si="13"/>
        <v>322.63594520547952</v>
      </c>
      <c r="W41" s="32">
        <f t="shared" ref="W41:W45" si="15">V41*(1+$W$19/100)</f>
        <v>329.0886641095891</v>
      </c>
      <c r="X41" s="32">
        <f t="shared" ref="X41:X45" si="16">V41*(1+$X$19/100)</f>
        <v>335.54138301369869</v>
      </c>
      <c r="Y41" s="96"/>
      <c r="Z41" s="96"/>
      <c r="AA41" s="96"/>
      <c r="AB41" s="96"/>
      <c r="AC41" s="96"/>
      <c r="AD41" s="96"/>
      <c r="AH41" s="99">
        <v>22</v>
      </c>
      <c r="AI41" s="113" t="s">
        <v>4059</v>
      </c>
      <c r="AJ41" s="113">
        <v>-98000</v>
      </c>
      <c r="AK41" s="99">
        <v>1</v>
      </c>
      <c r="AL41" s="99">
        <f t="shared" si="8"/>
        <v>190</v>
      </c>
      <c r="AM41" s="113">
        <f t="shared" si="9"/>
        <v>-18620000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4181</v>
      </c>
      <c r="N42" s="113">
        <f t="shared" si="14"/>
        <v>195564457.5</v>
      </c>
      <c r="O42" s="99">
        <v>1133707</v>
      </c>
      <c r="P42" s="99">
        <v>172.5</v>
      </c>
      <c r="Q42" s="170">
        <v>1692313</v>
      </c>
      <c r="R42" s="169" t="s">
        <v>4540</v>
      </c>
      <c r="S42" s="201">
        <f>S41-3</f>
        <v>14</v>
      </c>
      <c r="T42" s="192" t="s">
        <v>4541</v>
      </c>
      <c r="U42" s="169">
        <v>168.5</v>
      </c>
      <c r="V42" s="169">
        <f t="shared" si="13"/>
        <v>172.19684383561648</v>
      </c>
      <c r="W42" s="32">
        <f t="shared" si="15"/>
        <v>175.64078071232882</v>
      </c>
      <c r="X42" s="32">
        <f t="shared" si="16"/>
        <v>179.08471758904113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4053</v>
      </c>
      <c r="AJ42" s="113">
        <v>-26000000</v>
      </c>
      <c r="AK42" s="99">
        <v>0</v>
      </c>
      <c r="AL42" s="99">
        <f t="shared" si="8"/>
        <v>189</v>
      </c>
      <c r="AM42" s="113">
        <f t="shared" si="9"/>
        <v>-4914000000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4580</v>
      </c>
      <c r="N43" s="113">
        <f t="shared" si="14"/>
        <v>11327.400000000001</v>
      </c>
      <c r="O43" s="99">
        <v>63</v>
      </c>
      <c r="P43" s="99">
        <v>179.8</v>
      </c>
      <c r="Q43" s="170">
        <v>101153</v>
      </c>
      <c r="R43" s="169" t="s">
        <v>4544</v>
      </c>
      <c r="S43" s="201">
        <f>S42-1</f>
        <v>13</v>
      </c>
      <c r="T43" s="192" t="s">
        <v>4546</v>
      </c>
      <c r="U43" s="169">
        <v>166.7</v>
      </c>
      <c r="V43" s="169">
        <f t="shared" si="13"/>
        <v>170.22947287671232</v>
      </c>
      <c r="W43" s="32">
        <f t="shared" si="15"/>
        <v>173.63406233424658</v>
      </c>
      <c r="X43" s="32">
        <f t="shared" si="16"/>
        <v>177.03865179178081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4053</v>
      </c>
      <c r="AJ43" s="113">
        <v>25000000</v>
      </c>
      <c r="AK43" s="99">
        <v>1</v>
      </c>
      <c r="AL43" s="99">
        <f t="shared" si="8"/>
        <v>189</v>
      </c>
      <c r="AM43" s="113">
        <f t="shared" si="9"/>
        <v>4725000000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4298</v>
      </c>
      <c r="N44" s="113">
        <f t="shared" si="14"/>
        <v>332986.40000000002</v>
      </c>
      <c r="O44" s="69">
        <v>1153</v>
      </c>
      <c r="P44" s="69">
        <v>288.8</v>
      </c>
      <c r="Q44" s="170">
        <v>183105</v>
      </c>
      <c r="R44" s="169" t="s">
        <v>4233</v>
      </c>
      <c r="S44" s="201">
        <f>S43-1</f>
        <v>12</v>
      </c>
      <c r="T44" s="192" t="s">
        <v>4551</v>
      </c>
      <c r="U44" s="169">
        <v>166.6</v>
      </c>
      <c r="V44" s="169">
        <f t="shared" si="13"/>
        <v>169.99955287671236</v>
      </c>
      <c r="W44" s="32">
        <f t="shared" si="15"/>
        <v>173.39954393424659</v>
      </c>
      <c r="X44" s="32">
        <f t="shared" si="16"/>
        <v>176.79953499178086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4054</v>
      </c>
      <c r="AJ44" s="113">
        <v>110000</v>
      </c>
      <c r="AK44" s="99">
        <v>1</v>
      </c>
      <c r="AL44" s="99">
        <f t="shared" si="8"/>
        <v>188</v>
      </c>
      <c r="AM44" s="113">
        <f t="shared" si="9"/>
        <v>20680000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4402</v>
      </c>
      <c r="N45" s="113">
        <f t="shared" si="14"/>
        <v>3499695</v>
      </c>
      <c r="O45" s="69">
        <v>747</v>
      </c>
      <c r="P45" s="69">
        <v>4685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187</v>
      </c>
      <c r="AM45" s="113">
        <f t="shared" si="9"/>
        <v>71060000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4417</v>
      </c>
      <c r="N46" s="117">
        <f t="shared" si="14"/>
        <v>2084342.4</v>
      </c>
      <c r="O46" s="69">
        <v>4431</v>
      </c>
      <c r="P46" s="69">
        <v>470.4</v>
      </c>
      <c r="Q46" s="113">
        <f>SUM(N27:N28)-SUM(Q39:Q45)</f>
        <v>-853.5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180</v>
      </c>
      <c r="AM46" s="113">
        <f t="shared" si="9"/>
        <v>81000000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 t="s">
        <v>25</v>
      </c>
      <c r="L47" s="117"/>
      <c r="M47" s="169" t="s">
        <v>4624</v>
      </c>
      <c r="N47" s="117">
        <f t="shared" si="14"/>
        <v>100267.20000000001</v>
      </c>
      <c r="O47" s="69">
        <v>594</v>
      </c>
      <c r="P47" s="69">
        <v>168.8</v>
      </c>
      <c r="R47" s="115"/>
      <c r="S47" s="115"/>
      <c r="T47" s="115" t="s">
        <v>25</v>
      </c>
      <c r="U47" s="115"/>
      <c r="V47" s="115"/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174</v>
      </c>
      <c r="AM47" s="113">
        <f t="shared" si="9"/>
        <v>487200000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4535</v>
      </c>
      <c r="N48" s="117">
        <f t="shared" si="14"/>
        <v>42509.9</v>
      </c>
      <c r="O48" s="69">
        <v>79</v>
      </c>
      <c r="P48" s="69">
        <v>538.1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173</v>
      </c>
      <c r="AM48" s="113">
        <f t="shared" si="9"/>
        <v>-259500000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4621</v>
      </c>
      <c r="N49" s="117">
        <f t="shared" si="14"/>
        <v>100391.20000000001</v>
      </c>
      <c r="O49" s="69">
        <v>197</v>
      </c>
      <c r="P49" s="69">
        <v>509.6</v>
      </c>
      <c r="T49" t="s">
        <v>25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173</v>
      </c>
      <c r="AM49" s="113">
        <f t="shared" si="9"/>
        <v>527650000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 t="s">
        <v>25</v>
      </c>
      <c r="L50" s="117"/>
      <c r="M50" s="73" t="s">
        <v>4576</v>
      </c>
      <c r="N50" s="117">
        <f t="shared" si="14"/>
        <v>432554.1</v>
      </c>
      <c r="O50" s="69">
        <v>123</v>
      </c>
      <c r="P50" s="69">
        <v>3516.7</v>
      </c>
      <c r="T50" t="s">
        <v>25</v>
      </c>
      <c r="U50" s="96" t="s">
        <v>25</v>
      </c>
      <c r="W50" s="198"/>
      <c r="X50" s="198"/>
      <c r="AA50" s="96"/>
      <c r="AH50" s="99">
        <v>31</v>
      </c>
      <c r="AI50" s="113" t="s">
        <v>3938</v>
      </c>
      <c r="AJ50" s="113">
        <v>-8299612</v>
      </c>
      <c r="AK50" s="99">
        <v>2</v>
      </c>
      <c r="AL50" s="99">
        <f t="shared" si="8"/>
        <v>170</v>
      </c>
      <c r="AM50" s="113">
        <f t="shared" si="9"/>
        <v>-1410934040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4600</v>
      </c>
      <c r="N51" s="117">
        <f t="shared" si="14"/>
        <v>154636</v>
      </c>
      <c r="O51" s="69">
        <v>40</v>
      </c>
      <c r="P51" s="69">
        <v>3865.9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168</v>
      </c>
      <c r="AM51" s="113">
        <f t="shared" si="9"/>
        <v>840000000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 t="s">
        <v>1086</v>
      </c>
      <c r="N52" s="117">
        <f t="shared" si="14"/>
        <v>19200000</v>
      </c>
      <c r="O52" s="69">
        <v>50</v>
      </c>
      <c r="P52" s="69">
        <v>384000</v>
      </c>
      <c r="Q52" s="73" t="s">
        <v>4297</v>
      </c>
      <c r="R52" s="112"/>
      <c r="S52" s="112"/>
      <c r="T52" s="112"/>
      <c r="U52" s="169" t="s">
        <v>4370</v>
      </c>
      <c r="V52" s="36" t="s">
        <v>4372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154</v>
      </c>
      <c r="AM52" s="113">
        <f t="shared" si="9"/>
        <v>-13860000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/>
      <c r="N53" s="117"/>
      <c r="O53" s="122"/>
      <c r="P53" s="122"/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4055</v>
      </c>
      <c r="AJ53" s="113">
        <v>5600000</v>
      </c>
      <c r="AK53" s="99">
        <v>4</v>
      </c>
      <c r="AL53" s="99">
        <f t="shared" si="8"/>
        <v>153</v>
      </c>
      <c r="AM53" s="113">
        <f t="shared" si="9"/>
        <v>856800000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69" t="s">
        <v>1153</v>
      </c>
      <c r="N54" s="117">
        <v>14908</v>
      </c>
      <c r="O54" s="96" t="s">
        <v>25</v>
      </c>
      <c r="P54" t="s">
        <v>25</v>
      </c>
      <c r="Q54" s="170">
        <v>184971545</v>
      </c>
      <c r="R54" s="169" t="s">
        <v>4174</v>
      </c>
      <c r="S54" s="194">
        <v>97</v>
      </c>
      <c r="T54" s="169" t="s">
        <v>4353</v>
      </c>
      <c r="U54" s="169">
        <v>192</v>
      </c>
      <c r="V54" s="99">
        <f t="shared" ref="V54:V82" si="17">U54*(1+$N$83+$Q$15*S54/36500)</f>
        <v>208.43730410958904</v>
      </c>
      <c r="W54" s="32">
        <f t="shared" ref="W54:W76" si="18">V54*(1+$W$19/100)</f>
        <v>212.60605019178081</v>
      </c>
      <c r="X54" s="32">
        <f t="shared" ref="X54:X76" si="19">V54*(1+$X$19/100)</f>
        <v>216.77479627397261</v>
      </c>
      <c r="AH54" s="99">
        <v>35</v>
      </c>
      <c r="AI54" s="113" t="s">
        <v>3983</v>
      </c>
      <c r="AJ54" s="113">
        <v>750000</v>
      </c>
      <c r="AK54" s="99">
        <v>2</v>
      </c>
      <c r="AL54" s="99">
        <f t="shared" si="8"/>
        <v>149</v>
      </c>
      <c r="AM54" s="113">
        <f t="shared" si="9"/>
        <v>111750000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99"/>
      <c r="L55" s="99"/>
      <c r="M55" s="169" t="s">
        <v>1154</v>
      </c>
      <c r="N55" s="117">
        <v>5282</v>
      </c>
      <c r="O55" s="96"/>
      <c r="Q55" s="170">
        <v>9560464</v>
      </c>
      <c r="R55" s="169" t="s">
        <v>4301</v>
      </c>
      <c r="S55" s="194">
        <f>S54-31</f>
        <v>66</v>
      </c>
      <c r="T55" s="169" t="s">
        <v>4317</v>
      </c>
      <c r="U55" s="169">
        <v>214.57</v>
      </c>
      <c r="V55" s="99">
        <f t="shared" si="17"/>
        <v>227.83689249315069</v>
      </c>
      <c r="W55" s="32">
        <f t="shared" si="18"/>
        <v>232.39363034301371</v>
      </c>
      <c r="X55" s="32">
        <f t="shared" si="19"/>
        <v>236.95036819287671</v>
      </c>
      <c r="AH55" s="172">
        <v>36</v>
      </c>
      <c r="AI55" s="171" t="s">
        <v>3993</v>
      </c>
      <c r="AJ55" s="171">
        <v>-4242000</v>
      </c>
      <c r="AK55" s="172">
        <v>2</v>
      </c>
      <c r="AL55" s="172">
        <f t="shared" si="8"/>
        <v>147</v>
      </c>
      <c r="AM55" s="171">
        <f t="shared" si="9"/>
        <v>-623574000</v>
      </c>
      <c r="AN55" s="172" t="s">
        <v>4064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O56" s="115"/>
      <c r="P56" s="115"/>
      <c r="Q56" s="170">
        <v>2000000</v>
      </c>
      <c r="R56" s="169" t="s">
        <v>4348</v>
      </c>
      <c r="S56" s="169">
        <f>S55-11</f>
        <v>55</v>
      </c>
      <c r="T56" s="169" t="s">
        <v>4352</v>
      </c>
      <c r="U56" s="169">
        <v>206.8</v>
      </c>
      <c r="V56" s="99">
        <f t="shared" si="17"/>
        <v>217.84142027397266</v>
      </c>
      <c r="W56" s="32">
        <f t="shared" si="18"/>
        <v>222.19824867945212</v>
      </c>
      <c r="X56" s="32">
        <f t="shared" si="19"/>
        <v>226.55507708493158</v>
      </c>
      <c r="AH56" s="99">
        <v>37</v>
      </c>
      <c r="AI56" s="113" t="s">
        <v>3993</v>
      </c>
      <c r="AJ56" s="113">
        <v>4100000</v>
      </c>
      <c r="AK56" s="99">
        <v>0</v>
      </c>
      <c r="AL56" s="99">
        <f t="shared" si="8"/>
        <v>145</v>
      </c>
      <c r="AM56" s="113">
        <f t="shared" si="9"/>
        <v>594500000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25</v>
      </c>
      <c r="L57" s="117"/>
      <c r="M57" s="169" t="s">
        <v>4182</v>
      </c>
      <c r="N57" s="113">
        <f>-O57*P57</f>
        <v>-14278342.5</v>
      </c>
      <c r="O57" s="99">
        <v>82773</v>
      </c>
      <c r="P57" s="99">
        <f>P42</f>
        <v>172.5</v>
      </c>
      <c r="Q57" s="170">
        <v>1429825</v>
      </c>
      <c r="R57" s="169" t="s">
        <v>4379</v>
      </c>
      <c r="S57" s="169">
        <f>S56-7</f>
        <v>48</v>
      </c>
      <c r="T57" s="169" t="s">
        <v>4388</v>
      </c>
      <c r="U57" s="169">
        <v>203.9</v>
      </c>
      <c r="V57" s="99">
        <f t="shared" si="17"/>
        <v>213.69166904109591</v>
      </c>
      <c r="W57" s="32">
        <f t="shared" si="18"/>
        <v>217.96550242191782</v>
      </c>
      <c r="X57" s="32">
        <f t="shared" si="19"/>
        <v>222.23933580273976</v>
      </c>
      <c r="AH57" s="99">
        <v>38</v>
      </c>
      <c r="AI57" s="113" t="s">
        <v>3999</v>
      </c>
      <c r="AJ57" s="113">
        <v>4100000</v>
      </c>
      <c r="AK57" s="99">
        <v>1</v>
      </c>
      <c r="AL57" s="99">
        <f t="shared" si="8"/>
        <v>145</v>
      </c>
      <c r="AM57" s="113">
        <f t="shared" si="9"/>
        <v>594500000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1420747</v>
      </c>
      <c r="R58" s="169" t="s">
        <v>4379</v>
      </c>
      <c r="S58" s="169">
        <f>S57</f>
        <v>48</v>
      </c>
      <c r="T58" s="169" t="s">
        <v>4390</v>
      </c>
      <c r="U58" s="169">
        <v>203.1</v>
      </c>
      <c r="V58" s="99">
        <f t="shared" si="17"/>
        <v>212.85325150684935</v>
      </c>
      <c r="W58" s="32">
        <f t="shared" si="18"/>
        <v>217.11031653698635</v>
      </c>
      <c r="X58" s="32">
        <f t="shared" si="19"/>
        <v>221.36738156712332</v>
      </c>
      <c r="AH58" s="99">
        <v>39</v>
      </c>
      <c r="AI58" s="113" t="s">
        <v>4008</v>
      </c>
      <c r="AJ58" s="113">
        <v>790000</v>
      </c>
      <c r="AK58" s="99">
        <v>15</v>
      </c>
      <c r="AL58" s="99">
        <f t="shared" si="8"/>
        <v>144</v>
      </c>
      <c r="AM58" s="113">
        <f t="shared" si="9"/>
        <v>113760000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2412371</v>
      </c>
      <c r="R59" s="169" t="s">
        <v>4381</v>
      </c>
      <c r="S59" s="169">
        <f>S58-1</f>
        <v>47</v>
      </c>
      <c r="T59" s="169" t="s">
        <v>4397</v>
      </c>
      <c r="U59" s="169">
        <v>3930</v>
      </c>
      <c r="V59" s="99">
        <f t="shared" si="17"/>
        <v>4115.7113424657546</v>
      </c>
      <c r="W59" s="32">
        <f t="shared" si="18"/>
        <v>4198.0255693150693</v>
      </c>
      <c r="X59" s="32">
        <f t="shared" si="19"/>
        <v>4280.339796164385</v>
      </c>
      <c r="Y59" s="96"/>
      <c r="Z59" s="96"/>
      <c r="AA59" s="96"/>
      <c r="AB59" s="96"/>
      <c r="AC59" s="96"/>
      <c r="AH59" s="172">
        <v>40</v>
      </c>
      <c r="AI59" s="171" t="s">
        <v>4039</v>
      </c>
      <c r="AJ59" s="171">
        <v>-3865000</v>
      </c>
      <c r="AK59" s="172">
        <v>6</v>
      </c>
      <c r="AL59" s="172">
        <f t="shared" si="8"/>
        <v>129</v>
      </c>
      <c r="AM59" s="173">
        <f t="shared" si="9"/>
        <v>-498585000</v>
      </c>
      <c r="AN59" s="172" t="s">
        <v>4065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 t="s">
        <v>4455</v>
      </c>
      <c r="N60" s="113">
        <f>-S108</f>
        <v>-8594886.8343100268</v>
      </c>
      <c r="Q60" s="170">
        <v>2010885</v>
      </c>
      <c r="R60" s="169" t="s">
        <v>4400</v>
      </c>
      <c r="S60" s="169">
        <f>S59-2</f>
        <v>45</v>
      </c>
      <c r="T60" s="169" t="s">
        <v>4406</v>
      </c>
      <c r="U60" s="169">
        <v>202.1</v>
      </c>
      <c r="V60" s="99">
        <f t="shared" si="17"/>
        <v>211.34012273972604</v>
      </c>
      <c r="W60" s="32">
        <f t="shared" si="18"/>
        <v>215.56692519452056</v>
      </c>
      <c r="X60" s="32">
        <f t="shared" si="19"/>
        <v>219.79372764931509</v>
      </c>
      <c r="Y60" s="96"/>
      <c r="Z60" s="96"/>
      <c r="AA60" s="96"/>
      <c r="AB60" s="96"/>
      <c r="AC60" s="96"/>
      <c r="AH60" s="20">
        <v>41</v>
      </c>
      <c r="AI60" s="117" t="s">
        <v>4069</v>
      </c>
      <c r="AJ60" s="117">
        <v>18800000</v>
      </c>
      <c r="AK60" s="20">
        <v>3</v>
      </c>
      <c r="AL60" s="99">
        <f t="shared" si="8"/>
        <v>123</v>
      </c>
      <c r="AM60" s="113">
        <f t="shared" si="9"/>
        <v>2312400000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P61" t="s">
        <v>25</v>
      </c>
      <c r="Q61" s="170">
        <v>1994038</v>
      </c>
      <c r="R61" s="169" t="s">
        <v>4411</v>
      </c>
      <c r="S61" s="169">
        <f>S60-3</f>
        <v>42</v>
      </c>
      <c r="T61" s="169" t="s">
        <v>4428</v>
      </c>
      <c r="U61" s="169">
        <v>5560.3</v>
      </c>
      <c r="V61" s="99">
        <f t="shared" si="17"/>
        <v>5801.7236558904124</v>
      </c>
      <c r="W61" s="32">
        <f t="shared" si="18"/>
        <v>5917.7581290082207</v>
      </c>
      <c r="X61" s="32">
        <f t="shared" si="19"/>
        <v>6033.7926021260291</v>
      </c>
      <c r="Y61" s="96"/>
      <c r="Z61" s="96"/>
      <c r="AA61" s="96"/>
      <c r="AB61" s="96"/>
      <c r="AC61" s="96"/>
      <c r="AH61" s="20">
        <v>42</v>
      </c>
      <c r="AI61" s="117" t="s">
        <v>4086</v>
      </c>
      <c r="AJ61" s="117">
        <v>500000</v>
      </c>
      <c r="AK61" s="20">
        <v>1</v>
      </c>
      <c r="AL61" s="99">
        <f t="shared" si="8"/>
        <v>120</v>
      </c>
      <c r="AM61" s="113">
        <f t="shared" si="9"/>
        <v>60000000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Q62" s="170">
        <v>1966482</v>
      </c>
      <c r="R62" s="169" t="s">
        <v>4411</v>
      </c>
      <c r="S62" s="196">
        <f>S61</f>
        <v>42</v>
      </c>
      <c r="T62" s="169" t="s">
        <v>4619</v>
      </c>
      <c r="U62" s="169">
        <v>441.8</v>
      </c>
      <c r="V62" s="99">
        <f t="shared" si="17"/>
        <v>460.98259287671243</v>
      </c>
      <c r="W62" s="32">
        <f t="shared" si="18"/>
        <v>470.20224473424668</v>
      </c>
      <c r="X62" s="32">
        <f t="shared" si="19"/>
        <v>479.42189659178092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4090</v>
      </c>
      <c r="AJ62" s="117">
        <v>200000</v>
      </c>
      <c r="AK62" s="20">
        <v>3</v>
      </c>
      <c r="AL62" s="99">
        <f>AL63+AK62</f>
        <v>119</v>
      </c>
      <c r="AM62" s="113">
        <f t="shared" si="9"/>
        <v>23800000</v>
      </c>
      <c r="AN62" s="20"/>
    </row>
    <row r="63" spans="1:40">
      <c r="E63" s="26"/>
      <c r="K63" s="169" t="s">
        <v>598</v>
      </c>
      <c r="L63" s="113">
        <f>SUM(L16:L45)</f>
        <v>249976064.78057998</v>
      </c>
      <c r="M63" s="169"/>
      <c r="N63" s="113">
        <f>SUM(N16:N59)</f>
        <v>333714452.11941993</v>
      </c>
      <c r="Q63" s="170">
        <v>1971103</v>
      </c>
      <c r="R63" s="169" t="s">
        <v>4423</v>
      </c>
      <c r="S63" s="169">
        <f>S62-1</f>
        <v>41</v>
      </c>
      <c r="T63" s="169" t="s">
        <v>4424</v>
      </c>
      <c r="U63" s="169">
        <v>196.2</v>
      </c>
      <c r="V63" s="99">
        <f t="shared" si="17"/>
        <v>204.56833315068494</v>
      </c>
      <c r="W63" s="32">
        <f t="shared" si="18"/>
        <v>208.65969981369864</v>
      </c>
      <c r="X63" s="32">
        <f t="shared" si="19"/>
        <v>212.75106647671234</v>
      </c>
      <c r="Y63" s="96"/>
      <c r="Z63" s="96"/>
      <c r="AA63" s="96"/>
      <c r="AB63" s="96"/>
      <c r="AC63" s="96"/>
      <c r="AH63" s="20">
        <v>44</v>
      </c>
      <c r="AI63" s="117" t="s">
        <v>4097</v>
      </c>
      <c r="AJ63" s="117">
        <v>1000000</v>
      </c>
      <c r="AK63" s="20">
        <v>3</v>
      </c>
      <c r="AL63" s="99">
        <f t="shared" si="8"/>
        <v>116</v>
      </c>
      <c r="AM63" s="113">
        <f t="shared" si="9"/>
        <v>116000000</v>
      </c>
      <c r="AN63" s="20"/>
    </row>
    <row r="64" spans="1:40">
      <c r="E64" s="26"/>
      <c r="K64" s="169" t="s">
        <v>599</v>
      </c>
      <c r="L64" s="113">
        <f>L16+L17+L23</f>
        <v>55202</v>
      </c>
      <c r="M64" s="169"/>
      <c r="N64" s="113">
        <f>N16+N17+N32</f>
        <v>11749346</v>
      </c>
      <c r="Q64" s="170">
        <v>1049856</v>
      </c>
      <c r="R64" s="169" t="s">
        <v>4446</v>
      </c>
      <c r="S64" s="202">
        <f>S63-6</f>
        <v>35</v>
      </c>
      <c r="T64" s="169" t="s">
        <v>4486</v>
      </c>
      <c r="U64" s="169">
        <v>184.5</v>
      </c>
      <c r="V64" s="99">
        <f t="shared" si="17"/>
        <v>191.520098630137</v>
      </c>
      <c r="W64" s="32">
        <f t="shared" si="18"/>
        <v>195.35050060273974</v>
      </c>
      <c r="X64" s="32">
        <f t="shared" si="19"/>
        <v>199.18090257534249</v>
      </c>
      <c r="Y64" s="96"/>
      <c r="Z64" s="96"/>
      <c r="AA64" s="96"/>
      <c r="AB64" s="96"/>
      <c r="AC64" s="96"/>
      <c r="AH64" s="20">
        <v>45</v>
      </c>
      <c r="AI64" s="117" t="s">
        <v>4109</v>
      </c>
      <c r="AJ64" s="117">
        <v>1300000</v>
      </c>
      <c r="AK64" s="20">
        <v>0</v>
      </c>
      <c r="AL64" s="99">
        <f>AL65+AK64</f>
        <v>113</v>
      </c>
      <c r="AM64" s="113">
        <f t="shared" si="9"/>
        <v>146900000</v>
      </c>
      <c r="AN64" s="20"/>
    </row>
    <row r="65" spans="1:40">
      <c r="K65" s="56" t="s">
        <v>716</v>
      </c>
      <c r="L65" s="1">
        <f>L63+N7</f>
        <v>319976064.78057998</v>
      </c>
      <c r="M65" s="113"/>
      <c r="N65" s="169"/>
      <c r="O65" s="115"/>
      <c r="P65" s="115"/>
      <c r="Q65" s="170">
        <v>1783234</v>
      </c>
      <c r="R65" s="169" t="s">
        <v>4448</v>
      </c>
      <c r="S65" s="169">
        <f>S64-2</f>
        <v>33</v>
      </c>
      <c r="T65" s="169" t="s">
        <v>4449</v>
      </c>
      <c r="U65" s="169">
        <v>177.5</v>
      </c>
      <c r="V65" s="99">
        <f t="shared" si="17"/>
        <v>183.98142465753426</v>
      </c>
      <c r="W65" s="32">
        <f t="shared" si="18"/>
        <v>187.66105315068495</v>
      </c>
      <c r="X65" s="32">
        <f t="shared" si="19"/>
        <v>191.34068164383564</v>
      </c>
      <c r="Y65" s="96"/>
      <c r="Z65" s="96"/>
      <c r="AA65" s="96"/>
      <c r="AB65" s="96"/>
      <c r="AC65" s="96"/>
      <c r="AH65" s="20">
        <v>45</v>
      </c>
      <c r="AI65" s="117" t="s">
        <v>4109</v>
      </c>
      <c r="AJ65" s="117">
        <v>995000</v>
      </c>
      <c r="AK65" s="20">
        <v>2</v>
      </c>
      <c r="AL65" s="99">
        <f t="shared" ref="AL65:AL92" si="20">AL66+AK65</f>
        <v>113</v>
      </c>
      <c r="AM65" s="113">
        <f t="shared" si="9"/>
        <v>112435000</v>
      </c>
      <c r="AN65" s="20"/>
    </row>
    <row r="66" spans="1:40">
      <c r="O66" s="96"/>
      <c r="P66" s="96"/>
      <c r="Q66" s="170">
        <v>1904396</v>
      </c>
      <c r="R66" s="169" t="s">
        <v>4448</v>
      </c>
      <c r="S66" s="201">
        <f>S65</f>
        <v>33</v>
      </c>
      <c r="T66" s="169" t="s">
        <v>4454</v>
      </c>
      <c r="U66" s="169">
        <v>4861</v>
      </c>
      <c r="V66" s="99">
        <f t="shared" si="17"/>
        <v>5038.4997479452059</v>
      </c>
      <c r="W66" s="32">
        <f t="shared" si="18"/>
        <v>5139.26974290411</v>
      </c>
      <c r="X66" s="32">
        <f t="shared" si="19"/>
        <v>5240.0397378630141</v>
      </c>
      <c r="Y66" s="96"/>
      <c r="Z66" s="96"/>
      <c r="AA66" s="96"/>
      <c r="AB66" s="96"/>
      <c r="AC66" s="96"/>
      <c r="AH66" s="20">
        <v>46</v>
      </c>
      <c r="AI66" s="117" t="s">
        <v>4119</v>
      </c>
      <c r="AJ66" s="117">
        <v>13000000</v>
      </c>
      <c r="AK66" s="20">
        <v>2</v>
      </c>
      <c r="AL66" s="99">
        <f t="shared" si="20"/>
        <v>111</v>
      </c>
      <c r="AM66" s="113">
        <f t="shared" si="9"/>
        <v>1443000000</v>
      </c>
      <c r="AN66" s="20"/>
    </row>
    <row r="67" spans="1:40">
      <c r="A67" t="s">
        <v>25</v>
      </c>
      <c r="F67" t="s">
        <v>310</v>
      </c>
      <c r="G67" t="s">
        <v>4101</v>
      </c>
      <c r="M67" s="25"/>
      <c r="O67" t="s">
        <v>25</v>
      </c>
      <c r="Q67" s="170">
        <v>1826179</v>
      </c>
      <c r="R67" s="169" t="s">
        <v>4452</v>
      </c>
      <c r="S67" s="201">
        <f>S66-5</f>
        <v>28</v>
      </c>
      <c r="T67" s="73" t="s">
        <v>4494</v>
      </c>
      <c r="U67" s="169">
        <v>190.3</v>
      </c>
      <c r="V67" s="99">
        <f t="shared" si="17"/>
        <v>196.51889972602743</v>
      </c>
      <c r="W67" s="32">
        <f t="shared" si="18"/>
        <v>200.44927772054797</v>
      </c>
      <c r="X67" s="32">
        <f t="shared" si="19"/>
        <v>204.37965571506854</v>
      </c>
      <c r="Y67" s="96"/>
      <c r="Z67" s="96"/>
      <c r="AA67" s="96"/>
      <c r="AB67" s="96"/>
      <c r="AC67" s="96"/>
      <c r="AH67" s="20">
        <v>47</v>
      </c>
      <c r="AI67" s="117" t="s">
        <v>4132</v>
      </c>
      <c r="AJ67" s="117">
        <v>-3100000</v>
      </c>
      <c r="AK67" s="20">
        <v>3</v>
      </c>
      <c r="AL67" s="99">
        <f t="shared" si="20"/>
        <v>109</v>
      </c>
      <c r="AM67" s="113">
        <f t="shared" si="9"/>
        <v>-337900000</v>
      </c>
      <c r="AN67" s="20"/>
    </row>
    <row r="68" spans="1:40">
      <c r="F68" t="s">
        <v>4105</v>
      </c>
      <c r="G68" t="s">
        <v>4100</v>
      </c>
      <c r="M68" s="25" t="s">
        <v>4082</v>
      </c>
      <c r="P68" t="s">
        <v>25</v>
      </c>
      <c r="Q68" s="170">
        <v>1049976</v>
      </c>
      <c r="R68" s="169" t="s">
        <v>4452</v>
      </c>
      <c r="S68" s="201">
        <f>S67</f>
        <v>28</v>
      </c>
      <c r="T68" s="73" t="s">
        <v>4501</v>
      </c>
      <c r="U68" s="169">
        <v>190.3</v>
      </c>
      <c r="V68" s="99">
        <f t="shared" si="17"/>
        <v>196.51889972602743</v>
      </c>
      <c r="W68" s="32">
        <f t="shared" si="18"/>
        <v>200.44927772054797</v>
      </c>
      <c r="X68" s="32">
        <f t="shared" si="19"/>
        <v>204.37965571506854</v>
      </c>
      <c r="Y68" s="96"/>
      <c r="Z68" s="96"/>
      <c r="AA68" s="96"/>
      <c r="AB68" s="96"/>
      <c r="AC68" s="96"/>
      <c r="AH68" s="20">
        <v>48</v>
      </c>
      <c r="AI68" s="117" t="s">
        <v>4147</v>
      </c>
      <c r="AJ68" s="117">
        <v>45640000</v>
      </c>
      <c r="AK68" s="20">
        <v>1</v>
      </c>
      <c r="AL68" s="99">
        <f t="shared" si="20"/>
        <v>106</v>
      </c>
      <c r="AM68" s="113">
        <f t="shared" si="9"/>
        <v>4837840000</v>
      </c>
      <c r="AN68" s="20"/>
    </row>
    <row r="69" spans="1:40">
      <c r="F69" t="s">
        <v>4106</v>
      </c>
      <c r="G69" t="s">
        <v>4102</v>
      </c>
      <c r="M69" s="178"/>
      <c r="O69" s="22"/>
      <c r="Q69" s="170">
        <v>3969956</v>
      </c>
      <c r="R69" s="169" t="s">
        <v>4502</v>
      </c>
      <c r="S69" s="169">
        <f>S68-2</f>
        <v>26</v>
      </c>
      <c r="T69" s="73" t="s">
        <v>4503</v>
      </c>
      <c r="U69" s="169">
        <v>396500</v>
      </c>
      <c r="V69" s="99">
        <f t="shared" si="17"/>
        <v>408849.07397260278</v>
      </c>
      <c r="W69" s="32">
        <f t="shared" si="18"/>
        <v>417026.05545205483</v>
      </c>
      <c r="X69" s="32">
        <f t="shared" si="19"/>
        <v>425203.03693150688</v>
      </c>
      <c r="Y69" s="96"/>
      <c r="Z69" s="96"/>
      <c r="AA69" s="96"/>
      <c r="AB69" s="96"/>
      <c r="AC69" s="96"/>
      <c r="AH69" s="20">
        <v>49</v>
      </c>
      <c r="AI69" s="117" t="s">
        <v>4153</v>
      </c>
      <c r="AJ69" s="117">
        <v>33500000</v>
      </c>
      <c r="AK69" s="20">
        <v>1</v>
      </c>
      <c r="AL69" s="99">
        <f t="shared" si="20"/>
        <v>105</v>
      </c>
      <c r="AM69" s="113">
        <f t="shared" si="9"/>
        <v>3517500000</v>
      </c>
      <c r="AN69" s="20"/>
    </row>
    <row r="70" spans="1:40">
      <c r="G70" t="s">
        <v>4103</v>
      </c>
      <c r="M70" s="96"/>
      <c r="O70" t="s">
        <v>25</v>
      </c>
      <c r="P70" t="s">
        <v>25</v>
      </c>
      <c r="Q70" s="170">
        <v>3894862</v>
      </c>
      <c r="R70" s="169" t="s">
        <v>4511</v>
      </c>
      <c r="S70" s="169">
        <f>S69-2</f>
        <v>24</v>
      </c>
      <c r="T70" s="73" t="s">
        <v>4562</v>
      </c>
      <c r="U70" s="169">
        <v>389000</v>
      </c>
      <c r="V70" s="99">
        <f t="shared" si="17"/>
        <v>400518.66301369865</v>
      </c>
      <c r="W70" s="32">
        <f t="shared" si="18"/>
        <v>408529.03627397266</v>
      </c>
      <c r="X70" s="32">
        <f t="shared" si="19"/>
        <v>416539.4095342466</v>
      </c>
      <c r="AH70" s="20">
        <v>50</v>
      </c>
      <c r="AI70" s="117" t="s">
        <v>4158</v>
      </c>
      <c r="AJ70" s="117">
        <v>12000000</v>
      </c>
      <c r="AK70" s="20">
        <v>1</v>
      </c>
      <c r="AL70" s="99">
        <f t="shared" si="20"/>
        <v>104</v>
      </c>
      <c r="AM70" s="117">
        <f t="shared" si="9"/>
        <v>1248000000</v>
      </c>
      <c r="AN70" s="20"/>
    </row>
    <row r="71" spans="1:40" ht="30">
      <c r="G71" t="s">
        <v>4104</v>
      </c>
      <c r="M71" s="122" t="s">
        <v>4418</v>
      </c>
      <c r="O71" s="114"/>
      <c r="Q71" s="170">
        <v>5881743</v>
      </c>
      <c r="R71" s="169" t="s">
        <v>4517</v>
      </c>
      <c r="S71" s="169">
        <f>S70-3</f>
        <v>21</v>
      </c>
      <c r="T71" s="73" t="s">
        <v>4538</v>
      </c>
      <c r="U71" s="169">
        <v>172.2</v>
      </c>
      <c r="V71" s="99">
        <f t="shared" si="17"/>
        <v>176.9027112328767</v>
      </c>
      <c r="W71" s="32">
        <f t="shared" si="18"/>
        <v>180.44076545753424</v>
      </c>
      <c r="X71" s="32">
        <f t="shared" si="19"/>
        <v>183.97881968219178</v>
      </c>
      <c r="AH71" s="20">
        <v>51</v>
      </c>
      <c r="AI71" s="117" t="s">
        <v>4164</v>
      </c>
      <c r="AJ71" s="117">
        <v>15500000</v>
      </c>
      <c r="AK71" s="20">
        <v>4</v>
      </c>
      <c r="AL71" s="99">
        <f t="shared" si="20"/>
        <v>103</v>
      </c>
      <c r="AM71" s="117">
        <f t="shared" si="9"/>
        <v>1596500000</v>
      </c>
      <c r="AN71" s="20"/>
    </row>
    <row r="72" spans="1:40">
      <c r="G72" t="s">
        <v>4108</v>
      </c>
      <c r="M72" s="122" t="s">
        <v>4529</v>
      </c>
      <c r="N72" s="96"/>
      <c r="Q72" s="170">
        <v>4025024</v>
      </c>
      <c r="R72" s="169" t="s">
        <v>4517</v>
      </c>
      <c r="S72" s="169">
        <f>S71</f>
        <v>21</v>
      </c>
      <c r="T72" s="73" t="s">
        <v>4521</v>
      </c>
      <c r="U72" s="169">
        <v>402000</v>
      </c>
      <c r="V72" s="99">
        <f t="shared" si="17"/>
        <v>412978.45479452057</v>
      </c>
      <c r="W72" s="32">
        <f t="shared" si="18"/>
        <v>421238.02389041102</v>
      </c>
      <c r="X72" s="32">
        <f t="shared" si="19"/>
        <v>429497.5929863014</v>
      </c>
      <c r="AH72" s="20">
        <v>52</v>
      </c>
      <c r="AI72" s="117" t="s">
        <v>4168</v>
      </c>
      <c r="AJ72" s="117">
        <v>150000</v>
      </c>
      <c r="AK72" s="20">
        <v>1</v>
      </c>
      <c r="AL72" s="99">
        <f t="shared" si="20"/>
        <v>99</v>
      </c>
      <c r="AM72" s="117">
        <f t="shared" si="9"/>
        <v>14850000</v>
      </c>
      <c r="AN72" s="20"/>
    </row>
    <row r="73" spans="1:40">
      <c r="G73" t="s">
        <v>4107</v>
      </c>
      <c r="M73" s="122" t="s">
        <v>4510</v>
      </c>
      <c r="N73" s="96"/>
      <c r="P73" t="s">
        <v>25</v>
      </c>
      <c r="Q73" s="170">
        <v>3919893</v>
      </c>
      <c r="R73" s="169" t="s">
        <v>4519</v>
      </c>
      <c r="S73" s="169">
        <f>S72-1</f>
        <v>20</v>
      </c>
      <c r="T73" s="73" t="s">
        <v>4520</v>
      </c>
      <c r="U73" s="169">
        <v>391500</v>
      </c>
      <c r="V73" s="99">
        <f t="shared" si="17"/>
        <v>401891.37534246582</v>
      </c>
      <c r="W73" s="32">
        <f t="shared" si="18"/>
        <v>409929.20284931513</v>
      </c>
      <c r="X73" s="32">
        <f t="shared" si="19"/>
        <v>417967.03035616444</v>
      </c>
      <c r="AH73" s="181">
        <v>53</v>
      </c>
      <c r="AI73" s="182" t="s">
        <v>4174</v>
      </c>
      <c r="AJ73" s="182">
        <v>29000000</v>
      </c>
      <c r="AK73" s="181">
        <v>15</v>
      </c>
      <c r="AL73" s="181">
        <f t="shared" si="20"/>
        <v>98</v>
      </c>
      <c r="AM73" s="182">
        <f t="shared" si="9"/>
        <v>2842000000</v>
      </c>
      <c r="AN73" s="181" t="s">
        <v>4188</v>
      </c>
    </row>
    <row r="74" spans="1:40">
      <c r="M74" s="122" t="s">
        <v>4512</v>
      </c>
      <c r="N74" s="96"/>
      <c r="P74" s="115"/>
      <c r="Q74" s="170">
        <v>3825777</v>
      </c>
      <c r="R74" s="169" t="s">
        <v>4525</v>
      </c>
      <c r="S74" s="169">
        <f>S73-1</f>
        <v>19</v>
      </c>
      <c r="T74" s="73" t="s">
        <v>4527</v>
      </c>
      <c r="U74" s="169">
        <v>382100</v>
      </c>
      <c r="V74" s="99">
        <f t="shared" si="17"/>
        <v>391948.75835616438</v>
      </c>
      <c r="W74" s="32">
        <f t="shared" si="18"/>
        <v>399787.73352328769</v>
      </c>
      <c r="X74" s="32">
        <f t="shared" si="19"/>
        <v>407626.70869041095</v>
      </c>
      <c r="Y74" t="s">
        <v>25</v>
      </c>
      <c r="AH74" s="20">
        <v>54</v>
      </c>
      <c r="AI74" s="117" t="s">
        <v>4212</v>
      </c>
      <c r="AJ74" s="117">
        <v>-130000</v>
      </c>
      <c r="AK74" s="20">
        <v>7</v>
      </c>
      <c r="AL74" s="99">
        <f t="shared" si="20"/>
        <v>83</v>
      </c>
      <c r="AM74" s="117">
        <f t="shared" si="9"/>
        <v>-10790000</v>
      </c>
      <c r="AN74" s="20" t="s">
        <v>4214</v>
      </c>
    </row>
    <row r="75" spans="1:40">
      <c r="M75" s="122" t="s">
        <v>4528</v>
      </c>
      <c r="N75" s="96"/>
      <c r="P75" s="115" t="s">
        <v>25</v>
      </c>
      <c r="Q75" s="170">
        <v>24997</v>
      </c>
      <c r="R75" s="169" t="s">
        <v>4531</v>
      </c>
      <c r="S75" s="169">
        <f>S74-2</f>
        <v>17</v>
      </c>
      <c r="T75" s="73" t="s">
        <v>4537</v>
      </c>
      <c r="U75" s="169">
        <v>315</v>
      </c>
      <c r="V75" s="99">
        <f t="shared" si="17"/>
        <v>322.63594520547952</v>
      </c>
      <c r="W75" s="32">
        <f t="shared" si="18"/>
        <v>329.0886641095891</v>
      </c>
      <c r="X75" s="32">
        <f t="shared" si="19"/>
        <v>335.54138301369869</v>
      </c>
      <c r="AH75" s="20">
        <v>55</v>
      </c>
      <c r="AI75" s="117" t="s">
        <v>4260</v>
      </c>
      <c r="AJ75" s="117">
        <v>232000</v>
      </c>
      <c r="AK75" s="20">
        <v>2</v>
      </c>
      <c r="AL75" s="99">
        <f t="shared" si="20"/>
        <v>76</v>
      </c>
      <c r="AM75" s="117">
        <f>AJ75*AL75</f>
        <v>17632000</v>
      </c>
      <c r="AN75" s="20" t="s">
        <v>4262</v>
      </c>
    </row>
    <row r="76" spans="1:40">
      <c r="D76" s="3"/>
      <c r="E76" s="11" t="s">
        <v>304</v>
      </c>
      <c r="M76" s="122"/>
      <c r="O76" t="s">
        <v>25</v>
      </c>
      <c r="P76" s="115"/>
      <c r="Q76" s="170">
        <v>674112</v>
      </c>
      <c r="R76" s="169" t="s">
        <v>4540</v>
      </c>
      <c r="S76" s="169">
        <f>S75-3</f>
        <v>14</v>
      </c>
      <c r="T76" s="73" t="s">
        <v>4542</v>
      </c>
      <c r="U76" s="169">
        <v>167.8</v>
      </c>
      <c r="V76" s="99">
        <f t="shared" si="17"/>
        <v>171.4814860273973</v>
      </c>
      <c r="W76" s="32">
        <f t="shared" si="18"/>
        <v>174.91111574794525</v>
      </c>
      <c r="X76" s="32">
        <f t="shared" si="19"/>
        <v>178.3407454684932</v>
      </c>
      <c r="AH76" s="20">
        <v>56</v>
      </c>
      <c r="AI76" s="117" t="s">
        <v>4271</v>
      </c>
      <c r="AJ76" s="117">
        <v>-170000</v>
      </c>
      <c r="AK76" s="20">
        <v>3</v>
      </c>
      <c r="AL76" s="99">
        <f t="shared" si="20"/>
        <v>74</v>
      </c>
      <c r="AM76" s="117">
        <f t="shared" si="9"/>
        <v>-12580000</v>
      </c>
      <c r="AN76" s="20"/>
    </row>
    <row r="77" spans="1:40">
      <c r="D77" s="1" t="s">
        <v>305</v>
      </c>
      <c r="E77" s="1">
        <v>70000</v>
      </c>
      <c r="M77" s="96">
        <f>O42+O43+O21+O27-O57</f>
        <v>1139587</v>
      </c>
      <c r="N77" s="113">
        <f>M77*P42</f>
        <v>196578757.5</v>
      </c>
      <c r="P77" s="115"/>
      <c r="Q77" s="170">
        <v>105046</v>
      </c>
      <c r="R77" s="169" t="s">
        <v>4544</v>
      </c>
      <c r="S77" s="169">
        <f>S76-1</f>
        <v>13</v>
      </c>
      <c r="T77" s="73" t="s">
        <v>4547</v>
      </c>
      <c r="U77" s="169">
        <v>167</v>
      </c>
      <c r="V77" s="99">
        <f t="shared" si="17"/>
        <v>170.53582465753425</v>
      </c>
      <c r="W77" s="32">
        <f t="shared" ref="W77:W92" si="21">V77*(1+$W$19/100)</f>
        <v>173.94654115068494</v>
      </c>
      <c r="X77" s="32">
        <f t="shared" ref="X77:X92" si="22">V77*(1+$X$19/100)</f>
        <v>177.35725764383562</v>
      </c>
      <c r="AH77" s="20">
        <v>57</v>
      </c>
      <c r="AI77" s="117" t="s">
        <v>4285</v>
      </c>
      <c r="AJ77" s="117">
        <v>-300000</v>
      </c>
      <c r="AK77" s="20">
        <v>3</v>
      </c>
      <c r="AL77" s="99">
        <f t="shared" si="20"/>
        <v>71</v>
      </c>
      <c r="AM77" s="117">
        <f t="shared" si="9"/>
        <v>-21300000</v>
      </c>
      <c r="AN77" s="20"/>
    </row>
    <row r="78" spans="1:40">
      <c r="D78" s="1" t="s">
        <v>321</v>
      </c>
      <c r="E78" s="1">
        <v>100000</v>
      </c>
      <c r="M78" t="s">
        <v>4269</v>
      </c>
      <c r="P78" s="115"/>
      <c r="Q78" s="170">
        <v>220269</v>
      </c>
      <c r="R78" s="169" t="s">
        <v>4233</v>
      </c>
      <c r="S78" s="169">
        <f>S77-1</f>
        <v>12</v>
      </c>
      <c r="T78" s="73" t="s">
        <v>4553</v>
      </c>
      <c r="U78" s="169">
        <v>165.1</v>
      </c>
      <c r="V78" s="99">
        <f t="shared" si="17"/>
        <v>168.46894465753428</v>
      </c>
      <c r="W78" s="32">
        <f t="shared" si="21"/>
        <v>171.83832355068498</v>
      </c>
      <c r="X78" s="32">
        <f t="shared" si="22"/>
        <v>175.20770244383564</v>
      </c>
      <c r="AD78" s="115"/>
      <c r="AE78" s="115"/>
      <c r="AH78" s="20">
        <v>58</v>
      </c>
      <c r="AI78" s="117" t="s">
        <v>4294</v>
      </c>
      <c r="AJ78" s="117">
        <v>-11400000</v>
      </c>
      <c r="AK78" s="20">
        <v>13</v>
      </c>
      <c r="AL78" s="99">
        <f>AL79+AK78</f>
        <v>68</v>
      </c>
      <c r="AM78" s="117">
        <f t="shared" si="9"/>
        <v>-775200000</v>
      </c>
      <c r="AN78" s="20"/>
    </row>
    <row r="79" spans="1:40">
      <c r="D79" s="1" t="s">
        <v>306</v>
      </c>
      <c r="E79" s="1">
        <v>80000</v>
      </c>
      <c r="N79" t="s">
        <v>25</v>
      </c>
      <c r="P79" s="115"/>
      <c r="Q79" s="117">
        <v>277822</v>
      </c>
      <c r="R79" s="169" t="s">
        <v>4233</v>
      </c>
      <c r="S79" s="169">
        <f>S78</f>
        <v>12</v>
      </c>
      <c r="T79" s="73" t="s">
        <v>4554</v>
      </c>
      <c r="U79" s="169">
        <v>165</v>
      </c>
      <c r="V79" s="99">
        <f t="shared" si="17"/>
        <v>168.36690410958906</v>
      </c>
      <c r="W79" s="32">
        <f t="shared" si="21"/>
        <v>171.73424219178085</v>
      </c>
      <c r="X79" s="32">
        <f t="shared" si="22"/>
        <v>175.10158027397262</v>
      </c>
      <c r="AC79" s="115"/>
      <c r="AD79" s="115"/>
      <c r="AE79" s="115"/>
      <c r="AF79"/>
      <c r="AH79" s="20">
        <v>59</v>
      </c>
      <c r="AI79" s="117" t="s">
        <v>4354</v>
      </c>
      <c r="AJ79" s="117">
        <v>-10000000</v>
      </c>
      <c r="AK79" s="20">
        <v>1</v>
      </c>
      <c r="AL79" s="99">
        <f>AL80+AK79</f>
        <v>55</v>
      </c>
      <c r="AM79" s="117">
        <f>AJ79*AL79</f>
        <v>-550000000</v>
      </c>
      <c r="AN79" s="20"/>
    </row>
    <row r="80" spans="1:40">
      <c r="D80" s="31" t="s">
        <v>307</v>
      </c>
      <c r="E80" s="1">
        <v>150000</v>
      </c>
      <c r="J80" t="s">
        <v>25</v>
      </c>
      <c r="P80" s="115"/>
      <c r="Q80" s="170">
        <v>165664</v>
      </c>
      <c r="R80" s="169" t="s">
        <v>4233</v>
      </c>
      <c r="S80" s="169">
        <f>S79</f>
        <v>12</v>
      </c>
      <c r="T80" s="73" t="s">
        <v>4555</v>
      </c>
      <c r="U80" s="169">
        <v>164.9</v>
      </c>
      <c r="V80" s="99">
        <f t="shared" si="17"/>
        <v>168.26486356164386</v>
      </c>
      <c r="W80" s="32">
        <f t="shared" si="21"/>
        <v>171.63016083287675</v>
      </c>
      <c r="X80" s="32">
        <f t="shared" si="22"/>
        <v>174.99545810410962</v>
      </c>
      <c r="AC80" s="115"/>
      <c r="AD80" s="115"/>
      <c r="AE80" s="115"/>
      <c r="AF80"/>
      <c r="AH80" s="20">
        <v>60</v>
      </c>
      <c r="AI80" s="117" t="s">
        <v>4355</v>
      </c>
      <c r="AJ80" s="117">
        <v>-2450000</v>
      </c>
      <c r="AK80" s="20">
        <v>5</v>
      </c>
      <c r="AL80" s="99">
        <f>AL81+AK80</f>
        <v>54</v>
      </c>
      <c r="AM80" s="117">
        <f>AJ80*AL80</f>
        <v>-132300000</v>
      </c>
      <c r="AN80" s="20"/>
    </row>
    <row r="81" spans="4:52">
      <c r="D81" s="31" t="s">
        <v>308</v>
      </c>
      <c r="E81" s="1">
        <v>300000</v>
      </c>
      <c r="M81" t="s">
        <v>949</v>
      </c>
      <c r="N81">
        <v>6.3E-3</v>
      </c>
      <c r="P81" s="115"/>
      <c r="Q81" s="170">
        <v>355909</v>
      </c>
      <c r="R81" s="169" t="s">
        <v>4233</v>
      </c>
      <c r="S81" s="169">
        <f>S80</f>
        <v>12</v>
      </c>
      <c r="T81" s="73" t="s">
        <v>4556</v>
      </c>
      <c r="U81" s="169">
        <v>165.7</v>
      </c>
      <c r="V81" s="99">
        <f t="shared" si="17"/>
        <v>169.0811879452055</v>
      </c>
      <c r="W81" s="32">
        <f t="shared" si="21"/>
        <v>172.46281170410961</v>
      </c>
      <c r="X81" s="32">
        <f t="shared" si="22"/>
        <v>175.84443546301372</v>
      </c>
      <c r="AD81" s="115"/>
      <c r="AE81" s="115"/>
      <c r="AF81" s="115"/>
      <c r="AH81" s="20">
        <v>61</v>
      </c>
      <c r="AI81" s="117" t="s">
        <v>4379</v>
      </c>
      <c r="AJ81" s="117">
        <v>-456081</v>
      </c>
      <c r="AK81" s="20">
        <v>1</v>
      </c>
      <c r="AL81" s="99">
        <f t="shared" si="20"/>
        <v>49</v>
      </c>
      <c r="AM81" s="117">
        <f t="shared" si="9"/>
        <v>-22347969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5" t="s">
        <v>476</v>
      </c>
      <c r="M82" t="s">
        <v>61</v>
      </c>
      <c r="N82">
        <v>4.8999999999999998E-3</v>
      </c>
      <c r="P82" s="115"/>
      <c r="Q82" s="170">
        <v>1475854</v>
      </c>
      <c r="R82" s="169" t="s">
        <v>4233</v>
      </c>
      <c r="S82" s="169">
        <f>S81</f>
        <v>12</v>
      </c>
      <c r="T82" s="73" t="s">
        <v>4637</v>
      </c>
      <c r="U82" s="169">
        <v>165.6</v>
      </c>
      <c r="V82" s="99">
        <f t="shared" si="17"/>
        <v>168.97914739726031</v>
      </c>
      <c r="W82" s="32">
        <f t="shared" si="21"/>
        <v>172.35873034520552</v>
      </c>
      <c r="X82" s="32">
        <f t="shared" si="22"/>
        <v>175.73831329315072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4381</v>
      </c>
      <c r="AJ82" s="117">
        <v>-500000</v>
      </c>
      <c r="AK82" s="20">
        <v>2</v>
      </c>
      <c r="AL82" s="99">
        <f>AL83+AK82</f>
        <v>48</v>
      </c>
      <c r="AM82" s="117">
        <f t="shared" si="9"/>
        <v>-24000000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6</v>
      </c>
      <c r="N83">
        <f>N81+N82</f>
        <v>1.12E-2</v>
      </c>
      <c r="O83" t="s">
        <v>25</v>
      </c>
      <c r="P83" t="s">
        <v>25</v>
      </c>
      <c r="Q83" s="170">
        <v>103273</v>
      </c>
      <c r="R83" s="169" t="s">
        <v>4595</v>
      </c>
      <c r="S83" s="169">
        <f>S82-6</f>
        <v>6</v>
      </c>
      <c r="T83" s="73" t="s">
        <v>4596</v>
      </c>
      <c r="U83" s="169">
        <v>3544.7</v>
      </c>
      <c r="V83" s="99">
        <f t="shared" ref="V83:V92" si="23">U83*(1+$N$83+$Q$15*S83/36500)</f>
        <v>3600.7159715068492</v>
      </c>
      <c r="W83" s="32">
        <f t="shared" si="21"/>
        <v>3672.7302909369864</v>
      </c>
      <c r="X83" s="32">
        <f t="shared" si="22"/>
        <v>3744.7446103671232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4400</v>
      </c>
      <c r="AJ83" s="117">
        <v>-6234370</v>
      </c>
      <c r="AK83" s="20">
        <v>3</v>
      </c>
      <c r="AL83" s="99">
        <f t="shared" si="20"/>
        <v>46</v>
      </c>
      <c r="AM83" s="117">
        <f t="shared" si="9"/>
        <v>-286781020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Q84" s="170">
        <v>103031</v>
      </c>
      <c r="R84" s="169" t="s">
        <v>4597</v>
      </c>
      <c r="S84" s="169">
        <f>S83-1</f>
        <v>5</v>
      </c>
      <c r="T84" s="73" t="s">
        <v>4598</v>
      </c>
      <c r="U84" s="169">
        <v>2564</v>
      </c>
      <c r="V84" s="99">
        <f t="shared" si="23"/>
        <v>2602.5513205479456</v>
      </c>
      <c r="W84" s="32">
        <f t="shared" si="21"/>
        <v>2654.6023469589045</v>
      </c>
      <c r="X84" s="32">
        <f t="shared" si="22"/>
        <v>2706.6533733698634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4411</v>
      </c>
      <c r="AJ84" s="117">
        <v>1950957</v>
      </c>
      <c r="AK84" s="20">
        <v>4</v>
      </c>
      <c r="AL84" s="99">
        <f t="shared" si="20"/>
        <v>43</v>
      </c>
      <c r="AM84" s="117">
        <f t="shared" si="9"/>
        <v>83891151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Q85" s="170">
        <v>102925</v>
      </c>
      <c r="R85" s="169" t="s">
        <v>4597</v>
      </c>
      <c r="S85" s="169">
        <f>S84</f>
        <v>5</v>
      </c>
      <c r="T85" s="73" t="s">
        <v>4599</v>
      </c>
      <c r="U85" s="169">
        <v>3415</v>
      </c>
      <c r="V85" s="99">
        <f t="shared" si="23"/>
        <v>3466.3466301369867</v>
      </c>
      <c r="W85" s="32">
        <f t="shared" si="21"/>
        <v>3535.6735627397265</v>
      </c>
      <c r="X85" s="32">
        <f t="shared" si="22"/>
        <v>3605.0004953424664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4438</v>
      </c>
      <c r="AJ85" s="117">
        <v>600000</v>
      </c>
      <c r="AK85" s="20">
        <v>5</v>
      </c>
      <c r="AL85" s="99">
        <f t="shared" si="20"/>
        <v>39</v>
      </c>
      <c r="AM85" s="117">
        <f t="shared" si="9"/>
        <v>23400000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Q86" s="170">
        <v>103123</v>
      </c>
      <c r="R86" s="169" t="s">
        <v>4606</v>
      </c>
      <c r="S86" s="169">
        <f>S85-1</f>
        <v>4</v>
      </c>
      <c r="T86" s="73" t="s">
        <v>4607</v>
      </c>
      <c r="U86" s="169">
        <v>3311.2</v>
      </c>
      <c r="V86" s="99">
        <f t="shared" si="23"/>
        <v>3358.4458345205485</v>
      </c>
      <c r="W86" s="32">
        <f t="shared" si="21"/>
        <v>3425.6147512109596</v>
      </c>
      <c r="X86" s="32">
        <f t="shared" si="22"/>
        <v>3492.7836679013703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4448</v>
      </c>
      <c r="AJ86" s="117">
        <v>7500000</v>
      </c>
      <c r="AK86" s="20">
        <v>2</v>
      </c>
      <c r="AL86" s="99">
        <f t="shared" si="20"/>
        <v>34</v>
      </c>
      <c r="AM86" s="117">
        <f t="shared" si="9"/>
        <v>255000000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s="197" t="s">
        <v>4572</v>
      </c>
      <c r="O87" t="s">
        <v>4630</v>
      </c>
      <c r="P87">
        <v>19177902</v>
      </c>
      <c r="Q87" s="170">
        <v>111609</v>
      </c>
      <c r="R87" s="169" t="s">
        <v>4612</v>
      </c>
      <c r="S87" s="169">
        <f>S86-1</f>
        <v>3</v>
      </c>
      <c r="T87" s="73" t="s">
        <v>4614</v>
      </c>
      <c r="U87" s="169">
        <v>3366.5</v>
      </c>
      <c r="V87" s="99">
        <f t="shared" si="23"/>
        <v>3411.952361643836</v>
      </c>
      <c r="W87" s="32">
        <f t="shared" si="21"/>
        <v>3480.1914088767126</v>
      </c>
      <c r="X87" s="32">
        <f t="shared" si="22"/>
        <v>3548.4304561095896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4453</v>
      </c>
      <c r="AJ87" s="117">
        <v>-587816</v>
      </c>
      <c r="AK87" s="20">
        <v>3</v>
      </c>
      <c r="AL87" s="99">
        <f t="shared" si="20"/>
        <v>32</v>
      </c>
      <c r="AM87" s="117">
        <f t="shared" si="9"/>
        <v>-18810112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4573</v>
      </c>
      <c r="O88" t="s">
        <v>4631</v>
      </c>
      <c r="P88">
        <v>19635512</v>
      </c>
      <c r="Q88" s="170">
        <v>159753</v>
      </c>
      <c r="R88" s="169" t="s">
        <v>4612</v>
      </c>
      <c r="S88" s="169">
        <f>S87</f>
        <v>3</v>
      </c>
      <c r="T88" s="73" t="s">
        <v>4615</v>
      </c>
      <c r="U88" s="169">
        <v>286</v>
      </c>
      <c r="V88" s="99">
        <f t="shared" si="23"/>
        <v>289.86139178082192</v>
      </c>
      <c r="W88" s="32">
        <f t="shared" si="21"/>
        <v>295.65861961643839</v>
      </c>
      <c r="X88" s="32">
        <f t="shared" si="22"/>
        <v>301.4558474520548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4452</v>
      </c>
      <c r="AJ88" s="117">
        <v>-907489</v>
      </c>
      <c r="AK88" s="20">
        <v>0</v>
      </c>
      <c r="AL88" s="99">
        <f>AL89+AK88</f>
        <v>29</v>
      </c>
      <c r="AM88" s="117">
        <f t="shared" si="9"/>
        <v>-26317181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4574</v>
      </c>
      <c r="Q89" s="170">
        <v>11443</v>
      </c>
      <c r="R89" s="169" t="s">
        <v>4612</v>
      </c>
      <c r="S89" s="169">
        <f>S88</f>
        <v>3</v>
      </c>
      <c r="T89" s="73" t="s">
        <v>4616</v>
      </c>
      <c r="U89" s="169">
        <v>180.8</v>
      </c>
      <c r="V89" s="99">
        <f t="shared" si="23"/>
        <v>183.24104767123291</v>
      </c>
      <c r="W89" s="32">
        <f t="shared" si="21"/>
        <v>186.90586862465756</v>
      </c>
      <c r="X89" s="32">
        <f t="shared" si="22"/>
        <v>190.57068957808224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4452</v>
      </c>
      <c r="AJ89" s="117">
        <v>2450000</v>
      </c>
      <c r="AK89" s="20">
        <v>1</v>
      </c>
      <c r="AL89" s="99">
        <f t="shared" si="20"/>
        <v>29</v>
      </c>
      <c r="AM89" s="117">
        <f t="shared" si="9"/>
        <v>71050000</v>
      </c>
      <c r="AN89" s="20" t="s">
        <v>4492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4575</v>
      </c>
      <c r="Q90" s="170">
        <v>172133</v>
      </c>
      <c r="R90" s="169" t="s">
        <v>4617</v>
      </c>
      <c r="S90" s="169">
        <f>S89-3</f>
        <v>0</v>
      </c>
      <c r="T90" s="73" t="s">
        <v>4618</v>
      </c>
      <c r="U90" s="169">
        <v>287</v>
      </c>
      <c r="V90" s="99">
        <f t="shared" si="23"/>
        <v>290.21440000000001</v>
      </c>
      <c r="W90" s="32">
        <f t="shared" si="21"/>
        <v>296.018688</v>
      </c>
      <c r="X90" s="32">
        <f t="shared" si="22"/>
        <v>301.82297600000004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4495</v>
      </c>
      <c r="AJ90" s="117">
        <v>1500000</v>
      </c>
      <c r="AK90" s="20">
        <v>1</v>
      </c>
      <c r="AL90" s="99">
        <f t="shared" si="20"/>
        <v>28</v>
      </c>
      <c r="AM90" s="117">
        <f t="shared" si="9"/>
        <v>42000000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4398</v>
      </c>
      <c r="Q91" s="170">
        <v>100530</v>
      </c>
      <c r="R91" s="169" t="s">
        <v>4617</v>
      </c>
      <c r="S91" s="169">
        <f>S90</f>
        <v>0</v>
      </c>
      <c r="T91" s="73" t="s">
        <v>4620</v>
      </c>
      <c r="U91" s="169">
        <v>508</v>
      </c>
      <c r="V91" s="99">
        <f t="shared" si="23"/>
        <v>513.68960000000004</v>
      </c>
      <c r="W91" s="32">
        <f t="shared" si="21"/>
        <v>523.963392</v>
      </c>
      <c r="X91" s="32">
        <f t="shared" si="22"/>
        <v>534.23718400000007</v>
      </c>
      <c r="Y91" s="115"/>
      <c r="Z91" s="115"/>
      <c r="AA91" s="115"/>
      <c r="AE91"/>
      <c r="AG91" s="96"/>
      <c r="AH91" s="20">
        <v>71</v>
      </c>
      <c r="AI91" s="117" t="s">
        <v>4502</v>
      </c>
      <c r="AJ91" s="117">
        <v>2648000</v>
      </c>
      <c r="AK91" s="20">
        <v>1</v>
      </c>
      <c r="AL91" s="99">
        <f t="shared" si="20"/>
        <v>27</v>
      </c>
      <c r="AM91" s="117">
        <f t="shared" si="9"/>
        <v>71496000</v>
      </c>
      <c r="AN91" s="20" t="s">
        <v>4504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4417</v>
      </c>
      <c r="Q92" s="170">
        <v>100901</v>
      </c>
      <c r="R92" s="169" t="s">
        <v>4617</v>
      </c>
      <c r="S92" s="169">
        <f>S91</f>
        <v>0</v>
      </c>
      <c r="T92" s="73" t="s">
        <v>4622</v>
      </c>
      <c r="U92" s="169">
        <v>169.1</v>
      </c>
      <c r="V92" s="99">
        <f t="shared" si="23"/>
        <v>170.99392</v>
      </c>
      <c r="W92" s="32">
        <f t="shared" si="21"/>
        <v>174.41379840000002</v>
      </c>
      <c r="X92" s="32">
        <f t="shared" si="22"/>
        <v>177.83367680000001</v>
      </c>
      <c r="Y92" s="115"/>
      <c r="Z92" s="115"/>
      <c r="AA92" s="115"/>
      <c r="AE92"/>
      <c r="AG92" s="96"/>
      <c r="AH92" s="20">
        <v>72</v>
      </c>
      <c r="AI92" s="117" t="s">
        <v>4234</v>
      </c>
      <c r="AJ92" s="117">
        <v>615000</v>
      </c>
      <c r="AK92" s="20">
        <v>4</v>
      </c>
      <c r="AL92" s="99">
        <f t="shared" si="20"/>
        <v>26</v>
      </c>
      <c r="AM92" s="117">
        <f t="shared" si="9"/>
        <v>15990000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4576</v>
      </c>
      <c r="Q93" s="170"/>
      <c r="R93" s="169"/>
      <c r="S93" s="169"/>
      <c r="T93" s="73"/>
      <c r="U93" s="169"/>
      <c r="V93" s="99"/>
      <c r="W93" s="32"/>
      <c r="X93" s="32"/>
      <c r="Y93" s="115"/>
      <c r="Z93" s="115"/>
      <c r="AA93" s="115"/>
      <c r="AE93"/>
      <c r="AG93" s="96"/>
      <c r="AH93" s="20">
        <v>73</v>
      </c>
      <c r="AI93" s="117" t="s">
        <v>4517</v>
      </c>
      <c r="AJ93" s="117">
        <v>14000000</v>
      </c>
      <c r="AK93" s="20">
        <v>2</v>
      </c>
      <c r="AL93" s="99">
        <f>AL94+AK93</f>
        <v>22</v>
      </c>
      <c r="AM93" s="117">
        <f t="shared" si="9"/>
        <v>308000000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4402</v>
      </c>
      <c r="Q94" s="170"/>
      <c r="R94" s="169"/>
      <c r="S94" s="169"/>
      <c r="T94" s="73"/>
      <c r="U94" s="169"/>
      <c r="V94" s="99"/>
      <c r="W94" s="32"/>
      <c r="X94" s="32"/>
      <c r="AH94" s="20">
        <v>74</v>
      </c>
      <c r="AI94" s="117" t="s">
        <v>4525</v>
      </c>
      <c r="AJ94" s="117">
        <v>1313000</v>
      </c>
      <c r="AK94" s="20">
        <v>0</v>
      </c>
      <c r="AL94" s="99">
        <f>AL95+AK94</f>
        <v>20</v>
      </c>
      <c r="AM94" s="117">
        <f t="shared" si="9"/>
        <v>26260000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4577</v>
      </c>
      <c r="P95" s="115"/>
      <c r="Q95" s="170"/>
      <c r="R95" s="169"/>
      <c r="S95" s="169"/>
      <c r="T95" s="169"/>
      <c r="U95" s="169"/>
      <c r="V95" s="99" t="s">
        <v>25</v>
      </c>
      <c r="W95" s="32"/>
      <c r="X95" s="32"/>
      <c r="AH95" s="99">
        <v>75</v>
      </c>
      <c r="AI95" s="113" t="s">
        <v>4525</v>
      </c>
      <c r="AJ95" s="113">
        <v>2269000</v>
      </c>
      <c r="AK95" s="99">
        <v>1</v>
      </c>
      <c r="AL95" s="99">
        <f t="shared" ref="AL95:AL109" si="24">AL96+AK95</f>
        <v>20</v>
      </c>
      <c r="AM95" s="117">
        <f t="shared" si="9"/>
        <v>45380000</v>
      </c>
      <c r="AN95" s="99"/>
    </row>
    <row r="96" spans="4:52">
      <c r="D96" s="32" t="s">
        <v>314</v>
      </c>
      <c r="E96" s="1">
        <v>140000</v>
      </c>
      <c r="M96" t="s">
        <v>4578</v>
      </c>
      <c r="P96" s="128"/>
      <c r="Q96" s="113">
        <f>SUM(N41:N52)-SUM(Q54:Q95)</f>
        <v>-23717323.700000018</v>
      </c>
      <c r="R96" s="112"/>
      <c r="S96" s="112"/>
      <c r="T96" s="112"/>
      <c r="U96" s="169"/>
      <c r="V96" s="99" t="s">
        <v>25</v>
      </c>
      <c r="W96" s="32"/>
      <c r="X96" s="32"/>
      <c r="AH96" s="99">
        <v>76</v>
      </c>
      <c r="AI96" s="113" t="s">
        <v>4235</v>
      </c>
      <c r="AJ96" s="113">
        <v>750000</v>
      </c>
      <c r="AK96" s="99">
        <v>4</v>
      </c>
      <c r="AL96" s="99">
        <f t="shared" si="24"/>
        <v>19</v>
      </c>
      <c r="AM96" s="117">
        <f t="shared" si="9"/>
        <v>14250000</v>
      </c>
      <c r="AN96" s="99"/>
    </row>
    <row r="97" spans="4:47">
      <c r="D97" s="2" t="s">
        <v>478</v>
      </c>
      <c r="E97" s="3">
        <v>1083333</v>
      </c>
      <c r="M97" t="s">
        <v>4579</v>
      </c>
      <c r="P97" s="128"/>
      <c r="Q97" s="26"/>
      <c r="R97" s="183"/>
      <c r="S97" s="183"/>
      <c r="T97" t="s">
        <v>25</v>
      </c>
      <c r="U97" s="96" t="s">
        <v>25</v>
      </c>
      <c r="V97" s="96" t="s">
        <v>25</v>
      </c>
      <c r="Y97" t="s">
        <v>25</v>
      </c>
      <c r="AH97" s="99">
        <v>77</v>
      </c>
      <c r="AI97" s="113" t="s">
        <v>4540</v>
      </c>
      <c r="AJ97" s="113">
        <v>1900000</v>
      </c>
      <c r="AK97" s="99">
        <v>3</v>
      </c>
      <c r="AL97" s="99">
        <f t="shared" si="24"/>
        <v>15</v>
      </c>
      <c r="AM97" s="117">
        <f t="shared" si="9"/>
        <v>28500000</v>
      </c>
      <c r="AN97" s="99"/>
    </row>
    <row r="98" spans="4:47">
      <c r="D98" s="2"/>
      <c r="E98" s="3"/>
      <c r="H98" s="96"/>
      <c r="M98" t="s">
        <v>4580</v>
      </c>
      <c r="P98" s="115"/>
      <c r="R98" s="32" t="s">
        <v>4636</v>
      </c>
      <c r="S98" s="32" t="s">
        <v>950</v>
      </c>
      <c r="T98" t="s">
        <v>25</v>
      </c>
      <c r="U98" s="96" t="s">
        <v>25</v>
      </c>
      <c r="V98" s="96" t="s">
        <v>25</v>
      </c>
      <c r="W98" s="96" t="s">
        <v>25</v>
      </c>
      <c r="AH98" s="99">
        <v>78</v>
      </c>
      <c r="AI98" s="113" t="s">
        <v>4560</v>
      </c>
      <c r="AJ98" s="113">
        <v>6400000</v>
      </c>
      <c r="AK98" s="99">
        <v>1</v>
      </c>
      <c r="AL98" s="99">
        <f t="shared" si="24"/>
        <v>12</v>
      </c>
      <c r="AM98" s="117">
        <f t="shared" si="9"/>
        <v>76800000</v>
      </c>
      <c r="AN98" s="99"/>
    </row>
    <row r="99" spans="4:47">
      <c r="D99" s="2"/>
      <c r="E99" s="3"/>
      <c r="R99" s="32">
        <v>9871</v>
      </c>
      <c r="S99" s="1">
        <f>Q82</f>
        <v>1475854</v>
      </c>
      <c r="U99" s="96" t="s">
        <v>25</v>
      </c>
      <c r="V99" s="122" t="s">
        <v>25</v>
      </c>
      <c r="AH99" s="99">
        <v>79</v>
      </c>
      <c r="AI99" s="113" t="s">
        <v>4557</v>
      </c>
      <c r="AJ99" s="113">
        <v>5000</v>
      </c>
      <c r="AK99" s="99">
        <v>5</v>
      </c>
      <c r="AL99" s="99">
        <f t="shared" si="24"/>
        <v>11</v>
      </c>
      <c r="AM99" s="117">
        <f t="shared" si="9"/>
        <v>55000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t="s">
        <v>25</v>
      </c>
      <c r="R100" s="32">
        <v>8871</v>
      </c>
      <c r="S100" s="1">
        <f>S99*R100/R99</f>
        <v>1326339.8676932428</v>
      </c>
      <c r="U100" s="96" t="s">
        <v>25</v>
      </c>
      <c r="W100" s="96" t="s">
        <v>25</v>
      </c>
      <c r="Y100" t="s">
        <v>25</v>
      </c>
      <c r="AB100" s="96"/>
      <c r="AC100" s="96"/>
      <c r="AH100" s="99">
        <v>80</v>
      </c>
      <c r="AI100" s="113" t="s">
        <v>4597</v>
      </c>
      <c r="AJ100" s="113">
        <v>-1750148</v>
      </c>
      <c r="AK100" s="99">
        <v>1</v>
      </c>
      <c r="AL100" s="99">
        <f t="shared" si="24"/>
        <v>6</v>
      </c>
      <c r="AM100" s="117">
        <f t="shared" si="9"/>
        <v>-10500888</v>
      </c>
      <c r="AN100" s="99"/>
    </row>
    <row r="101" spans="4:47">
      <c r="D101" s="2" t="s">
        <v>328</v>
      </c>
      <c r="E101" s="3">
        <f>E100/30</f>
        <v>112777.76666666666</v>
      </c>
      <c r="R101" s="32">
        <v>1000</v>
      </c>
      <c r="S101" s="1">
        <f>R101*S99/R99</f>
        <v>149514.13230675718</v>
      </c>
      <c r="V101" s="96"/>
      <c r="W101"/>
      <c r="AB101" s="96"/>
      <c r="AC101" s="96"/>
      <c r="AH101" s="99">
        <v>81</v>
      </c>
      <c r="AI101" s="113" t="s">
        <v>4606</v>
      </c>
      <c r="AJ101" s="113">
        <v>400000</v>
      </c>
      <c r="AK101" s="99">
        <v>0</v>
      </c>
      <c r="AL101" s="99">
        <f t="shared" si="24"/>
        <v>5</v>
      </c>
      <c r="AM101" s="117">
        <f t="shared" si="9"/>
        <v>2000000</v>
      </c>
      <c r="AN101" s="99"/>
    </row>
    <row r="102" spans="4:47">
      <c r="K102" s="169" t="s">
        <v>4581</v>
      </c>
      <c r="L102" s="169" t="s">
        <v>4582</v>
      </c>
      <c r="M102" s="169" t="s">
        <v>4444</v>
      </c>
      <c r="N102" s="56" t="s">
        <v>190</v>
      </c>
      <c r="V102" s="96"/>
      <c r="W102"/>
      <c r="AB102" s="96"/>
      <c r="AC102" s="96"/>
      <c r="AH102" s="99">
        <v>82</v>
      </c>
      <c r="AI102" s="113" t="s">
        <v>4606</v>
      </c>
      <c r="AJ102" s="113">
        <v>-2105421</v>
      </c>
      <c r="AK102" s="99">
        <v>1</v>
      </c>
      <c r="AL102" s="99">
        <f t="shared" si="24"/>
        <v>5</v>
      </c>
      <c r="AM102" s="117">
        <f t="shared" si="9"/>
        <v>-10527105</v>
      </c>
      <c r="AN102" s="99"/>
      <c r="AO102" t="s">
        <v>25</v>
      </c>
    </row>
    <row r="103" spans="4:47">
      <c r="K103" s="169" t="s">
        <v>4245</v>
      </c>
      <c r="L103" s="170">
        <v>1100000</v>
      </c>
      <c r="M103" s="170">
        <v>1637000</v>
      </c>
      <c r="N103" s="169">
        <f>(M103-L103)*100/L103</f>
        <v>48.81818181818182</v>
      </c>
      <c r="Q103" s="99" t="s">
        <v>4472</v>
      </c>
      <c r="R103" s="99" t="s">
        <v>4474</v>
      </c>
      <c r="S103" s="99"/>
      <c r="T103" s="99" t="s">
        <v>4475</v>
      </c>
      <c r="U103" s="99"/>
      <c r="V103" s="99"/>
      <c r="AB103" s="96"/>
      <c r="AC103" s="96"/>
      <c r="AH103" s="99">
        <v>83</v>
      </c>
      <c r="AI103" s="113" t="s">
        <v>4612</v>
      </c>
      <c r="AJ103" s="113">
        <v>-5527618</v>
      </c>
      <c r="AK103" s="99">
        <v>0</v>
      </c>
      <c r="AL103" s="99">
        <f t="shared" si="24"/>
        <v>4</v>
      </c>
      <c r="AM103" s="117">
        <f t="shared" si="9"/>
        <v>-22110472</v>
      </c>
      <c r="AN103" s="99"/>
    </row>
    <row r="104" spans="4:47">
      <c r="K104" s="5" t="s">
        <v>4573</v>
      </c>
      <c r="L104" s="170">
        <v>1100000</v>
      </c>
      <c r="M104" s="170">
        <v>4748000</v>
      </c>
      <c r="N104" s="169">
        <f t="shared" ref="N104:N111" si="25">(M104-L104)*100/L104</f>
        <v>331.63636363636363</v>
      </c>
      <c r="Q104" s="113">
        <v>1000</v>
      </c>
      <c r="R104" s="99">
        <v>0.25</v>
      </c>
      <c r="S104" s="99"/>
      <c r="T104" s="99">
        <f>1-R104</f>
        <v>0.75</v>
      </c>
      <c r="U104" s="99"/>
      <c r="V104" s="99"/>
      <c r="AB104" s="96"/>
      <c r="AC104" s="96"/>
      <c r="AH104" s="99">
        <v>84</v>
      </c>
      <c r="AI104" s="113" t="s">
        <v>4612</v>
      </c>
      <c r="AJ104" s="113">
        <v>3900000</v>
      </c>
      <c r="AK104" s="99">
        <v>3</v>
      </c>
      <c r="AL104" s="99">
        <f t="shared" si="24"/>
        <v>4</v>
      </c>
      <c r="AM104" s="117">
        <f t="shared" si="9"/>
        <v>15600000</v>
      </c>
      <c r="AN104" s="99"/>
    </row>
    <row r="105" spans="4:47">
      <c r="K105" s="5" t="s">
        <v>4575</v>
      </c>
      <c r="L105" s="170">
        <v>1100000</v>
      </c>
      <c r="M105" s="170">
        <v>5137000</v>
      </c>
      <c r="N105" s="169">
        <f t="shared" si="25"/>
        <v>367</v>
      </c>
      <c r="Q105" s="169" t="s">
        <v>4459</v>
      </c>
      <c r="R105" s="169" t="s">
        <v>4477</v>
      </c>
      <c r="S105" s="169" t="s">
        <v>4479</v>
      </c>
      <c r="T105" s="169" t="s">
        <v>180</v>
      </c>
      <c r="U105" s="169" t="s">
        <v>4473</v>
      </c>
      <c r="V105" s="56" t="s">
        <v>4476</v>
      </c>
      <c r="X105" s="115"/>
      <c r="AB105" s="96"/>
      <c r="AC105" s="96"/>
      <c r="AH105" s="99">
        <v>85</v>
      </c>
      <c r="AI105" s="113" t="s">
        <v>4617</v>
      </c>
      <c r="AJ105" s="113">
        <v>-3969754</v>
      </c>
      <c r="AK105" s="99">
        <v>1</v>
      </c>
      <c r="AL105" s="99">
        <f>AL108+AK105</f>
        <v>1</v>
      </c>
      <c r="AM105" s="117">
        <f t="shared" si="9"/>
        <v>-3969754</v>
      </c>
      <c r="AN105" s="99"/>
    </row>
    <row r="106" spans="4:47">
      <c r="K106" s="19" t="s">
        <v>4398</v>
      </c>
      <c r="L106" s="170">
        <v>1100000</v>
      </c>
      <c r="M106" s="170">
        <v>4300000</v>
      </c>
      <c r="N106" s="169">
        <f t="shared" si="25"/>
        <v>290.90909090909093</v>
      </c>
      <c r="Q106" s="169" t="s">
        <v>751</v>
      </c>
      <c r="R106" s="56">
        <v>759341</v>
      </c>
      <c r="S106" s="113">
        <f>R106*$T$133</f>
        <v>197442140.78511</v>
      </c>
      <c r="T106" s="169" t="s">
        <v>4471</v>
      </c>
      <c r="U106" s="169">
        <f>$Q$104*$T$104*S106/$R$129</f>
        <v>508.74982803625443</v>
      </c>
      <c r="V106" s="95">
        <f>S106+U106</f>
        <v>197442649.53493804</v>
      </c>
      <c r="X106" s="163"/>
      <c r="AB106" s="96"/>
      <c r="AC106" s="96"/>
      <c r="AH106" s="99"/>
      <c r="AI106" s="113"/>
      <c r="AJ106" s="113"/>
      <c r="AK106" s="99"/>
      <c r="AL106" s="99"/>
      <c r="AM106" s="117"/>
      <c r="AN106" s="99"/>
      <c r="AP106" t="s">
        <v>25</v>
      </c>
    </row>
    <row r="107" spans="4:47">
      <c r="K107" s="5" t="s">
        <v>4417</v>
      </c>
      <c r="L107" s="170">
        <v>1100000</v>
      </c>
      <c r="M107" s="170">
        <v>3191000</v>
      </c>
      <c r="N107" s="169">
        <f t="shared" si="25"/>
        <v>190.09090909090909</v>
      </c>
      <c r="Q107" s="169" t="s">
        <v>4461</v>
      </c>
      <c r="R107" s="56">
        <v>327026</v>
      </c>
      <c r="S107" s="113">
        <f>R107*$T$133</f>
        <v>85032565.780579969</v>
      </c>
      <c r="T107" s="169" t="s">
        <v>4471</v>
      </c>
      <c r="U107" s="169">
        <f>$Q$104*$T$104*S107/$R$129+Q104*R104</f>
        <v>469.10369815851391</v>
      </c>
      <c r="V107" s="95">
        <f>S107+U107</f>
        <v>85033034.884278134</v>
      </c>
      <c r="X107" s="115"/>
      <c r="AB107" s="96"/>
      <c r="AC107" s="96"/>
      <c r="AH107" s="99"/>
      <c r="AI107" s="113"/>
      <c r="AJ107" s="113"/>
      <c r="AK107" s="99"/>
      <c r="AL107" s="99"/>
      <c r="AM107" s="117"/>
      <c r="AN107" s="99"/>
    </row>
    <row r="108" spans="4:47">
      <c r="K108" s="5" t="s">
        <v>4576</v>
      </c>
      <c r="L108" s="170">
        <v>1100000</v>
      </c>
      <c r="M108" s="170">
        <v>5623000</v>
      </c>
      <c r="N108" s="169">
        <f t="shared" si="25"/>
        <v>411.18181818181819</v>
      </c>
      <c r="Q108" s="169" t="s">
        <v>4460</v>
      </c>
      <c r="R108" s="56">
        <v>33055</v>
      </c>
      <c r="S108" s="113">
        <f>R108*$T$133</f>
        <v>8594886.8343100268</v>
      </c>
      <c r="T108" s="169" t="s">
        <v>4471</v>
      </c>
      <c r="U108" s="169">
        <f>$Q$104*$T$104*S108/$R$129</f>
        <v>22.146473805231629</v>
      </c>
      <c r="V108" s="95">
        <f>S108+U108</f>
        <v>8594908.9807838313</v>
      </c>
      <c r="X108" s="115"/>
      <c r="AB108" s="96"/>
      <c r="AC108" s="96"/>
      <c r="AH108" s="99" t="s">
        <v>25</v>
      </c>
      <c r="AI108" s="113"/>
      <c r="AJ108" s="113"/>
      <c r="AK108" s="99"/>
      <c r="AL108" s="99">
        <f t="shared" si="24"/>
        <v>0</v>
      </c>
      <c r="AM108" s="117">
        <f t="shared" si="9"/>
        <v>0</v>
      </c>
      <c r="AN108" s="99"/>
    </row>
    <row r="109" spans="4:47">
      <c r="K109" s="19" t="s">
        <v>4402</v>
      </c>
      <c r="L109" s="170">
        <v>1100000</v>
      </c>
      <c r="M109" s="170">
        <v>7728000</v>
      </c>
      <c r="N109" s="169">
        <f t="shared" si="25"/>
        <v>602.5454545454545</v>
      </c>
      <c r="Q109" s="169"/>
      <c r="R109" s="56"/>
      <c r="S109" s="169"/>
      <c r="T109" s="169"/>
      <c r="U109" s="169"/>
      <c r="V109" s="99"/>
      <c r="X109" s="115"/>
      <c r="AC109" s="96"/>
      <c r="AD109" s="96"/>
      <c r="AE109"/>
      <c r="AF109"/>
      <c r="AH109" s="99"/>
      <c r="AI109" s="113"/>
      <c r="AJ109" s="113"/>
      <c r="AK109" s="99"/>
      <c r="AL109" s="99">
        <f t="shared" si="24"/>
        <v>0</v>
      </c>
      <c r="AM109" s="117">
        <f t="shared" si="9"/>
        <v>0</v>
      </c>
      <c r="AN109" s="99"/>
    </row>
    <row r="110" spans="4:47">
      <c r="K110" s="5" t="s">
        <v>4580</v>
      </c>
      <c r="L110" s="170">
        <v>1100000</v>
      </c>
      <c r="M110" s="170">
        <v>2904000</v>
      </c>
      <c r="N110" s="169">
        <f t="shared" si="25"/>
        <v>164</v>
      </c>
      <c r="Q110" s="169"/>
      <c r="R110" s="56"/>
      <c r="S110" s="169"/>
      <c r="T110" s="169"/>
      <c r="U110" s="169"/>
      <c r="V110" s="169"/>
      <c r="W110" s="115"/>
      <c r="X110" s="96"/>
      <c r="AH110" s="99"/>
      <c r="AI110" s="99"/>
      <c r="AJ110" s="95">
        <f>SUM(AJ20:AJ109)</f>
        <v>224536159</v>
      </c>
      <c r="AK110" s="99"/>
      <c r="AL110" s="99"/>
      <c r="AM110" s="95">
        <f>SUM(AM20:AM109)</f>
        <v>28447597018</v>
      </c>
      <c r="AN110" s="95">
        <f>AM110*AN113/31</f>
        <v>18353288.398709677</v>
      </c>
    </row>
    <row r="111" spans="4:47">
      <c r="K111" s="56" t="s">
        <v>1086</v>
      </c>
      <c r="L111" s="170">
        <v>1100000</v>
      </c>
      <c r="M111" s="170">
        <v>3400000</v>
      </c>
      <c r="N111" s="169">
        <f t="shared" si="25"/>
        <v>209.09090909090909</v>
      </c>
      <c r="Q111" s="169"/>
      <c r="R111" s="169"/>
      <c r="S111" s="169"/>
      <c r="T111" s="169"/>
      <c r="U111" s="169"/>
      <c r="V111" s="169"/>
      <c r="W111" s="115"/>
      <c r="X111" s="96"/>
      <c r="AH111" s="99"/>
      <c r="AI111" s="99"/>
      <c r="AJ111" s="99" t="s">
        <v>4061</v>
      </c>
      <c r="AK111" s="99"/>
      <c r="AL111" s="99"/>
      <c r="AM111" s="99" t="s">
        <v>284</v>
      </c>
      <c r="AN111" s="99" t="s">
        <v>943</v>
      </c>
      <c r="AR111" s="96"/>
      <c r="AS111" s="96"/>
      <c r="AT111"/>
      <c r="AU111"/>
    </row>
    <row r="112" spans="4:47">
      <c r="K112" s="210" t="s">
        <v>4632</v>
      </c>
      <c r="Q112" s="99"/>
      <c r="R112" s="99"/>
      <c r="S112" s="99"/>
      <c r="T112" s="99" t="s">
        <v>25</v>
      </c>
      <c r="U112" s="99"/>
      <c r="V112" s="99"/>
      <c r="W112" s="115"/>
      <c r="X112" s="96"/>
      <c r="AH112" s="99"/>
      <c r="AI112" s="99"/>
      <c r="AJ112" s="99"/>
      <c r="AK112" s="99"/>
      <c r="AL112" s="99"/>
      <c r="AM112" s="99"/>
      <c r="AN112" s="99"/>
    </row>
    <row r="113" spans="11:43">
      <c r="K113" s="210" t="s">
        <v>4633</v>
      </c>
      <c r="Q113" s="99"/>
      <c r="R113" s="99"/>
      <c r="S113" s="99"/>
      <c r="T113" s="99"/>
      <c r="U113" s="99"/>
      <c r="V113" s="99"/>
      <c r="W113" s="115"/>
      <c r="X113" s="96"/>
      <c r="AH113" s="99"/>
      <c r="AI113" s="99"/>
      <c r="AJ113" s="99"/>
      <c r="AK113" s="99"/>
      <c r="AL113" s="99"/>
      <c r="AM113" s="99" t="s">
        <v>4062</v>
      </c>
      <c r="AN113" s="99">
        <v>0.02</v>
      </c>
    </row>
    <row r="114" spans="11:43">
      <c r="K114" s="210" t="s">
        <v>4634</v>
      </c>
      <c r="Q114" s="99"/>
      <c r="R114" s="99"/>
      <c r="S114" s="99"/>
      <c r="T114" s="99"/>
      <c r="U114" s="99"/>
      <c r="V114" s="99"/>
      <c r="W114" s="115"/>
      <c r="X114" s="96"/>
      <c r="AH114" s="99"/>
      <c r="AI114" s="99"/>
      <c r="AJ114" s="99"/>
      <c r="AK114" s="99"/>
      <c r="AL114" s="99"/>
      <c r="AM114" s="99"/>
      <c r="AN114" s="99"/>
    </row>
    <row r="115" spans="11:43">
      <c r="Q115" s="96"/>
      <c r="R115" s="96"/>
      <c r="S115" s="96"/>
      <c r="T115" s="96"/>
      <c r="V115" s="96"/>
      <c r="X115" s="115"/>
      <c r="AH115" s="99"/>
      <c r="AI115" s="99" t="s">
        <v>4063</v>
      </c>
      <c r="AJ115" s="95">
        <f>AJ110+AN110</f>
        <v>242889447.39870968</v>
      </c>
      <c r="AK115" s="99"/>
      <c r="AL115" s="99"/>
      <c r="AM115" s="99"/>
      <c r="AN115" s="99"/>
    </row>
    <row r="116" spans="11:43">
      <c r="Q116" s="96"/>
      <c r="R116" s="96"/>
      <c r="S116" s="96"/>
      <c r="T116" s="96"/>
      <c r="V116" s="96"/>
      <c r="AI116" t="s">
        <v>4066</v>
      </c>
      <c r="AJ116" s="114">
        <f>SUM(N39:N52)</f>
        <v>252761847.29999998</v>
      </c>
    </row>
    <row r="117" spans="11:43">
      <c r="Q117" s="96"/>
      <c r="R117" s="96"/>
      <c r="S117" s="96"/>
      <c r="T117" s="96" t="s">
        <v>25</v>
      </c>
      <c r="V117" s="96"/>
      <c r="AI117" t="s">
        <v>4138</v>
      </c>
      <c r="AJ117" s="114">
        <f>AJ116-AJ110</f>
        <v>28225688.299999982</v>
      </c>
      <c r="AM117" t="s">
        <v>25</v>
      </c>
    </row>
    <row r="118" spans="11:43">
      <c r="Q118" s="96"/>
      <c r="R118" s="96"/>
      <c r="S118" s="96"/>
      <c r="T118" s="96"/>
      <c r="V118" s="96"/>
      <c r="AI118" t="s">
        <v>943</v>
      </c>
      <c r="AJ118" s="114">
        <f>AN110</f>
        <v>18353288.398709677</v>
      </c>
    </row>
    <row r="119" spans="11:43">
      <c r="Q119" s="96"/>
      <c r="R119" s="96"/>
      <c r="S119" s="96"/>
      <c r="T119" s="99" t="s">
        <v>180</v>
      </c>
      <c r="U119" s="99" t="s">
        <v>4496</v>
      </c>
      <c r="V119" s="99" t="s">
        <v>4497</v>
      </c>
      <c r="W119" s="99" t="s">
        <v>4509</v>
      </c>
      <c r="X119" s="99" t="s">
        <v>8</v>
      </c>
      <c r="AI119" t="s">
        <v>4067</v>
      </c>
      <c r="AJ119" s="114">
        <f>AJ116-AJ115</f>
        <v>9872399.9012902975</v>
      </c>
    </row>
    <row r="120" spans="11:43">
      <c r="Q120" s="36" t="s">
        <v>4635</v>
      </c>
      <c r="R120" s="95">
        <f>SUM(N41:N52)</f>
        <v>223519426.29999998</v>
      </c>
      <c r="T120" s="113" t="s">
        <v>4471</v>
      </c>
      <c r="U120" s="56">
        <v>1000000</v>
      </c>
      <c r="V120" s="113">
        <v>239.024</v>
      </c>
      <c r="W120" s="113">
        <f>U120*V120</f>
        <v>239024000</v>
      </c>
      <c r="X120" s="99"/>
      <c r="AM120" t="s">
        <v>25</v>
      </c>
      <c r="AO120" t="s">
        <v>25</v>
      </c>
    </row>
    <row r="121" spans="11:43">
      <c r="Q121" s="99" t="s">
        <v>4462</v>
      </c>
      <c r="R121" s="95">
        <f>SUM(N21:N24)</f>
        <v>24393297.599999998</v>
      </c>
      <c r="T121" s="169" t="s">
        <v>4452</v>
      </c>
      <c r="U121" s="56">
        <v>5904</v>
      </c>
      <c r="V121" s="113">
        <v>237.148</v>
      </c>
      <c r="W121" s="113">
        <f t="shared" ref="W121:W129" si="26">U121*V121</f>
        <v>1400121.7919999999</v>
      </c>
      <c r="X121" s="99" t="s">
        <v>751</v>
      </c>
      <c r="AJ121" t="s">
        <v>25</v>
      </c>
      <c r="AP121" t="s">
        <v>25</v>
      </c>
    </row>
    <row r="122" spans="11:43">
      <c r="Q122" s="99" t="s">
        <v>4463</v>
      </c>
      <c r="R122" s="95">
        <f>SUM(N27:N28)</f>
        <v>2864975.5</v>
      </c>
      <c r="T122" s="169" t="s">
        <v>4234</v>
      </c>
      <c r="U122" s="169">
        <v>1000</v>
      </c>
      <c r="V122" s="113">
        <v>247.393</v>
      </c>
      <c r="W122" s="113">
        <f t="shared" si="26"/>
        <v>247393</v>
      </c>
      <c r="X122" s="99" t="s">
        <v>751</v>
      </c>
      <c r="AQ122" t="s">
        <v>25</v>
      </c>
    </row>
    <row r="123" spans="11:43">
      <c r="Q123" s="99" t="s">
        <v>4464</v>
      </c>
      <c r="R123" s="95">
        <f>N39</f>
        <v>29242421</v>
      </c>
      <c r="T123" s="169" t="s">
        <v>4513</v>
      </c>
      <c r="U123" s="169">
        <v>8071</v>
      </c>
      <c r="V123" s="113">
        <v>247.797</v>
      </c>
      <c r="W123" s="113">
        <f t="shared" si="26"/>
        <v>1999969.5870000001</v>
      </c>
      <c r="X123" s="99" t="s">
        <v>4460</v>
      </c>
    </row>
    <row r="124" spans="11:43">
      <c r="Q124" s="99" t="s">
        <v>4465</v>
      </c>
      <c r="R124" s="95">
        <f>N20</f>
        <v>0</v>
      </c>
      <c r="T124" s="169" t="s">
        <v>4513</v>
      </c>
      <c r="U124" s="169">
        <v>53672</v>
      </c>
      <c r="V124" s="113">
        <v>247.797</v>
      </c>
      <c r="W124" s="113">
        <f t="shared" si="26"/>
        <v>13299760.584000001</v>
      </c>
      <c r="X124" s="99" t="s">
        <v>452</v>
      </c>
      <c r="Y124" t="s">
        <v>25</v>
      </c>
    </row>
    <row r="125" spans="11:43">
      <c r="Q125" s="99" t="s">
        <v>4466</v>
      </c>
      <c r="R125" s="95">
        <f>N26</f>
        <v>9</v>
      </c>
      <c r="T125" s="169" t="s">
        <v>4525</v>
      </c>
      <c r="U125" s="169">
        <v>4099</v>
      </c>
      <c r="V125" s="113">
        <v>243.93</v>
      </c>
      <c r="W125" s="113">
        <f t="shared" si="26"/>
        <v>999869.07000000007</v>
      </c>
      <c r="X125" s="99" t="s">
        <v>4460</v>
      </c>
    </row>
    <row r="126" spans="11:43">
      <c r="Q126" s="99" t="s">
        <v>4478</v>
      </c>
      <c r="R126" s="95">
        <v>10852092</v>
      </c>
      <c r="T126" s="169" t="s">
        <v>4525</v>
      </c>
      <c r="U126" s="169">
        <v>9301</v>
      </c>
      <c r="V126" s="113">
        <v>243.93</v>
      </c>
      <c r="W126" s="113">
        <f t="shared" si="26"/>
        <v>2268792.9300000002</v>
      </c>
      <c r="X126" s="99" t="s">
        <v>452</v>
      </c>
      <c r="AH126" s="99" t="s">
        <v>3642</v>
      </c>
      <c r="AI126" s="99" t="s">
        <v>180</v>
      </c>
      <c r="AJ126" s="99" t="s">
        <v>267</v>
      </c>
      <c r="AK126" s="99" t="s">
        <v>4060</v>
      </c>
      <c r="AL126" s="99" t="s">
        <v>4052</v>
      </c>
      <c r="AM126" s="99" t="s">
        <v>282</v>
      </c>
      <c r="AN126" s="99" t="s">
        <v>4295</v>
      </c>
    </row>
    <row r="127" spans="11:43">
      <c r="Q127" s="99" t="s">
        <v>4613</v>
      </c>
      <c r="R127" s="95">
        <v>197372</v>
      </c>
      <c r="T127" s="169" t="s">
        <v>4539</v>
      </c>
      <c r="U127" s="169">
        <v>8334</v>
      </c>
      <c r="V127" s="113">
        <v>239.97</v>
      </c>
      <c r="W127" s="113">
        <f t="shared" si="26"/>
        <v>1999909.98</v>
      </c>
      <c r="X127" s="99" t="s">
        <v>4460</v>
      </c>
      <c r="AH127" s="99">
        <v>1</v>
      </c>
      <c r="AI127" s="99" t="s">
        <v>3951</v>
      </c>
      <c r="AJ127" s="117">
        <v>3555820</v>
      </c>
      <c r="AK127" s="99">
        <v>2</v>
      </c>
      <c r="AL127" s="99">
        <f>AK127+AL128</f>
        <v>157</v>
      </c>
      <c r="AM127" s="99">
        <f>AJ127*AL127</f>
        <v>558263740</v>
      </c>
      <c r="AN127" s="99" t="s">
        <v>4318</v>
      </c>
    </row>
    <row r="128" spans="11:43">
      <c r="Q128" s="99"/>
      <c r="R128" s="95">
        <v>0</v>
      </c>
      <c r="T128" s="169" t="s">
        <v>4233</v>
      </c>
      <c r="U128" s="169">
        <v>29041</v>
      </c>
      <c r="V128" s="113">
        <v>233.45</v>
      </c>
      <c r="W128" s="113">
        <f t="shared" si="26"/>
        <v>6779621.4499999993</v>
      </c>
      <c r="X128" s="99" t="s">
        <v>751</v>
      </c>
      <c r="AH128" s="99">
        <v>2</v>
      </c>
      <c r="AI128" s="99" t="s">
        <v>4026</v>
      </c>
      <c r="AJ128" s="117">
        <v>1720837</v>
      </c>
      <c r="AK128" s="99">
        <v>51</v>
      </c>
      <c r="AL128" s="99">
        <f t="shared" ref="AL128:AL152" si="27">AK128+AL129</f>
        <v>155</v>
      </c>
      <c r="AM128" s="99">
        <f t="shared" ref="AM128:AM152" si="28">AJ128*AL128</f>
        <v>266729735</v>
      </c>
      <c r="AN128" s="99" t="s">
        <v>4319</v>
      </c>
    </row>
    <row r="129" spans="17:40">
      <c r="Q129" s="99" t="s">
        <v>4470</v>
      </c>
      <c r="R129" s="95">
        <f>SUM(R120:R128)</f>
        <v>291069593.39999998</v>
      </c>
      <c r="S129" s="115"/>
      <c r="T129" s="169"/>
      <c r="U129" s="169"/>
      <c r="V129" s="113"/>
      <c r="W129" s="113">
        <f t="shared" si="26"/>
        <v>0</v>
      </c>
      <c r="X129" s="99"/>
      <c r="AH129" s="99">
        <v>3</v>
      </c>
      <c r="AI129" s="99" t="s">
        <v>4132</v>
      </c>
      <c r="AJ129" s="117">
        <v>150000</v>
      </c>
      <c r="AK129" s="99">
        <v>3</v>
      </c>
      <c r="AL129" s="99">
        <f t="shared" si="27"/>
        <v>104</v>
      </c>
      <c r="AM129" s="99">
        <f t="shared" si="28"/>
        <v>15600000</v>
      </c>
      <c r="AN129" s="99"/>
    </row>
    <row r="130" spans="17:40">
      <c r="Q130" s="96"/>
      <c r="S130" s="122"/>
      <c r="T130" s="169"/>
      <c r="U130" s="169">
        <f>SUM(U120:U128)</f>
        <v>1119422</v>
      </c>
      <c r="V130" s="99"/>
      <c r="W130" s="99"/>
      <c r="X130" s="99"/>
      <c r="AH130" s="99">
        <v>4</v>
      </c>
      <c r="AI130" s="99" t="s">
        <v>4147</v>
      </c>
      <c r="AJ130" s="117">
        <v>-95000</v>
      </c>
      <c r="AK130" s="99">
        <v>8</v>
      </c>
      <c r="AL130" s="99">
        <f t="shared" si="27"/>
        <v>101</v>
      </c>
      <c r="AM130" s="99">
        <f t="shared" si="28"/>
        <v>-9595000</v>
      </c>
      <c r="AN130" s="99"/>
    </row>
    <row r="131" spans="17:40">
      <c r="Q131" s="96"/>
      <c r="R131" s="184"/>
      <c r="S131" s="115"/>
      <c r="T131" s="99"/>
      <c r="U131" s="99" t="s">
        <v>6</v>
      </c>
      <c r="V131" s="99"/>
      <c r="W131" s="99"/>
      <c r="X131" s="99"/>
      <c r="AH131" s="99">
        <v>5</v>
      </c>
      <c r="AI131" s="99" t="s">
        <v>4174</v>
      </c>
      <c r="AJ131" s="117">
        <v>3150000</v>
      </c>
      <c r="AK131" s="99">
        <v>16</v>
      </c>
      <c r="AL131" s="99">
        <f t="shared" si="27"/>
        <v>93</v>
      </c>
      <c r="AM131" s="99">
        <f t="shared" si="28"/>
        <v>292950000</v>
      </c>
      <c r="AN131" s="99"/>
    </row>
    <row r="132" spans="17:40">
      <c r="Q132" s="96"/>
      <c r="R132" s="184"/>
      <c r="S132" s="115"/>
      <c r="T132" s="204" t="s">
        <v>4498</v>
      </c>
      <c r="AH132" s="99">
        <v>6</v>
      </c>
      <c r="AI132" s="99" t="s">
        <v>4243</v>
      </c>
      <c r="AJ132" s="117">
        <v>-65000</v>
      </c>
      <c r="AK132" s="99">
        <v>1</v>
      </c>
      <c r="AL132" s="99">
        <f t="shared" si="27"/>
        <v>77</v>
      </c>
      <c r="AM132" s="99">
        <f t="shared" si="28"/>
        <v>-5005000</v>
      </c>
      <c r="AN132" s="99"/>
    </row>
    <row r="133" spans="17:40">
      <c r="Q133" s="96"/>
      <c r="R133" s="115"/>
      <c r="T133" s="203">
        <f>R129/U130</f>
        <v>260.0177532690978</v>
      </c>
      <c r="AH133" s="99">
        <v>7</v>
      </c>
      <c r="AI133" s="99" t="s">
        <v>4320</v>
      </c>
      <c r="AJ133" s="117">
        <v>-95000</v>
      </c>
      <c r="AK133" s="99">
        <v>6</v>
      </c>
      <c r="AL133" s="99">
        <f t="shared" si="27"/>
        <v>76</v>
      </c>
      <c r="AM133" s="99">
        <f t="shared" si="28"/>
        <v>-7220000</v>
      </c>
      <c r="AN133" s="99"/>
    </row>
    <row r="134" spans="17:40">
      <c r="W134" s="114"/>
      <c r="AH134" s="99">
        <v>8</v>
      </c>
      <c r="AI134" s="99" t="s">
        <v>4321</v>
      </c>
      <c r="AJ134" s="117">
        <v>232000</v>
      </c>
      <c r="AK134" s="99">
        <v>7</v>
      </c>
      <c r="AL134" s="99">
        <f t="shared" si="27"/>
        <v>70</v>
      </c>
      <c r="AM134" s="99">
        <f t="shared" si="28"/>
        <v>16240000</v>
      </c>
      <c r="AN134" s="99"/>
    </row>
    <row r="135" spans="17:40">
      <c r="Q135" s="99" t="s">
        <v>4460</v>
      </c>
      <c r="R135" s="99"/>
      <c r="U135" s="96" t="s">
        <v>267</v>
      </c>
      <c r="V135" t="s">
        <v>4499</v>
      </c>
      <c r="AH135" s="99">
        <v>9</v>
      </c>
      <c r="AI135" s="99" t="s">
        <v>4294</v>
      </c>
      <c r="AJ135" s="117">
        <v>13000000</v>
      </c>
      <c r="AK135" s="99">
        <v>2</v>
      </c>
      <c r="AL135" s="99">
        <f t="shared" si="27"/>
        <v>63</v>
      </c>
      <c r="AM135" s="99">
        <f t="shared" si="28"/>
        <v>819000000</v>
      </c>
      <c r="AN135" s="99"/>
    </row>
    <row r="136" spans="17:40">
      <c r="Q136" s="36" t="s">
        <v>180</v>
      </c>
      <c r="R136" s="99" t="s">
        <v>267</v>
      </c>
      <c r="U136" s="113">
        <v>6780000</v>
      </c>
      <c r="V136">
        <f>U136/T133</f>
        <v>26075.142619139689</v>
      </c>
      <c r="AH136" s="99">
        <v>10</v>
      </c>
      <c r="AI136" s="99" t="s">
        <v>4322</v>
      </c>
      <c r="AJ136" s="117">
        <v>10000000</v>
      </c>
      <c r="AK136" s="99">
        <v>3</v>
      </c>
      <c r="AL136" s="99">
        <f t="shared" si="27"/>
        <v>61</v>
      </c>
      <c r="AM136" s="99">
        <f t="shared" si="28"/>
        <v>610000000</v>
      </c>
      <c r="AN136" s="99"/>
    </row>
    <row r="137" spans="17:40">
      <c r="Q137" s="99" t="s">
        <v>4452</v>
      </c>
      <c r="R137" s="95">
        <v>3000000</v>
      </c>
      <c r="X137" t="s">
        <v>25</v>
      </c>
      <c r="AH137" s="99">
        <v>11</v>
      </c>
      <c r="AI137" s="99" t="s">
        <v>4307</v>
      </c>
      <c r="AJ137" s="117">
        <v>3400000</v>
      </c>
      <c r="AK137" s="99">
        <v>9</v>
      </c>
      <c r="AL137" s="99">
        <f t="shared" si="27"/>
        <v>58</v>
      </c>
      <c r="AM137" s="99">
        <f t="shared" si="28"/>
        <v>197200000</v>
      </c>
      <c r="AN137" s="99"/>
    </row>
    <row r="138" spans="17:40">
      <c r="Q138" s="99" t="s">
        <v>4513</v>
      </c>
      <c r="R138" s="95">
        <v>2000000</v>
      </c>
      <c r="AH138" s="99">
        <v>12</v>
      </c>
      <c r="AI138" s="99" t="s">
        <v>4354</v>
      </c>
      <c r="AJ138" s="117">
        <v>-8736514</v>
      </c>
      <c r="AK138" s="99">
        <v>1</v>
      </c>
      <c r="AL138" s="99">
        <f>AK138+AL139</f>
        <v>49</v>
      </c>
      <c r="AM138" s="99">
        <f t="shared" si="28"/>
        <v>-428089186</v>
      </c>
      <c r="AN138" s="99"/>
    </row>
    <row r="139" spans="17:40">
      <c r="Q139" s="99" t="s">
        <v>4525</v>
      </c>
      <c r="R139" s="95">
        <v>1000000</v>
      </c>
      <c r="AH139" s="99">
        <v>13</v>
      </c>
      <c r="AI139" s="99" t="s">
        <v>4355</v>
      </c>
      <c r="AJ139" s="117">
        <v>555000</v>
      </c>
      <c r="AK139" s="99">
        <v>5</v>
      </c>
      <c r="AL139" s="99">
        <f t="shared" ref="AL139:AL151" si="29">AK139+AL140</f>
        <v>48</v>
      </c>
      <c r="AM139" s="99">
        <f t="shared" si="28"/>
        <v>26640000</v>
      </c>
      <c r="AN139" s="99"/>
    </row>
    <row r="140" spans="17:40">
      <c r="Q140" s="99" t="s">
        <v>4539</v>
      </c>
      <c r="R140" s="95">
        <v>2000000</v>
      </c>
      <c r="AH140" s="99">
        <v>14</v>
      </c>
      <c r="AI140" s="99" t="s">
        <v>4379</v>
      </c>
      <c r="AJ140" s="117">
        <v>-448308</v>
      </c>
      <c r="AK140" s="99">
        <v>6</v>
      </c>
      <c r="AL140" s="99">
        <f t="shared" si="29"/>
        <v>43</v>
      </c>
      <c r="AM140" s="99">
        <f t="shared" si="28"/>
        <v>-19277244</v>
      </c>
      <c r="AN140" s="99"/>
    </row>
    <row r="141" spans="17:40" ht="60">
      <c r="Q141" s="99"/>
      <c r="R141" s="95"/>
      <c r="T141" s="22" t="s">
        <v>4481</v>
      </c>
      <c r="AH141" s="99">
        <v>15</v>
      </c>
      <c r="AI141" s="99" t="s">
        <v>4411</v>
      </c>
      <c r="AJ141" s="117">
        <v>33225</v>
      </c>
      <c r="AK141" s="99">
        <v>0</v>
      </c>
      <c r="AL141" s="99">
        <f t="shared" si="29"/>
        <v>37</v>
      </c>
      <c r="AM141" s="99">
        <f t="shared" si="28"/>
        <v>1229325</v>
      </c>
      <c r="AN141" s="99"/>
    </row>
    <row r="142" spans="17:40" ht="45">
      <c r="Q142" s="99"/>
      <c r="R142" s="95"/>
      <c r="T142" s="22" t="s">
        <v>4482</v>
      </c>
      <c r="AH142" s="149">
        <v>16</v>
      </c>
      <c r="AI142" s="149" t="s">
        <v>4411</v>
      </c>
      <c r="AJ142" s="191">
        <v>4098523</v>
      </c>
      <c r="AK142" s="149">
        <v>2</v>
      </c>
      <c r="AL142" s="149">
        <f t="shared" si="29"/>
        <v>37</v>
      </c>
      <c r="AM142" s="149">
        <f t="shared" si="28"/>
        <v>151645351</v>
      </c>
      <c r="AN142" s="149" t="s">
        <v>657</v>
      </c>
    </row>
    <row r="143" spans="17:40">
      <c r="Q143" s="99"/>
      <c r="R143" s="95">
        <f>SUM(R137:R141)</f>
        <v>8000000</v>
      </c>
      <c r="AH143" s="149">
        <v>17</v>
      </c>
      <c r="AI143" s="149" t="s">
        <v>4425</v>
      </c>
      <c r="AJ143" s="191">
        <v>-1000000</v>
      </c>
      <c r="AK143" s="149">
        <v>7</v>
      </c>
      <c r="AL143" s="149">
        <f t="shared" si="29"/>
        <v>35</v>
      </c>
      <c r="AM143" s="149">
        <f t="shared" si="28"/>
        <v>-35000000</v>
      </c>
      <c r="AN143" s="149" t="s">
        <v>657</v>
      </c>
    </row>
    <row r="144" spans="17:40">
      <c r="Q144" s="99"/>
      <c r="R144" s="99" t="s">
        <v>6</v>
      </c>
      <c r="AH144" s="149">
        <v>18</v>
      </c>
      <c r="AI144" s="149" t="s">
        <v>4448</v>
      </c>
      <c r="AJ144" s="191">
        <v>750000</v>
      </c>
      <c r="AK144" s="149">
        <v>1</v>
      </c>
      <c r="AL144" s="149">
        <f t="shared" si="29"/>
        <v>28</v>
      </c>
      <c r="AM144" s="149">
        <f t="shared" si="28"/>
        <v>21000000</v>
      </c>
      <c r="AN144" s="149" t="s">
        <v>657</v>
      </c>
    </row>
    <row r="145" spans="17:44">
      <c r="T145" s="99" t="s">
        <v>4500</v>
      </c>
      <c r="U145" s="99" t="s">
        <v>4470</v>
      </c>
      <c r="V145" s="99" t="s">
        <v>953</v>
      </c>
      <c r="AH145" s="199">
        <v>19</v>
      </c>
      <c r="AI145" s="199" t="s">
        <v>4450</v>
      </c>
      <c r="AJ145" s="200">
        <v>-604152</v>
      </c>
      <c r="AK145" s="199">
        <v>0</v>
      </c>
      <c r="AL145" s="199">
        <f t="shared" si="29"/>
        <v>27</v>
      </c>
      <c r="AM145" s="199">
        <f t="shared" si="28"/>
        <v>-16312104</v>
      </c>
      <c r="AN145" s="199" t="s">
        <v>657</v>
      </c>
    </row>
    <row r="146" spans="17:44">
      <c r="Q146" s="96"/>
      <c r="R146" s="96"/>
      <c r="T146" s="95">
        <f>R143+R156+R165</f>
        <v>268019393</v>
      </c>
      <c r="U146" s="95">
        <f>R129</f>
        <v>291069593.39999998</v>
      </c>
      <c r="V146" s="95">
        <f>U146-T146</f>
        <v>23050200.399999976</v>
      </c>
      <c r="AH146" s="99">
        <v>20</v>
      </c>
      <c r="AI146" s="99" t="s">
        <v>4451</v>
      </c>
      <c r="AJ146" s="117">
        <v>-587083</v>
      </c>
      <c r="AK146" s="99">
        <v>4</v>
      </c>
      <c r="AL146" s="99">
        <f t="shared" si="29"/>
        <v>27</v>
      </c>
      <c r="AM146" s="99">
        <f t="shared" si="28"/>
        <v>-15851241</v>
      </c>
      <c r="AN146" s="99"/>
      <c r="AR146" t="s">
        <v>25</v>
      </c>
    </row>
    <row r="147" spans="17:44">
      <c r="Q147" s="96"/>
      <c r="R147" s="96"/>
      <c r="AH147" s="199">
        <v>21</v>
      </c>
      <c r="AI147" s="199" t="s">
        <v>4452</v>
      </c>
      <c r="AJ147" s="200">
        <v>-754351</v>
      </c>
      <c r="AK147" s="199">
        <v>0</v>
      </c>
      <c r="AL147" s="99">
        <f t="shared" si="29"/>
        <v>23</v>
      </c>
      <c r="AM147" s="199">
        <f t="shared" si="28"/>
        <v>-17350073</v>
      </c>
      <c r="AN147" s="199" t="s">
        <v>657</v>
      </c>
    </row>
    <row r="148" spans="17:44">
      <c r="AH148" s="99">
        <v>22</v>
      </c>
      <c r="AI148" s="99" t="s">
        <v>4452</v>
      </c>
      <c r="AJ148" s="117">
        <v>-189619</v>
      </c>
      <c r="AK148" s="99">
        <v>15</v>
      </c>
      <c r="AL148" s="99">
        <f t="shared" si="29"/>
        <v>23</v>
      </c>
      <c r="AM148" s="99">
        <f t="shared" si="28"/>
        <v>-4361237</v>
      </c>
      <c r="AN148" s="99"/>
    </row>
    <row r="149" spans="17:44">
      <c r="Q149" s="99" t="s">
        <v>751</v>
      </c>
      <c r="R149" s="99"/>
      <c r="AH149" s="199">
        <v>23</v>
      </c>
      <c r="AI149" s="199" t="s">
        <v>4544</v>
      </c>
      <c r="AJ149" s="199">
        <v>7100</v>
      </c>
      <c r="AK149" s="199">
        <v>0</v>
      </c>
      <c r="AL149" s="99">
        <f t="shared" si="29"/>
        <v>8</v>
      </c>
      <c r="AM149" s="199">
        <f t="shared" si="28"/>
        <v>56800</v>
      </c>
      <c r="AN149" s="199" t="s">
        <v>657</v>
      </c>
    </row>
    <row r="150" spans="17:44">
      <c r="Q150" s="99" t="s">
        <v>4452</v>
      </c>
      <c r="R150" s="95">
        <v>172908000</v>
      </c>
      <c r="AH150" s="20">
        <v>24</v>
      </c>
      <c r="AI150" s="20" t="s">
        <v>4544</v>
      </c>
      <c r="AJ150" s="20">
        <v>-147902</v>
      </c>
      <c r="AK150" s="20">
        <v>3</v>
      </c>
      <c r="AL150" s="99">
        <f t="shared" si="29"/>
        <v>8</v>
      </c>
      <c r="AM150" s="199">
        <f t="shared" si="28"/>
        <v>-1183216</v>
      </c>
      <c r="AN150" s="20"/>
    </row>
    <row r="151" spans="17:44">
      <c r="Q151" s="99" t="s">
        <v>4495</v>
      </c>
      <c r="R151" s="95">
        <v>1400000</v>
      </c>
      <c r="AH151" s="149">
        <v>25</v>
      </c>
      <c r="AI151" s="149" t="s">
        <v>4557</v>
      </c>
      <c r="AJ151" s="149">
        <v>-37200</v>
      </c>
      <c r="AK151" s="149">
        <v>4</v>
      </c>
      <c r="AL151" s="99">
        <f t="shared" si="29"/>
        <v>5</v>
      </c>
      <c r="AM151" s="199">
        <f t="shared" si="28"/>
        <v>-186000</v>
      </c>
      <c r="AN151" s="149" t="s">
        <v>657</v>
      </c>
    </row>
    <row r="152" spans="17:44">
      <c r="Q152" s="99" t="s">
        <v>4234</v>
      </c>
      <c r="R152" s="95">
        <v>247393</v>
      </c>
      <c r="AH152" s="99">
        <v>26</v>
      </c>
      <c r="AI152" s="99" t="s">
        <v>4595</v>
      </c>
      <c r="AJ152" s="99">
        <v>-372326</v>
      </c>
      <c r="AK152" s="99">
        <v>1</v>
      </c>
      <c r="AL152" s="99">
        <f t="shared" si="27"/>
        <v>1</v>
      </c>
      <c r="AM152" s="99">
        <f t="shared" si="28"/>
        <v>-372326</v>
      </c>
      <c r="AN152" s="99"/>
    </row>
    <row r="153" spans="17:44">
      <c r="Q153" s="99" t="s">
        <v>4233</v>
      </c>
      <c r="R153" s="95">
        <v>6780000</v>
      </c>
      <c r="AH153" s="99"/>
      <c r="AI153" s="99"/>
      <c r="AJ153" s="99"/>
      <c r="AK153" s="99"/>
      <c r="AL153" s="99"/>
      <c r="AM153" s="99"/>
      <c r="AN153" s="99"/>
    </row>
    <row r="154" spans="17:44">
      <c r="Q154" s="99"/>
      <c r="R154" s="95"/>
      <c r="AH154" s="99"/>
      <c r="AI154" s="99"/>
      <c r="AJ154" s="95">
        <f>SUM(AJ127:AJ153)</f>
        <v>27520050</v>
      </c>
      <c r="AK154" s="99"/>
      <c r="AL154" s="99"/>
      <c r="AM154" s="99">
        <f>SUM(AM127:AM153)</f>
        <v>2416752324</v>
      </c>
      <c r="AN154" s="95">
        <f>AM154*AN113/31</f>
        <v>1559195.0477419356</v>
      </c>
    </row>
    <row r="155" spans="17:44">
      <c r="Q155" s="99"/>
      <c r="R155" s="95"/>
      <c r="AJ155" t="s">
        <v>4061</v>
      </c>
      <c r="AM155" t="s">
        <v>284</v>
      </c>
      <c r="AN155" t="s">
        <v>943</v>
      </c>
    </row>
    <row r="156" spans="17:44">
      <c r="Q156" s="99"/>
      <c r="R156" s="95">
        <f>SUM(R150:R154)</f>
        <v>181335393</v>
      </c>
    </row>
    <row r="157" spans="17:44">
      <c r="Q157" s="99"/>
      <c r="R157" s="99" t="s">
        <v>6</v>
      </c>
      <c r="AI157" t="s">
        <v>4063</v>
      </c>
      <c r="AJ157" s="114">
        <f>AJ154+AN154</f>
        <v>29079245.047741935</v>
      </c>
    </row>
    <row r="158" spans="17:44">
      <c r="AI158" t="s">
        <v>4066</v>
      </c>
      <c r="AJ158" s="114">
        <f>SUM(N20:N28)</f>
        <v>27258282.099999998</v>
      </c>
    </row>
    <row r="159" spans="17:44">
      <c r="AI159" t="s">
        <v>4138</v>
      </c>
      <c r="AJ159" s="114">
        <f>AJ158-AJ154</f>
        <v>-261767.90000000224</v>
      </c>
    </row>
    <row r="160" spans="17:44">
      <c r="Q160" s="99" t="s">
        <v>452</v>
      </c>
      <c r="R160" s="99"/>
      <c r="AI160" t="s">
        <v>943</v>
      </c>
      <c r="AJ160" s="114">
        <f>AN154</f>
        <v>1559195.0477419356</v>
      </c>
    </row>
    <row r="161" spans="17:36">
      <c r="Q161" s="99" t="s">
        <v>4452</v>
      </c>
      <c r="R161" s="95">
        <v>63115000</v>
      </c>
      <c r="AI161" t="s">
        <v>4067</v>
      </c>
      <c r="AJ161" s="114">
        <f>AJ159-AJ160</f>
        <v>-1820962.9477419378</v>
      </c>
    </row>
    <row r="162" spans="17:36">
      <c r="Q162" s="99" t="s">
        <v>4513</v>
      </c>
      <c r="R162" s="95">
        <v>13300000</v>
      </c>
      <c r="T162" t="s">
        <v>25</v>
      </c>
    </row>
    <row r="163" spans="17:36">
      <c r="Q163" s="99" t="s">
        <v>4525</v>
      </c>
      <c r="R163" s="95">
        <v>2269000</v>
      </c>
    </row>
    <row r="164" spans="17:36">
      <c r="Q164" s="99"/>
      <c r="R164" s="95"/>
    </row>
    <row r="165" spans="17:36">
      <c r="Q165" s="99"/>
      <c r="R165" s="95">
        <f>SUM(R161:R163)</f>
        <v>78684000</v>
      </c>
    </row>
    <row r="166" spans="17:36">
      <c r="Q166" s="99"/>
      <c r="R166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7 S67 S76 S85:S86 S9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D6" sqref="D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9.85546875" bestFit="1" customWidth="1"/>
    <col min="15" max="15" width="8" bestFit="1" customWidth="1"/>
  </cols>
  <sheetData>
    <row r="1" spans="1:15">
      <c r="A1" s="99"/>
      <c r="B1" s="206" t="s">
        <v>4443</v>
      </c>
      <c r="C1" s="169" t="s">
        <v>4302</v>
      </c>
      <c r="D1" s="169" t="s">
        <v>180</v>
      </c>
      <c r="J1" s="169" t="s">
        <v>3642</v>
      </c>
      <c r="K1" s="169" t="s">
        <v>180</v>
      </c>
      <c r="L1" s="169" t="s">
        <v>4497</v>
      </c>
      <c r="M1" s="169" t="s">
        <v>937</v>
      </c>
      <c r="N1" s="56" t="s">
        <v>940</v>
      </c>
      <c r="O1" s="99" t="s">
        <v>8</v>
      </c>
    </row>
    <row r="2" spans="1:15">
      <c r="A2" s="99" t="s">
        <v>4245</v>
      </c>
      <c r="B2" s="207">
        <v>1690</v>
      </c>
      <c r="C2" s="209" t="s">
        <v>4623</v>
      </c>
      <c r="D2" s="99" t="s">
        <v>4517</v>
      </c>
      <c r="J2" s="169">
        <v>1</v>
      </c>
      <c r="K2" s="169" t="s">
        <v>4288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7">
        <v>3792000</v>
      </c>
      <c r="C3" s="170">
        <v>3992000</v>
      </c>
      <c r="D3" s="99" t="s">
        <v>4517</v>
      </c>
      <c r="J3" s="169">
        <v>2</v>
      </c>
      <c r="K3" s="169" t="s">
        <v>4513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7"/>
      <c r="C4" s="170"/>
      <c r="D4" s="99"/>
      <c r="J4" s="169">
        <v>3</v>
      </c>
      <c r="K4" s="169" t="s">
        <v>4233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4601</v>
      </c>
      <c r="B5" s="207">
        <v>-106275</v>
      </c>
      <c r="C5" s="170"/>
      <c r="D5" s="59" t="s">
        <v>4638</v>
      </c>
      <c r="J5" s="169"/>
      <c r="K5" s="169"/>
      <c r="L5" s="113"/>
      <c r="M5" s="169"/>
      <c r="N5" s="113"/>
      <c r="O5" s="99"/>
    </row>
    <row r="6" spans="1:15">
      <c r="A6" s="99"/>
      <c r="B6" s="207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7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7"/>
      <c r="C8" s="170"/>
      <c r="D8" s="99"/>
      <c r="M8" s="113">
        <f>N6/M6</f>
        <v>4053750</v>
      </c>
    </row>
    <row r="9" spans="1:15">
      <c r="A9" s="99"/>
      <c r="B9" s="207"/>
      <c r="C9" s="170"/>
      <c r="D9" s="99"/>
      <c r="M9" s="41" t="s">
        <v>4559</v>
      </c>
      <c r="N9" t="s">
        <v>25</v>
      </c>
    </row>
    <row r="10" spans="1:15">
      <c r="A10" s="99"/>
    </row>
    <row r="11" spans="1:15">
      <c r="A11" s="99"/>
      <c r="B11" s="207">
        <v>3965000</v>
      </c>
      <c r="C11" s="170"/>
      <c r="D11" s="99" t="s">
        <v>4502</v>
      </c>
    </row>
    <row r="12" spans="1:15">
      <c r="A12" s="99"/>
      <c r="B12" s="207">
        <v>3880000</v>
      </c>
      <c r="C12" s="170"/>
      <c r="D12" s="99" t="s">
        <v>4511</v>
      </c>
      <c r="L12">
        <f>140-M6-3</f>
        <v>121</v>
      </c>
      <c r="M12">
        <f>75-3-M2-M4</f>
        <v>60</v>
      </c>
    </row>
    <row r="13" spans="1:15">
      <c r="A13" s="99" t="s">
        <v>4518</v>
      </c>
      <c r="B13" s="208"/>
      <c r="C13" s="170">
        <v>3894000</v>
      </c>
      <c r="D13" s="99" t="s">
        <v>4513</v>
      </c>
      <c r="M13">
        <f>65-M3</f>
        <v>61</v>
      </c>
    </row>
    <row r="14" spans="1:15">
      <c r="A14" s="99"/>
      <c r="B14" s="207"/>
      <c r="C14" s="170">
        <v>3845000</v>
      </c>
      <c r="D14" s="99" t="s">
        <v>4513</v>
      </c>
    </row>
    <row r="15" spans="1:15">
      <c r="A15" s="99"/>
      <c r="B15" s="207"/>
      <c r="C15" s="170">
        <v>3845000</v>
      </c>
      <c r="D15" s="99" t="s">
        <v>4513</v>
      </c>
    </row>
    <row r="16" spans="1:15">
      <c r="A16" s="99"/>
      <c r="B16" s="207"/>
      <c r="C16" s="170">
        <v>3845000</v>
      </c>
      <c r="D16" s="99" t="s">
        <v>4513</v>
      </c>
    </row>
    <row r="17" spans="1:18">
      <c r="A17" s="99" t="s">
        <v>4522</v>
      </c>
      <c r="B17" s="207">
        <v>3990000</v>
      </c>
      <c r="C17" s="170"/>
      <c r="D17" s="99" t="s">
        <v>4517</v>
      </c>
      <c r="G17" s="169" t="s">
        <v>4558</v>
      </c>
      <c r="H17" s="169" t="s">
        <v>4298</v>
      </c>
      <c r="I17" s="169" t="s">
        <v>4245</v>
      </c>
      <c r="J17" s="169" t="s">
        <v>4591</v>
      </c>
      <c r="K17" s="169"/>
      <c r="L17" s="41"/>
      <c r="M17" s="41"/>
      <c r="N17" s="169" t="s">
        <v>4571</v>
      </c>
      <c r="O17" s="169" t="s">
        <v>1086</v>
      </c>
      <c r="P17" s="169" t="s">
        <v>4245</v>
      </c>
      <c r="Q17" s="169" t="s">
        <v>4591</v>
      </c>
      <c r="R17" s="169"/>
    </row>
    <row r="18" spans="1:18">
      <c r="A18" s="99"/>
      <c r="B18" s="207">
        <v>3915000</v>
      </c>
      <c r="C18" s="170"/>
      <c r="D18" s="99" t="s">
        <v>4519</v>
      </c>
      <c r="G18" s="169" t="s">
        <v>4568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4557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7">
        <v>3821000</v>
      </c>
      <c r="C19" s="170"/>
      <c r="D19" s="99" t="s">
        <v>4525</v>
      </c>
      <c r="G19" s="169" t="s">
        <v>4567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7"/>
      <c r="C20" s="170"/>
      <c r="D20" s="99" t="s">
        <v>4540</v>
      </c>
      <c r="G20" s="169" t="s">
        <v>4569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4570</v>
      </c>
      <c r="B21" s="207"/>
      <c r="C21" s="170">
        <v>3421299</v>
      </c>
      <c r="D21" s="99" t="s">
        <v>4233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 t="s">
        <v>4610</v>
      </c>
      <c r="B22" s="207"/>
      <c r="C22" s="170">
        <v>3490000</v>
      </c>
      <c r="D22" s="99" t="s">
        <v>4233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 t="s">
        <v>4611</v>
      </c>
      <c r="B23" s="207"/>
      <c r="C23" s="170">
        <v>271000</v>
      </c>
      <c r="D23" s="99" t="s">
        <v>4606</v>
      </c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 t="s">
        <v>4629</v>
      </c>
      <c r="B24" s="207"/>
      <c r="C24" s="170">
        <v>69700</v>
      </c>
      <c r="D24" s="99" t="s">
        <v>4612</v>
      </c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A25" s="99"/>
      <c r="B25" s="207"/>
      <c r="C25" s="170"/>
      <c r="D25" s="99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A26" s="99"/>
      <c r="B26" s="207"/>
      <c r="C26" s="170"/>
      <c r="D26" s="99"/>
    </row>
    <row r="27" spans="1:18">
      <c r="A27" s="99"/>
      <c r="B27" s="207"/>
      <c r="C27" s="170"/>
      <c r="D27" s="99"/>
    </row>
    <row r="28" spans="1:18">
      <c r="A28" s="99"/>
      <c r="B28" s="170"/>
      <c r="C28" s="170"/>
      <c r="D28" s="99"/>
    </row>
    <row r="29" spans="1:18">
      <c r="B29" s="58"/>
      <c r="C29" s="58"/>
      <c r="D29" s="115"/>
    </row>
    <row r="30" spans="1:18">
      <c r="B30" t="s">
        <v>25</v>
      </c>
    </row>
    <row r="31" spans="1:18">
      <c r="B31" s="114">
        <f>SUM(C11:C28)-SUM(B11:B28)</f>
        <v>3109999</v>
      </c>
      <c r="C31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4275</v>
      </c>
      <c r="D1" s="99" t="s">
        <v>4276</v>
      </c>
      <c r="E1" s="99" t="s">
        <v>4277</v>
      </c>
      <c r="F1" s="99" t="s">
        <v>4278</v>
      </c>
      <c r="G1" s="74" t="s">
        <v>4279</v>
      </c>
      <c r="H1" s="74" t="s">
        <v>4443</v>
      </c>
      <c r="I1" s="74" t="s">
        <v>4302</v>
      </c>
      <c r="N1" s="99" t="s">
        <v>949</v>
      </c>
      <c r="O1" s="99">
        <v>6.3E-3</v>
      </c>
    </row>
    <row r="2" spans="1:25">
      <c r="A2" s="99">
        <v>1</v>
      </c>
      <c r="B2" s="99" t="s">
        <v>4174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4280</v>
      </c>
      <c r="G27" s="99" t="s">
        <v>4281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2018-12-30T01:21:58Z</dcterms:modified>
</cp:coreProperties>
</file>