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firstSheet="5" activeTab="5"/>
  </bookViews>
  <sheets>
    <sheet name="اسفند 96" sheetId="31" r:id="rId1"/>
    <sheet name="سارا" sheetId="20" r:id="rId2"/>
    <sheet name="مسکن مریم یاران" sheetId="13" r:id="rId3"/>
    <sheet name="مسکن علی سید الشهدا" sheetId="16" r:id="rId4"/>
    <sheet name="مسکن ایلیا" sheetId="15" r:id="rId5"/>
    <sheet name="برنامه 5 ساله" sheetId="18" r:id="rId6"/>
    <sheet name="مسکن مریم سید الشهدا" sheetId="14" r:id="rId7"/>
    <sheet name="بدهی خانه" sheetId="10" r:id="rId8"/>
    <sheet name="اردیبهشت95" sheetId="5" r:id="rId9"/>
    <sheet name="خرداد 95" sheetId="4" r:id="rId10"/>
    <sheet name="تیرماه95" sheetId="2" r:id="rId11"/>
    <sheet name="مرداد 95" sheetId="3" r:id="rId12"/>
    <sheet name="شهریور 95" sheetId="6" r:id="rId13"/>
    <sheet name="مهر 95" sheetId="7" r:id="rId14"/>
    <sheet name="آبان 95" sheetId="8" r:id="rId15"/>
    <sheet name="آذر 95" sheetId="9" r:id="rId16"/>
    <sheet name="دی 95" sheetId="11" r:id="rId17"/>
    <sheet name="بهمن 95" sheetId="12" r:id="rId18"/>
    <sheet name="اسفند 95" sheetId="17" r:id="rId19"/>
    <sheet name="فروردین 96" sheetId="19" r:id="rId20"/>
    <sheet name="اردیبهشت 96" sheetId="21" r:id="rId21"/>
    <sheet name="خرداد 96" sheetId="22" r:id="rId22"/>
    <sheet name="تیر 96" sheetId="23" r:id="rId23"/>
    <sheet name="مرداد 96" sheetId="24" r:id="rId24"/>
    <sheet name="شهریور 96" sheetId="25" r:id="rId25"/>
    <sheet name="مهر96" sheetId="26" r:id="rId26"/>
    <sheet name="آبان 96" sheetId="27" r:id="rId27"/>
    <sheet name="آذر 96" sheetId="28" r:id="rId28"/>
    <sheet name="دی 96" sheetId="29" r:id="rId29"/>
    <sheet name="بهمن 96" sheetId="30" r:id="rId30"/>
    <sheet name="لیست خرید و فروش" sheetId="32" r:id="rId31"/>
    <sheet name="اوراق بدون ریسک" sheetId="33" r:id="rId32"/>
  </sheets>
  <calcPr calcId="145621"/>
</workbook>
</file>

<file path=xl/calcChain.xml><?xml version="1.0" encoding="utf-8"?>
<calcChain xmlns="http://schemas.openxmlformats.org/spreadsheetml/2006/main">
  <c r="L24" i="18" l="1"/>
  <c r="F93" i="32"/>
  <c r="E92" i="32"/>
  <c r="C67" i="32"/>
  <c r="C66" i="32"/>
  <c r="C65" i="32"/>
  <c r="C64" i="32"/>
  <c r="C63" i="32"/>
  <c r="C62" i="32"/>
  <c r="Q17" i="32"/>
  <c r="P17" i="32"/>
  <c r="M17" i="32"/>
  <c r="K17" i="32"/>
  <c r="K16" i="32"/>
  <c r="I16" i="32"/>
  <c r="I12" i="32"/>
  <c r="Q15" i="32"/>
  <c r="P15" i="32"/>
  <c r="M15" i="32"/>
  <c r="K15" i="32"/>
  <c r="K14" i="32"/>
  <c r="Q13" i="32"/>
  <c r="P13" i="32"/>
  <c r="M13" i="32"/>
  <c r="K13" i="32"/>
  <c r="K12" i="32"/>
  <c r="Q11" i="32"/>
  <c r="P11" i="32"/>
  <c r="M11" i="32"/>
  <c r="K11" i="32"/>
  <c r="I11" i="32"/>
  <c r="O11" i="32"/>
  <c r="L10" i="32"/>
  <c r="K10" i="32"/>
  <c r="I10" i="32"/>
  <c r="M33" i="32"/>
  <c r="M7" i="32"/>
  <c r="M45" i="32"/>
  <c r="P45" i="32" s="1"/>
  <c r="O45" i="32"/>
  <c r="K44" i="32"/>
  <c r="I44" i="32"/>
  <c r="L44" i="32" s="1"/>
  <c r="G86" i="32"/>
  <c r="F85" i="32"/>
  <c r="F86" i="32"/>
  <c r="F87" i="32"/>
  <c r="F88" i="32"/>
  <c r="F84" i="32"/>
  <c r="M9" i="32"/>
  <c r="M5" i="32"/>
  <c r="M3" i="32"/>
  <c r="F92" i="32" l="1"/>
  <c r="M57" i="32"/>
  <c r="Q45" i="32"/>
  <c r="P33" i="32"/>
  <c r="I32" i="32"/>
  <c r="L32" i="32" s="1"/>
  <c r="I3" i="32"/>
  <c r="I4" i="32"/>
  <c r="L4" i="32" s="1"/>
  <c r="I5" i="32"/>
  <c r="I6" i="32"/>
  <c r="L6" i="32" s="1"/>
  <c r="I7" i="32"/>
  <c r="I8" i="32"/>
  <c r="L8" i="32" s="1"/>
  <c r="I9" i="32"/>
  <c r="I33" i="32"/>
  <c r="I34" i="32"/>
  <c r="L34" i="32" s="1"/>
  <c r="I35" i="32"/>
  <c r="I36" i="32"/>
  <c r="L36" i="32" s="1"/>
  <c r="I37" i="32"/>
  <c r="I38" i="32"/>
  <c r="L38" i="32" s="1"/>
  <c r="I39" i="32"/>
  <c r="I40" i="32"/>
  <c r="L40" i="32" s="1"/>
  <c r="I41" i="32"/>
  <c r="I42" i="32"/>
  <c r="L42" i="32" s="1"/>
  <c r="I43" i="32"/>
  <c r="I2" i="32"/>
  <c r="L2" i="32" s="1"/>
  <c r="P43" i="32"/>
  <c r="O43" i="32"/>
  <c r="Q43" i="32" s="1"/>
  <c r="P41" i="32"/>
  <c r="O41" i="32"/>
  <c r="Q41" i="32" s="1"/>
  <c r="P37" i="32"/>
  <c r="O37" i="32"/>
  <c r="Q37" i="32" s="1"/>
  <c r="P39" i="32"/>
  <c r="O39" i="32"/>
  <c r="Q39" i="32" s="1"/>
  <c r="P35" i="32"/>
  <c r="O35" i="32"/>
  <c r="Q35" i="32" s="1"/>
  <c r="K32" i="32"/>
  <c r="O33" i="32"/>
  <c r="Q33" i="32" s="1"/>
  <c r="C92" i="32"/>
  <c r="O9" i="32"/>
  <c r="O7" i="32"/>
  <c r="O5" i="32"/>
  <c r="O3" i="32"/>
  <c r="G104" i="13"/>
  <c r="G105" i="13"/>
  <c r="G106" i="13"/>
  <c r="G107" i="13"/>
  <c r="G108" i="13"/>
  <c r="G109" i="13"/>
  <c r="G110" i="13"/>
  <c r="G111" i="13"/>
  <c r="G112" i="13"/>
  <c r="G113" i="13"/>
  <c r="G114" i="13"/>
  <c r="G115" i="13"/>
  <c r="G116" i="13"/>
  <c r="G117" i="13"/>
  <c r="G118" i="13"/>
  <c r="G119" i="13"/>
  <c r="G120" i="13"/>
  <c r="G121" i="13"/>
  <c r="G122" i="13"/>
  <c r="G123" i="13"/>
  <c r="G124" i="13"/>
  <c r="G125" i="13"/>
  <c r="G126" i="13"/>
  <c r="F101" i="13"/>
  <c r="F102" i="13"/>
  <c r="F103" i="13"/>
  <c r="F104" i="13"/>
  <c r="F105" i="13"/>
  <c r="F106" i="13"/>
  <c r="F107" i="13"/>
  <c r="F108" i="13"/>
  <c r="F109" i="13"/>
  <c r="F110" i="13"/>
  <c r="F111" i="13"/>
  <c r="F112" i="13"/>
  <c r="F113" i="13"/>
  <c r="F114" i="13"/>
  <c r="F115" i="13"/>
  <c r="F116" i="13"/>
  <c r="F117" i="13"/>
  <c r="F118" i="13"/>
  <c r="F119" i="13"/>
  <c r="F120" i="13"/>
  <c r="F121" i="13"/>
  <c r="F122" i="13"/>
  <c r="F123" i="13"/>
  <c r="F124" i="13"/>
  <c r="F125" i="13"/>
  <c r="F126" i="13"/>
  <c r="E126" i="13"/>
  <c r="E125" i="13" s="1"/>
  <c r="E124" i="13" s="1"/>
  <c r="E123" i="13" s="1"/>
  <c r="E122" i="13" s="1"/>
  <c r="E121" i="13" s="1"/>
  <c r="E120" i="13" s="1"/>
  <c r="E119" i="13" s="1"/>
  <c r="E118" i="13" s="1"/>
  <c r="E117" i="13" s="1"/>
  <c r="E116" i="13" s="1"/>
  <c r="E115" i="13" s="1"/>
  <c r="E114" i="13" s="1"/>
  <c r="E113" i="13" s="1"/>
  <c r="E112" i="13" s="1"/>
  <c r="E111" i="13" s="1"/>
  <c r="E110" i="13" s="1"/>
  <c r="E109" i="13" s="1"/>
  <c r="E108" i="13" s="1"/>
  <c r="E107" i="13" s="1"/>
  <c r="E106" i="13" s="1"/>
  <c r="E105" i="13" s="1"/>
  <c r="E104" i="13" s="1"/>
  <c r="E103" i="13" s="1"/>
  <c r="E102" i="13" s="1"/>
  <c r="E101" i="13" s="1"/>
  <c r="G101" i="13" s="1"/>
  <c r="G103" i="13" l="1"/>
  <c r="G102" i="13"/>
  <c r="N25" i="18"/>
  <c r="N28" i="18" s="1"/>
  <c r="D147" i="20"/>
  <c r="D60" i="32" l="1"/>
  <c r="G85" i="32"/>
  <c r="H85" i="32" s="1"/>
  <c r="I85" i="32" s="1"/>
  <c r="K40" i="32"/>
  <c r="K42" i="32"/>
  <c r="K7" i="32"/>
  <c r="K38" i="32"/>
  <c r="K36" i="32"/>
  <c r="K9" i="32"/>
  <c r="K8" i="32"/>
  <c r="V2" i="33"/>
  <c r="F21" i="33"/>
  <c r="F14" i="33"/>
  <c r="H86" i="32"/>
  <c r="I86" i="32" s="1"/>
  <c r="H87" i="32"/>
  <c r="I87" i="32" s="1"/>
  <c r="H88" i="32"/>
  <c r="I88" i="32" s="1"/>
  <c r="H89" i="32"/>
  <c r="I89" i="32" s="1"/>
  <c r="H90" i="32"/>
  <c r="H84" i="32"/>
  <c r="I84" i="32" s="1"/>
  <c r="C75" i="32" l="1"/>
  <c r="P5" i="32"/>
  <c r="Q5" i="32"/>
  <c r="I92" i="32"/>
  <c r="O5" i="33"/>
  <c r="F29" i="33"/>
  <c r="F28" i="33"/>
  <c r="F27" i="33"/>
  <c r="F26" i="33"/>
  <c r="F2" i="33"/>
  <c r="F25" i="33"/>
  <c r="F24" i="33"/>
  <c r="F23" i="33"/>
  <c r="F22" i="33"/>
  <c r="F20" i="33"/>
  <c r="F19" i="33"/>
  <c r="F18" i="33"/>
  <c r="F17" i="33"/>
  <c r="F15" i="33"/>
  <c r="F13" i="33"/>
  <c r="F12" i="33"/>
  <c r="F11" i="33"/>
  <c r="F10" i="33"/>
  <c r="F9" i="33"/>
  <c r="F8" i="33"/>
  <c r="F7" i="33"/>
  <c r="F6" i="33"/>
  <c r="F5" i="33"/>
  <c r="F4" i="33"/>
  <c r="F16" i="33"/>
  <c r="F3" i="33"/>
  <c r="C77" i="32" l="1"/>
  <c r="O44" i="33"/>
  <c r="O28" i="33"/>
  <c r="O20" i="33"/>
  <c r="O12" i="33"/>
  <c r="O3" i="33"/>
  <c r="O43" i="33"/>
  <c r="O35" i="33"/>
  <c r="O27" i="33"/>
  <c r="O19" i="33"/>
  <c r="O11" i="33"/>
  <c r="O2" i="33"/>
  <c r="Q2" i="33" s="1"/>
  <c r="O42" i="33"/>
  <c r="O34" i="33"/>
  <c r="O26" i="33"/>
  <c r="O18" i="33"/>
  <c r="O10" i="33"/>
  <c r="O49" i="33"/>
  <c r="O41" i="33"/>
  <c r="O33" i="33"/>
  <c r="O25" i="33"/>
  <c r="O17" i="33"/>
  <c r="O9" i="33"/>
  <c r="O48" i="33"/>
  <c r="O40" i="33"/>
  <c r="O32" i="33"/>
  <c r="O24" i="33"/>
  <c r="O16" i="33"/>
  <c r="O8" i="33"/>
  <c r="O7" i="33"/>
  <c r="O36" i="33"/>
  <c r="O47" i="33"/>
  <c r="O39" i="33"/>
  <c r="O31" i="33"/>
  <c r="O23" i="33"/>
  <c r="O15" i="33"/>
  <c r="O4" i="33"/>
  <c r="O46" i="33"/>
  <c r="O38" i="33"/>
  <c r="O30" i="33"/>
  <c r="O22" i="33"/>
  <c r="O14" i="33"/>
  <c r="O6" i="33"/>
  <c r="O45" i="33"/>
  <c r="O37" i="33"/>
  <c r="O29" i="33"/>
  <c r="O21" i="33"/>
  <c r="O13" i="33"/>
  <c r="P1" i="33"/>
  <c r="K2" i="32"/>
  <c r="K3" i="32"/>
  <c r="K4" i="32"/>
  <c r="K35" i="32"/>
  <c r="K6" i="32"/>
  <c r="P2" i="33" l="1"/>
  <c r="P3" i="33" s="1"/>
  <c r="P4" i="33" s="1"/>
  <c r="P5" i="33" s="1"/>
  <c r="P6" i="33" s="1"/>
  <c r="P7" i="33" s="1"/>
  <c r="P8" i="33" s="1"/>
  <c r="P9" i="33" s="1"/>
  <c r="P10" i="33" s="1"/>
  <c r="P11" i="33" s="1"/>
  <c r="P12" i="33" s="1"/>
  <c r="P13" i="33" s="1"/>
  <c r="P14" i="33" s="1"/>
  <c r="P15" i="33" s="1"/>
  <c r="P16" i="33" s="1"/>
  <c r="P17" i="33" s="1"/>
  <c r="P18" i="33" s="1"/>
  <c r="P19" i="33" s="1"/>
  <c r="P20" i="33" s="1"/>
  <c r="P21" i="33" s="1"/>
  <c r="P22" i="33" s="1"/>
  <c r="P23" i="33" s="1"/>
  <c r="P24" i="33" s="1"/>
  <c r="P25" i="33" s="1"/>
  <c r="P26" i="33" s="1"/>
  <c r="P27" i="33" s="1"/>
  <c r="P28" i="33" s="1"/>
  <c r="P29" i="33" s="1"/>
  <c r="P30" i="33" s="1"/>
  <c r="P31" i="33" s="1"/>
  <c r="P32" i="33" s="1"/>
  <c r="P33" i="33" s="1"/>
  <c r="P34" i="33" s="1"/>
  <c r="P35" i="33" s="1"/>
  <c r="P36" i="33" s="1"/>
  <c r="P37" i="33" s="1"/>
  <c r="P38" i="33" s="1"/>
  <c r="P39" i="33" s="1"/>
  <c r="P40" i="33" s="1"/>
  <c r="P41" i="33" s="1"/>
  <c r="P42" i="33" s="1"/>
  <c r="P43" i="33" s="1"/>
  <c r="P44" i="33" s="1"/>
  <c r="P45" i="33" s="1"/>
  <c r="P46" i="33" s="1"/>
  <c r="P47" i="33" s="1"/>
  <c r="P48" i="33" s="1"/>
  <c r="P49" i="33" s="1"/>
  <c r="Q3" i="33"/>
  <c r="Q4" i="33" s="1"/>
  <c r="Q5" i="33" s="1"/>
  <c r="Q6" i="33" s="1"/>
  <c r="Q7" i="33" s="1"/>
  <c r="Q8" i="33" s="1"/>
  <c r="Q9" i="33" s="1"/>
  <c r="Q10" i="33" s="1"/>
  <c r="Q11" i="33" s="1"/>
  <c r="Q12" i="33" s="1"/>
  <c r="Q13" i="33" s="1"/>
  <c r="Q14" i="33" s="1"/>
  <c r="Q15" i="33" s="1"/>
  <c r="Q16" i="33" s="1"/>
  <c r="Q17" i="33" s="1"/>
  <c r="Q18" i="33" s="1"/>
  <c r="Q19" i="33" s="1"/>
  <c r="Q20" i="33" s="1"/>
  <c r="Q21" i="33" s="1"/>
  <c r="Q22" i="33" s="1"/>
  <c r="Q23" i="33" s="1"/>
  <c r="Q24" i="33" s="1"/>
  <c r="Q25" i="33" s="1"/>
  <c r="Q26" i="33" s="1"/>
  <c r="Q27" i="33" s="1"/>
  <c r="Q28" i="33" s="1"/>
  <c r="Q29" i="33" s="1"/>
  <c r="Q30" i="33" s="1"/>
  <c r="Q31" i="33" s="1"/>
  <c r="Q32" i="33" s="1"/>
  <c r="Q33" i="33" s="1"/>
  <c r="Q34" i="33" s="1"/>
  <c r="Q35" i="33" s="1"/>
  <c r="Q36" i="33" s="1"/>
  <c r="Q37" i="33" s="1"/>
  <c r="Q38" i="33" s="1"/>
  <c r="Q39" i="33" s="1"/>
  <c r="Q40" i="33" s="1"/>
  <c r="Q41" i="33" s="1"/>
  <c r="Q42" i="33" s="1"/>
  <c r="Q43" i="33" s="1"/>
  <c r="Q44" i="33" s="1"/>
  <c r="Q45" i="33" s="1"/>
  <c r="Q46" i="33" s="1"/>
  <c r="Q47" i="33" s="1"/>
  <c r="Q48" i="33" s="1"/>
  <c r="Q49" i="33" s="1"/>
  <c r="N21" i="18"/>
  <c r="N11" i="18"/>
  <c r="V14" i="18"/>
  <c r="O11" i="18"/>
  <c r="N10" i="18"/>
  <c r="C16" i="18"/>
  <c r="L23" i="18" l="1"/>
  <c r="P3" i="32"/>
  <c r="Q3" i="32"/>
  <c r="P7" i="32"/>
  <c r="Q7" i="32"/>
  <c r="P9" i="32"/>
  <c r="Q9" i="32"/>
  <c r="F188" i="15"/>
  <c r="F189" i="15"/>
  <c r="F190" i="15"/>
  <c r="F194" i="15"/>
  <c r="F196" i="15"/>
  <c r="F197" i="15"/>
  <c r="F198" i="15"/>
  <c r="E187" i="15"/>
  <c r="E188" i="15"/>
  <c r="E189" i="15"/>
  <c r="E190" i="15"/>
  <c r="E191" i="15"/>
  <c r="E192" i="15"/>
  <c r="E193" i="15"/>
  <c r="E194" i="15"/>
  <c r="E195" i="15"/>
  <c r="E196" i="15"/>
  <c r="E197" i="15"/>
  <c r="E198" i="15"/>
  <c r="E199" i="15"/>
  <c r="E200" i="15"/>
  <c r="E201" i="15"/>
  <c r="D201" i="15"/>
  <c r="D200" i="15" s="1"/>
  <c r="D199" i="15" s="1"/>
  <c r="D198" i="15" s="1"/>
  <c r="D197" i="15" s="1"/>
  <c r="D196" i="15" s="1"/>
  <c r="D195" i="15" s="1"/>
  <c r="D194" i="15" s="1"/>
  <c r="D193" i="15" s="1"/>
  <c r="D192" i="15" s="1"/>
  <c r="D191" i="15" s="1"/>
  <c r="D190" i="15" s="1"/>
  <c r="D189" i="15" s="1"/>
  <c r="D188" i="15" s="1"/>
  <c r="D187" i="15" s="1"/>
  <c r="D186" i="15" s="1"/>
  <c r="D185" i="15" s="1"/>
  <c r="D184" i="15" s="1"/>
  <c r="D183" i="15" s="1"/>
  <c r="D182" i="15" s="1"/>
  <c r="D181" i="15" s="1"/>
  <c r="D180" i="15" s="1"/>
  <c r="D179" i="15" s="1"/>
  <c r="D178" i="15" s="1"/>
  <c r="D177" i="15" s="1"/>
  <c r="D176" i="15" s="1"/>
  <c r="D175" i="15" s="1"/>
  <c r="D174" i="15" s="1"/>
  <c r="D173" i="15" s="1"/>
  <c r="D172" i="15" s="1"/>
  <c r="D171" i="15" s="1"/>
  <c r="D170" i="15" s="1"/>
  <c r="D169" i="15" s="1"/>
  <c r="D168" i="15" s="1"/>
  <c r="D167" i="15" s="1"/>
  <c r="D166" i="15" s="1"/>
  <c r="D165" i="15" s="1"/>
  <c r="D164" i="15" s="1"/>
  <c r="D163" i="15" s="1"/>
  <c r="D162" i="15" s="1"/>
  <c r="D161" i="15" s="1"/>
  <c r="D160" i="15" s="1"/>
  <c r="D159" i="15" s="1"/>
  <c r="D158" i="15" s="1"/>
  <c r="D157" i="15" s="1"/>
  <c r="D156" i="15" s="1"/>
  <c r="D155" i="15" s="1"/>
  <c r="D154" i="15" s="1"/>
  <c r="D153" i="15" s="1"/>
  <c r="D152" i="15" s="1"/>
  <c r="D151" i="15" s="1"/>
  <c r="D150" i="15" s="1"/>
  <c r="D149" i="15" s="1"/>
  <c r="D148" i="15" s="1"/>
  <c r="D147" i="15" s="1"/>
  <c r="D146" i="15" s="1"/>
  <c r="D145" i="15" s="1"/>
  <c r="D144" i="15" s="1"/>
  <c r="D143" i="15" s="1"/>
  <c r="D142" i="15" s="1"/>
  <c r="D141" i="15" s="1"/>
  <c r="D140" i="15" s="1"/>
  <c r="D139" i="15" s="1"/>
  <c r="D138" i="15" s="1"/>
  <c r="D137" i="15" s="1"/>
  <c r="D136" i="15" s="1"/>
  <c r="D135" i="15" s="1"/>
  <c r="D134" i="15" s="1"/>
  <c r="D133" i="15" s="1"/>
  <c r="D132" i="15" s="1"/>
  <c r="D131" i="15" s="1"/>
  <c r="D130" i="15" s="1"/>
  <c r="D129" i="15" s="1"/>
  <c r="D128" i="15" s="1"/>
  <c r="D127" i="15" s="1"/>
  <c r="D126" i="15" s="1"/>
  <c r="D125" i="15" s="1"/>
  <c r="D124" i="15" s="1"/>
  <c r="D123" i="15" s="1"/>
  <c r="D122" i="15" s="1"/>
  <c r="D121" i="15" s="1"/>
  <c r="D120" i="15" s="1"/>
  <c r="D119" i="15" s="1"/>
  <c r="D118" i="15" s="1"/>
  <c r="D117" i="15" s="1"/>
  <c r="D116" i="15" s="1"/>
  <c r="D115" i="15" s="1"/>
  <c r="D114" i="15" s="1"/>
  <c r="D113" i="15" s="1"/>
  <c r="D112" i="15" s="1"/>
  <c r="D111" i="15" s="1"/>
  <c r="D110" i="15" s="1"/>
  <c r="D109" i="15" s="1"/>
  <c r="D108" i="15" s="1"/>
  <c r="D107" i="15" s="1"/>
  <c r="D106" i="15" s="1"/>
  <c r="D105" i="15" s="1"/>
  <c r="D104" i="15" s="1"/>
  <c r="D103" i="15" s="1"/>
  <c r="D102" i="15" s="1"/>
  <c r="D101" i="15" s="1"/>
  <c r="D100" i="15" s="1"/>
  <c r="D99" i="15" s="1"/>
  <c r="D98" i="15" s="1"/>
  <c r="D97" i="15" s="1"/>
  <c r="D96" i="15" s="1"/>
  <c r="D95" i="15" s="1"/>
  <c r="D94" i="15" s="1"/>
  <c r="D93" i="15" s="1"/>
  <c r="D92" i="15" s="1"/>
  <c r="D91" i="15" s="1"/>
  <c r="D90" i="15" s="1"/>
  <c r="D89" i="15" s="1"/>
  <c r="D88" i="15" s="1"/>
  <c r="D87" i="15" s="1"/>
  <c r="D86" i="15" s="1"/>
  <c r="D85" i="15" s="1"/>
  <c r="D84" i="15" s="1"/>
  <c r="D83" i="15" s="1"/>
  <c r="D82" i="15" s="1"/>
  <c r="D81" i="15" s="1"/>
  <c r="D80" i="15" s="1"/>
  <c r="D79" i="15" s="1"/>
  <c r="D78" i="15" s="1"/>
  <c r="D77" i="15" s="1"/>
  <c r="D76" i="15" s="1"/>
  <c r="D75" i="15" s="1"/>
  <c r="D74" i="15" s="1"/>
  <c r="D73" i="15" s="1"/>
  <c r="D72" i="15" s="1"/>
  <c r="D71" i="15" s="1"/>
  <c r="D70" i="15" s="1"/>
  <c r="D69" i="15" s="1"/>
  <c r="D68" i="15" s="1"/>
  <c r="D67" i="15" s="1"/>
  <c r="D66" i="15" s="1"/>
  <c r="D65" i="15" s="1"/>
  <c r="D64" i="15" s="1"/>
  <c r="D63" i="15" s="1"/>
  <c r="D62" i="15" s="1"/>
  <c r="D61" i="15" s="1"/>
  <c r="D60" i="15" s="1"/>
  <c r="D59" i="15" s="1"/>
  <c r="D58" i="15" s="1"/>
  <c r="D57" i="15" s="1"/>
  <c r="D56" i="15" s="1"/>
  <c r="D55" i="15" s="1"/>
  <c r="D54" i="15" s="1"/>
  <c r="D53" i="15" s="1"/>
  <c r="D52" i="15" s="1"/>
  <c r="D51" i="15" s="1"/>
  <c r="D50" i="15" s="1"/>
  <c r="D49" i="15" s="1"/>
  <c r="D48" i="15" s="1"/>
  <c r="D47" i="15" s="1"/>
  <c r="D46" i="15" s="1"/>
  <c r="D45" i="15" s="1"/>
  <c r="D44" i="15" s="1"/>
  <c r="D43" i="15" s="1"/>
  <c r="D42" i="15" s="1"/>
  <c r="D41" i="15" s="1"/>
  <c r="D40" i="15" s="1"/>
  <c r="D39" i="15" s="1"/>
  <c r="D38" i="15" s="1"/>
  <c r="D37" i="15" s="1"/>
  <c r="D36" i="15" s="1"/>
  <c r="D35" i="15" s="1"/>
  <c r="D34" i="15" s="1"/>
  <c r="D33" i="15" s="1"/>
  <c r="D32" i="15" s="1"/>
  <c r="D31" i="15" s="1"/>
  <c r="D30" i="15" s="1"/>
  <c r="D29" i="15" s="1"/>
  <c r="D28" i="15" s="1"/>
  <c r="D27" i="15" s="1"/>
  <c r="D26" i="15" s="1"/>
  <c r="D25" i="15" s="1"/>
  <c r="D24" i="15" s="1"/>
  <c r="D23" i="15" s="1"/>
  <c r="D22" i="15" s="1"/>
  <c r="D21" i="15" s="1"/>
  <c r="D20" i="15" s="1"/>
  <c r="D19" i="15" s="1"/>
  <c r="D18" i="15" s="1"/>
  <c r="D17" i="15" s="1"/>
  <c r="D16" i="15" s="1"/>
  <c r="D15" i="15" s="1"/>
  <c r="D14" i="15" s="1"/>
  <c r="D13" i="15" s="1"/>
  <c r="D12" i="15" s="1"/>
  <c r="D11" i="15" s="1"/>
  <c r="D10" i="15" s="1"/>
  <c r="D9" i="15" s="1"/>
  <c r="D8" i="15" s="1"/>
  <c r="D7" i="15" s="1"/>
  <c r="D6" i="15" s="1"/>
  <c r="D5" i="15" s="1"/>
  <c r="D4" i="15" s="1"/>
  <c r="D3" i="15" s="1"/>
  <c r="D2" i="15" s="1"/>
  <c r="E186" i="15"/>
  <c r="P57" i="32" l="1"/>
  <c r="F186" i="15"/>
  <c r="Q57" i="32"/>
  <c r="F201" i="15"/>
  <c r="F193" i="15"/>
  <c r="F200" i="15"/>
  <c r="F192" i="15"/>
  <c r="F199" i="15"/>
  <c r="F191" i="15"/>
  <c r="F195" i="15"/>
  <c r="F187" i="15"/>
  <c r="E69" i="16"/>
  <c r="E68" i="16" s="1"/>
  <c r="E67" i="16" s="1"/>
  <c r="E66" i="16" s="1"/>
  <c r="E65" i="16" s="1"/>
  <c r="E64" i="16" s="1"/>
  <c r="E63" i="16" s="1"/>
  <c r="E62" i="16" s="1"/>
  <c r="E61" i="16" s="1"/>
  <c r="E60" i="16" s="1"/>
  <c r="E59" i="16" s="1"/>
  <c r="E58" i="16" s="1"/>
  <c r="E57" i="16" s="1"/>
  <c r="E56" i="16" s="1"/>
  <c r="E55" i="16" s="1"/>
  <c r="E54" i="16" s="1"/>
  <c r="E53" i="16" s="1"/>
  <c r="E52" i="16" s="1"/>
  <c r="E51" i="16" s="1"/>
  <c r="E50" i="16" s="1"/>
  <c r="E49" i="16" s="1"/>
  <c r="E48" i="16" s="1"/>
  <c r="E47" i="16" s="1"/>
  <c r="E46" i="16" s="1"/>
  <c r="G53" i="16" l="1"/>
  <c r="G54" i="16"/>
  <c r="G59" i="16"/>
  <c r="G60" i="16"/>
  <c r="G61" i="16"/>
  <c r="G62" i="16"/>
  <c r="G63" i="16"/>
  <c r="G64" i="16"/>
  <c r="G65" i="16"/>
  <c r="G66" i="16"/>
  <c r="G67" i="16"/>
  <c r="G68" i="16"/>
  <c r="G69" i="16"/>
  <c r="F53" i="16"/>
  <c r="F54" i="16"/>
  <c r="F55" i="16"/>
  <c r="F56" i="16"/>
  <c r="F57" i="16"/>
  <c r="G57" i="16" s="1"/>
  <c r="F58" i="16"/>
  <c r="G58" i="16" s="1"/>
  <c r="F59" i="16"/>
  <c r="F60" i="16"/>
  <c r="F61" i="16"/>
  <c r="F62" i="16"/>
  <c r="F63" i="16"/>
  <c r="F64" i="16"/>
  <c r="F65" i="16"/>
  <c r="F66" i="16"/>
  <c r="F67" i="16"/>
  <c r="F68" i="16"/>
  <c r="F69" i="16"/>
  <c r="G55" i="16"/>
  <c r="G56" i="16" l="1"/>
  <c r="S14" i="10"/>
  <c r="D146" i="20"/>
  <c r="F3" i="16"/>
  <c r="F4" i="16"/>
  <c r="F5" i="16"/>
  <c r="F6" i="16"/>
  <c r="F7" i="16"/>
  <c r="F8" i="16"/>
  <c r="F9" i="16"/>
  <c r="F10" i="16"/>
  <c r="F11" i="16"/>
  <c r="F12" i="16"/>
  <c r="F13" i="16"/>
  <c r="F14" i="16"/>
  <c r="F15" i="16"/>
  <c r="F16" i="16"/>
  <c r="F17" i="16"/>
  <c r="F18" i="16"/>
  <c r="F19" i="16"/>
  <c r="F20" i="16"/>
  <c r="F21" i="16"/>
  <c r="F22" i="16"/>
  <c r="F23" i="16"/>
  <c r="F24" i="16"/>
  <c r="F25" i="16"/>
  <c r="F26" i="16"/>
  <c r="F27" i="16"/>
  <c r="F28" i="16"/>
  <c r="F29" i="16"/>
  <c r="F30" i="16"/>
  <c r="F31" i="16"/>
  <c r="F32" i="16"/>
  <c r="F33" i="16"/>
  <c r="F34" i="16"/>
  <c r="F35" i="16"/>
  <c r="F36" i="16"/>
  <c r="F37" i="16"/>
  <c r="F38" i="16"/>
  <c r="F39" i="16"/>
  <c r="F40" i="16"/>
  <c r="F41" i="16"/>
  <c r="F42" i="16"/>
  <c r="F43" i="16"/>
  <c r="F44" i="16"/>
  <c r="F45" i="16"/>
  <c r="F46" i="16"/>
  <c r="F47" i="16"/>
  <c r="F48" i="16"/>
  <c r="F49" i="16"/>
  <c r="F50" i="16"/>
  <c r="F51" i="16"/>
  <c r="F52" i="16"/>
  <c r="E45" i="16"/>
  <c r="E44" i="16" s="1"/>
  <c r="E43" i="16" s="1"/>
  <c r="E42" i="16" s="1"/>
  <c r="E41" i="16" s="1"/>
  <c r="E40" i="16" s="1"/>
  <c r="E39" i="16" s="1"/>
  <c r="E38" i="16" s="1"/>
  <c r="E37" i="16" s="1"/>
  <c r="E36" i="16" s="1"/>
  <c r="E35" i="16" s="1"/>
  <c r="E34" i="16" s="1"/>
  <c r="E33" i="16" s="1"/>
  <c r="E32" i="16" s="1"/>
  <c r="E31" i="16" s="1"/>
  <c r="E30" i="16" s="1"/>
  <c r="E29" i="16" s="1"/>
  <c r="E28" i="16" s="1"/>
  <c r="E27" i="16" s="1"/>
  <c r="E26" i="16" s="1"/>
  <c r="E25" i="16" s="1"/>
  <c r="E24" i="16" s="1"/>
  <c r="E23" i="16" s="1"/>
  <c r="E22" i="16" s="1"/>
  <c r="E21" i="16" s="1"/>
  <c r="E20" i="16" s="1"/>
  <c r="E19" i="16" s="1"/>
  <c r="E18" i="16" s="1"/>
  <c r="E17" i="16" s="1"/>
  <c r="E16" i="16" s="1"/>
  <c r="E15" i="16" s="1"/>
  <c r="E14" i="16" s="1"/>
  <c r="E13" i="16" s="1"/>
  <c r="E12" i="16" s="1"/>
  <c r="E11" i="16" s="1"/>
  <c r="E10" i="16" s="1"/>
  <c r="E9" i="16" s="1"/>
  <c r="E8" i="16" s="1"/>
  <c r="E7" i="16" s="1"/>
  <c r="E6" i="16" s="1"/>
  <c r="E5" i="16" s="1"/>
  <c r="E4" i="16" s="1"/>
  <c r="E3" i="16" s="1"/>
  <c r="E2" i="16" s="1"/>
  <c r="D145" i="20"/>
  <c r="D144" i="20"/>
  <c r="G6" i="16" l="1"/>
  <c r="G50" i="16"/>
  <c r="G46" i="16"/>
  <c r="G42" i="16"/>
  <c r="G38" i="16"/>
  <c r="G34" i="16"/>
  <c r="G30" i="16"/>
  <c r="G26" i="16"/>
  <c r="G22" i="16"/>
  <c r="G18" i="16"/>
  <c r="G14" i="16"/>
  <c r="G10" i="16"/>
  <c r="G49" i="16"/>
  <c r="G45" i="16"/>
  <c r="G41" i="16"/>
  <c r="G37" i="16"/>
  <c r="G33" i="16"/>
  <c r="G29" i="16"/>
  <c r="G25" i="16"/>
  <c r="G21" i="16"/>
  <c r="G17" i="16"/>
  <c r="G13" i="16"/>
  <c r="G9" i="16"/>
  <c r="G5" i="16"/>
  <c r="G52" i="16"/>
  <c r="G48" i="16"/>
  <c r="G44" i="16"/>
  <c r="G40" i="16"/>
  <c r="G36" i="16"/>
  <c r="G32" i="16"/>
  <c r="G28" i="16"/>
  <c r="G24" i="16"/>
  <c r="G20" i="16"/>
  <c r="G16" i="16"/>
  <c r="G12" i="16"/>
  <c r="G8" i="16"/>
  <c r="G4" i="16"/>
  <c r="G51" i="16"/>
  <c r="G47" i="16"/>
  <c r="G43" i="16"/>
  <c r="G39" i="16"/>
  <c r="G35" i="16"/>
  <c r="G31" i="16"/>
  <c r="G27" i="16"/>
  <c r="G23" i="16"/>
  <c r="G19" i="16"/>
  <c r="G15" i="16"/>
  <c r="G11" i="16"/>
  <c r="G7" i="16"/>
  <c r="G3" i="16"/>
  <c r="C2" i="31"/>
  <c r="B2" i="31"/>
  <c r="D42" i="31"/>
  <c r="I23" i="31"/>
  <c r="H23" i="31"/>
  <c r="G23" i="31"/>
  <c r="I22" i="31"/>
  <c r="H22" i="31"/>
  <c r="G22" i="31"/>
  <c r="D22" i="31"/>
  <c r="H21" i="31"/>
  <c r="G21" i="31"/>
  <c r="D21" i="31"/>
  <c r="I21" i="31" s="1"/>
  <c r="I20" i="31"/>
  <c r="H20" i="31"/>
  <c r="G20" i="31"/>
  <c r="D20" i="31"/>
  <c r="H19" i="31"/>
  <c r="G19" i="31"/>
  <c r="D19" i="31"/>
  <c r="I19" i="31" s="1"/>
  <c r="I18" i="31"/>
  <c r="H18" i="31"/>
  <c r="G18" i="31"/>
  <c r="D18" i="31"/>
  <c r="H17" i="31"/>
  <c r="G17" i="31"/>
  <c r="D17" i="31"/>
  <c r="I17" i="31" s="1"/>
  <c r="I16" i="31"/>
  <c r="H16" i="31"/>
  <c r="G16" i="31"/>
  <c r="D16" i="31"/>
  <c r="H15" i="31"/>
  <c r="G15" i="31"/>
  <c r="D15" i="31"/>
  <c r="I15" i="31" s="1"/>
  <c r="I14" i="31"/>
  <c r="H14" i="31"/>
  <c r="G14" i="31"/>
  <c r="D14" i="31"/>
  <c r="H13" i="31"/>
  <c r="G13" i="31"/>
  <c r="D13" i="31"/>
  <c r="I13" i="31" s="1"/>
  <c r="I12" i="31"/>
  <c r="H12" i="31"/>
  <c r="G12" i="31"/>
  <c r="D12" i="31"/>
  <c r="H11" i="31"/>
  <c r="G11" i="31"/>
  <c r="D11" i="31"/>
  <c r="I11" i="31" s="1"/>
  <c r="I10" i="31"/>
  <c r="H10" i="31"/>
  <c r="G10" i="31"/>
  <c r="D10" i="31"/>
  <c r="H9" i="31"/>
  <c r="G9" i="31"/>
  <c r="D9" i="31"/>
  <c r="I9" i="31" s="1"/>
  <c r="I8" i="31"/>
  <c r="H8" i="31"/>
  <c r="G8" i="31"/>
  <c r="D8" i="31"/>
  <c r="H7" i="31"/>
  <c r="G7" i="31"/>
  <c r="D7" i="31"/>
  <c r="I7" i="31" s="1"/>
  <c r="I6" i="31"/>
  <c r="H6" i="31"/>
  <c r="G6" i="31"/>
  <c r="D6" i="31"/>
  <c r="H5" i="31"/>
  <c r="G5" i="31"/>
  <c r="D5" i="31"/>
  <c r="I5" i="31" s="1"/>
  <c r="H4" i="31"/>
  <c r="G4" i="31"/>
  <c r="D4" i="31"/>
  <c r="I4" i="31" s="1"/>
  <c r="H3" i="31"/>
  <c r="G3" i="31"/>
  <c r="D3" i="31"/>
  <c r="I3" i="31" s="1"/>
  <c r="H2" i="31"/>
  <c r="G2" i="31"/>
  <c r="C24" i="31"/>
  <c r="D2" i="31"/>
  <c r="H25" i="31" l="1"/>
  <c r="G25" i="31"/>
  <c r="G30" i="31" s="1"/>
  <c r="I2" i="31"/>
  <c r="I25" i="31" s="1"/>
  <c r="D24" i="31"/>
  <c r="B24" i="31"/>
  <c r="G44" i="10"/>
  <c r="D143" i="20"/>
  <c r="B127" i="13"/>
  <c r="H30" i="31" l="1"/>
  <c r="I30" i="31"/>
  <c r="E184" i="15" l="1"/>
  <c r="E185" i="15"/>
  <c r="E183" i="15"/>
  <c r="D142" i="20" l="1"/>
  <c r="D42" i="30"/>
  <c r="I23" i="30"/>
  <c r="H23" i="30"/>
  <c r="G23" i="30"/>
  <c r="H22" i="30"/>
  <c r="G22" i="30"/>
  <c r="D22" i="30"/>
  <c r="I22" i="30" s="1"/>
  <c r="H21" i="30"/>
  <c r="G21" i="30"/>
  <c r="D21" i="30"/>
  <c r="I21" i="30" s="1"/>
  <c r="H20" i="30"/>
  <c r="G20" i="30"/>
  <c r="D20" i="30"/>
  <c r="I20" i="30" s="1"/>
  <c r="H19" i="30"/>
  <c r="G19" i="30"/>
  <c r="D19" i="30"/>
  <c r="I19" i="30" s="1"/>
  <c r="H18" i="30"/>
  <c r="G18" i="30"/>
  <c r="D18" i="30"/>
  <c r="I18" i="30" s="1"/>
  <c r="H17" i="30"/>
  <c r="G17" i="30"/>
  <c r="D17" i="30"/>
  <c r="I17" i="30" s="1"/>
  <c r="H16" i="30"/>
  <c r="G16" i="30"/>
  <c r="D16" i="30"/>
  <c r="I16" i="30" s="1"/>
  <c r="H15" i="30"/>
  <c r="G15" i="30"/>
  <c r="D15" i="30"/>
  <c r="I15" i="30" s="1"/>
  <c r="H14" i="30"/>
  <c r="G14" i="30"/>
  <c r="D14" i="30"/>
  <c r="I14" i="30" s="1"/>
  <c r="H13" i="30"/>
  <c r="G13" i="30"/>
  <c r="D13" i="30"/>
  <c r="I13" i="30" s="1"/>
  <c r="H12" i="30"/>
  <c r="G12" i="30"/>
  <c r="D12" i="30"/>
  <c r="I12" i="30" s="1"/>
  <c r="H11" i="30"/>
  <c r="G11" i="30"/>
  <c r="D11" i="30"/>
  <c r="I11" i="30" s="1"/>
  <c r="H10" i="30"/>
  <c r="G10" i="30"/>
  <c r="D10" i="30"/>
  <c r="I10" i="30" s="1"/>
  <c r="H9" i="30"/>
  <c r="G9" i="30"/>
  <c r="D9" i="30"/>
  <c r="I9" i="30" s="1"/>
  <c r="H8" i="30"/>
  <c r="G8" i="30"/>
  <c r="D8" i="30"/>
  <c r="I8" i="30" s="1"/>
  <c r="H7" i="30"/>
  <c r="G7" i="30"/>
  <c r="D7" i="30"/>
  <c r="I7" i="30" s="1"/>
  <c r="H6" i="30"/>
  <c r="G6" i="30"/>
  <c r="D6" i="30"/>
  <c r="I6" i="30" s="1"/>
  <c r="H5" i="30"/>
  <c r="G5" i="30"/>
  <c r="D5" i="30"/>
  <c r="I5" i="30" s="1"/>
  <c r="H4" i="30"/>
  <c r="G4" i="30"/>
  <c r="G25" i="30" s="1"/>
  <c r="G30" i="30" s="1"/>
  <c r="D4" i="30"/>
  <c r="I4" i="30" s="1"/>
  <c r="H3" i="30"/>
  <c r="G3" i="30"/>
  <c r="D3" i="30"/>
  <c r="I3" i="30" s="1"/>
  <c r="V11" i="18" l="1"/>
  <c r="D141" i="20" l="1"/>
  <c r="F2" i="16" l="1"/>
  <c r="G2" i="16" s="1"/>
  <c r="F185" i="15" l="1"/>
  <c r="V10" i="18"/>
  <c r="V12" i="18"/>
  <c r="V13" i="18"/>
  <c r="V9" i="18"/>
  <c r="D140" i="20"/>
  <c r="F184" i="15" l="1"/>
  <c r="D42" i="29"/>
  <c r="I23" i="29"/>
  <c r="H23" i="29"/>
  <c r="G23" i="29"/>
  <c r="I22" i="29"/>
  <c r="H22" i="29"/>
  <c r="G22" i="29"/>
  <c r="D22" i="29"/>
  <c r="I21" i="29"/>
  <c r="H21" i="29"/>
  <c r="G21" i="29"/>
  <c r="D21" i="29"/>
  <c r="I20" i="29"/>
  <c r="H20" i="29"/>
  <c r="G20" i="29"/>
  <c r="D20" i="29"/>
  <c r="I19" i="29"/>
  <c r="H19" i="29"/>
  <c r="G19" i="29"/>
  <c r="D19" i="29"/>
  <c r="I18" i="29"/>
  <c r="H18" i="29"/>
  <c r="G18" i="29"/>
  <c r="D18" i="29"/>
  <c r="I17" i="29"/>
  <c r="H17" i="29"/>
  <c r="G17" i="29"/>
  <c r="D17" i="29"/>
  <c r="I16" i="29"/>
  <c r="H16" i="29"/>
  <c r="G16" i="29"/>
  <c r="D16" i="29"/>
  <c r="I15" i="29"/>
  <c r="H15" i="29"/>
  <c r="G15" i="29"/>
  <c r="D15" i="29"/>
  <c r="I14" i="29"/>
  <c r="H14" i="29"/>
  <c r="G14" i="29"/>
  <c r="D14" i="29"/>
  <c r="I13" i="29"/>
  <c r="H13" i="29"/>
  <c r="G13" i="29"/>
  <c r="D13" i="29"/>
  <c r="I12" i="29"/>
  <c r="H12" i="29"/>
  <c r="G12" i="29"/>
  <c r="D12" i="29"/>
  <c r="I11" i="29"/>
  <c r="H11" i="29"/>
  <c r="G11" i="29"/>
  <c r="D11" i="29"/>
  <c r="I10" i="29"/>
  <c r="H10" i="29"/>
  <c r="G10" i="29"/>
  <c r="D10" i="29"/>
  <c r="I9" i="29"/>
  <c r="H9" i="29"/>
  <c r="G9" i="29"/>
  <c r="D9" i="29"/>
  <c r="I8" i="29"/>
  <c r="H8" i="29"/>
  <c r="G8" i="29"/>
  <c r="D8" i="29"/>
  <c r="I7" i="29"/>
  <c r="H7" i="29"/>
  <c r="G7" i="29"/>
  <c r="D7" i="29"/>
  <c r="I6" i="29"/>
  <c r="H6" i="29"/>
  <c r="G6" i="29"/>
  <c r="D6" i="29"/>
  <c r="H5" i="29"/>
  <c r="G5" i="29"/>
  <c r="D5" i="29"/>
  <c r="I5" i="29" s="1"/>
  <c r="H4" i="29"/>
  <c r="G4" i="29"/>
  <c r="D4" i="29"/>
  <c r="I4" i="29" s="1"/>
  <c r="H3" i="29"/>
  <c r="G3" i="29"/>
  <c r="D3" i="29"/>
  <c r="I3" i="29" s="1"/>
  <c r="C156" i="20"/>
  <c r="K148" i="20"/>
  <c r="K149" i="20"/>
  <c r="K150" i="20"/>
  <c r="K151" i="20"/>
  <c r="K152" i="20"/>
  <c r="K153" i="20"/>
  <c r="K154" i="20"/>
  <c r="K155" i="20"/>
  <c r="J148" i="20"/>
  <c r="J149" i="20"/>
  <c r="J150" i="20"/>
  <c r="J151" i="20"/>
  <c r="J152" i="20"/>
  <c r="J153" i="20"/>
  <c r="J154" i="20"/>
  <c r="J155" i="20"/>
  <c r="I148" i="20"/>
  <c r="I149" i="20"/>
  <c r="I150" i="20"/>
  <c r="I151" i="20"/>
  <c r="I152" i="20"/>
  <c r="I153" i="20"/>
  <c r="I154" i="20"/>
  <c r="I155" i="20"/>
  <c r="H140" i="20"/>
  <c r="H141" i="20"/>
  <c r="I141" i="20" s="1"/>
  <c r="H142" i="20"/>
  <c r="H143" i="20"/>
  <c r="H144" i="20"/>
  <c r="H145" i="20"/>
  <c r="H146" i="20"/>
  <c r="H147" i="20"/>
  <c r="J147" i="20" s="1"/>
  <c r="H148" i="20"/>
  <c r="H149" i="20"/>
  <c r="H150" i="20"/>
  <c r="H151" i="20"/>
  <c r="H152" i="20"/>
  <c r="H153" i="20"/>
  <c r="H154" i="20"/>
  <c r="H155" i="20"/>
  <c r="G143" i="20"/>
  <c r="G144" i="20"/>
  <c r="G145" i="20"/>
  <c r="G146" i="20"/>
  <c r="G147" i="20"/>
  <c r="G148" i="20"/>
  <c r="G149" i="20"/>
  <c r="G150" i="20"/>
  <c r="G151" i="20"/>
  <c r="G152" i="20"/>
  <c r="G153" i="20"/>
  <c r="G140" i="20" s="1"/>
  <c r="I140" i="20" s="1"/>
  <c r="G154" i="20"/>
  <c r="G141" i="20" s="1"/>
  <c r="G155" i="20"/>
  <c r="G142" i="20" s="1"/>
  <c r="D139" i="20"/>
  <c r="K147" i="20" l="1"/>
  <c r="I147" i="20"/>
  <c r="K146" i="20"/>
  <c r="J146" i="20"/>
  <c r="I146" i="20"/>
  <c r="J145" i="20"/>
  <c r="J144" i="20"/>
  <c r="I145" i="20"/>
  <c r="K145" i="20"/>
  <c r="I144" i="20"/>
  <c r="K144" i="20"/>
  <c r="J143" i="20"/>
  <c r="I143" i="20"/>
  <c r="K143" i="20"/>
  <c r="F183" i="15"/>
  <c r="J142" i="20"/>
  <c r="K142" i="20"/>
  <c r="I142" i="20"/>
  <c r="K141" i="20"/>
  <c r="J141" i="20"/>
  <c r="K140" i="20"/>
  <c r="J140" i="20"/>
  <c r="G43" i="10"/>
  <c r="V8" i="18" l="1"/>
  <c r="V7" i="18" l="1"/>
  <c r="V6" i="18" l="1"/>
  <c r="V5" i="18" l="1"/>
  <c r="D138" i="20" l="1"/>
  <c r="G42" i="10" l="1"/>
  <c r="K75" i="18" l="1"/>
  <c r="E167" i="15" l="1"/>
  <c r="E168" i="15"/>
  <c r="E169" i="15"/>
  <c r="E170" i="15"/>
  <c r="E171" i="15"/>
  <c r="E172" i="15"/>
  <c r="E173" i="15"/>
  <c r="E174" i="15"/>
  <c r="E175" i="15"/>
  <c r="E176" i="15"/>
  <c r="E177" i="15"/>
  <c r="E178" i="15"/>
  <c r="E179" i="15"/>
  <c r="E180" i="15"/>
  <c r="E181" i="15"/>
  <c r="E182" i="15"/>
  <c r="V4" i="18"/>
  <c r="F182" i="15" l="1"/>
  <c r="F181" i="15"/>
  <c r="F180" i="15"/>
  <c r="F179" i="15"/>
  <c r="F178" i="15"/>
  <c r="F177" i="15"/>
  <c r="F176" i="15"/>
  <c r="F175" i="15"/>
  <c r="F174" i="15"/>
  <c r="F173" i="15"/>
  <c r="F172" i="15"/>
  <c r="F171" i="15"/>
  <c r="F170" i="15"/>
  <c r="F169" i="15"/>
  <c r="F168" i="15"/>
  <c r="F167" i="15"/>
  <c r="D137" i="20"/>
  <c r="D42" i="28" l="1"/>
  <c r="D2" i="28"/>
  <c r="C2" i="28"/>
  <c r="B2" i="28"/>
  <c r="I23" i="28"/>
  <c r="H23" i="28"/>
  <c r="G23" i="28"/>
  <c r="H22" i="28"/>
  <c r="G22" i="28"/>
  <c r="D22" i="28"/>
  <c r="I22" i="28" s="1"/>
  <c r="H21" i="28"/>
  <c r="G21" i="28"/>
  <c r="D21" i="28"/>
  <c r="I21" i="28" s="1"/>
  <c r="H20" i="28"/>
  <c r="G20" i="28"/>
  <c r="D20" i="28"/>
  <c r="I20" i="28" s="1"/>
  <c r="H19" i="28"/>
  <c r="G19" i="28"/>
  <c r="D19" i="28"/>
  <c r="I19" i="28" s="1"/>
  <c r="H18" i="28"/>
  <c r="G18" i="28"/>
  <c r="D18" i="28"/>
  <c r="I18" i="28" s="1"/>
  <c r="H17" i="28"/>
  <c r="G17" i="28"/>
  <c r="D17" i="28"/>
  <c r="I17" i="28" s="1"/>
  <c r="H16" i="28"/>
  <c r="G16" i="28"/>
  <c r="D16" i="28"/>
  <c r="I16" i="28" s="1"/>
  <c r="H15" i="28"/>
  <c r="G15" i="28"/>
  <c r="D15" i="28"/>
  <c r="I15" i="28" s="1"/>
  <c r="H14" i="28"/>
  <c r="G14" i="28"/>
  <c r="D14" i="28"/>
  <c r="I14" i="28" s="1"/>
  <c r="H13" i="28"/>
  <c r="G13" i="28"/>
  <c r="D13" i="28"/>
  <c r="I13" i="28" s="1"/>
  <c r="H12" i="28"/>
  <c r="G12" i="28"/>
  <c r="D12" i="28"/>
  <c r="I12" i="28" s="1"/>
  <c r="H11" i="28"/>
  <c r="G11" i="28"/>
  <c r="D11" i="28"/>
  <c r="I11" i="28" s="1"/>
  <c r="H10" i="28"/>
  <c r="G10" i="28"/>
  <c r="D10" i="28"/>
  <c r="I10" i="28" s="1"/>
  <c r="H9" i="28"/>
  <c r="G9" i="28"/>
  <c r="D9" i="28"/>
  <c r="I9" i="28" s="1"/>
  <c r="H8" i="28"/>
  <c r="G8" i="28"/>
  <c r="D8" i="28"/>
  <c r="I8" i="28" s="1"/>
  <c r="H7" i="28"/>
  <c r="G7" i="28"/>
  <c r="D7" i="28"/>
  <c r="I7" i="28" s="1"/>
  <c r="H6" i="28"/>
  <c r="G6" i="28"/>
  <c r="D6" i="28"/>
  <c r="I6" i="28" s="1"/>
  <c r="H5" i="28"/>
  <c r="G5" i="28"/>
  <c r="D5" i="28"/>
  <c r="I5" i="28" s="1"/>
  <c r="H4" i="28"/>
  <c r="G4" i="28"/>
  <c r="D4" i="28"/>
  <c r="I4" i="28" s="1"/>
  <c r="H3" i="28"/>
  <c r="G3" i="28"/>
  <c r="D3" i="28"/>
  <c r="I3" i="28" s="1"/>
  <c r="H2" i="28"/>
  <c r="H25" i="28" s="1"/>
  <c r="C24" i="28"/>
  <c r="C2" i="29" s="1"/>
  <c r="B24" i="28"/>
  <c r="B2" i="29" s="1"/>
  <c r="H2" i="29" l="1"/>
  <c r="H25" i="29" s="1"/>
  <c r="C24" i="29"/>
  <c r="C2" i="30" s="1"/>
  <c r="B24" i="29"/>
  <c r="B2" i="30" s="1"/>
  <c r="G2" i="29"/>
  <c r="G25" i="29" s="1"/>
  <c r="D2" i="29"/>
  <c r="G2" i="28"/>
  <c r="G25" i="28" s="1"/>
  <c r="H30" i="28" s="1"/>
  <c r="D136" i="20"/>
  <c r="H2" i="30" l="1"/>
  <c r="H25" i="30" s="1"/>
  <c r="C24" i="30"/>
  <c r="D2" i="30"/>
  <c r="G2" i="30"/>
  <c r="B24" i="30"/>
  <c r="H30" i="29"/>
  <c r="I2" i="29"/>
  <c r="I25" i="29" s="1"/>
  <c r="I30" i="29" s="1"/>
  <c r="D24" i="29"/>
  <c r="I2" i="28"/>
  <c r="I25" i="28" s="1"/>
  <c r="I30" i="28" s="1"/>
  <c r="D24" i="28"/>
  <c r="D135" i="20"/>
  <c r="D134" i="20"/>
  <c r="H30" i="30" l="1"/>
  <c r="I2" i="30"/>
  <c r="I25" i="30" s="1"/>
  <c r="I30" i="30" s="1"/>
  <c r="D24" i="30"/>
  <c r="D42" i="27"/>
  <c r="V3" i="18"/>
  <c r="V2" i="18"/>
  <c r="V18" i="18" l="1"/>
  <c r="D133" i="20"/>
  <c r="B24" i="27"/>
  <c r="G39" i="10" l="1"/>
  <c r="G41" i="10"/>
  <c r="G40" i="10"/>
  <c r="F84" i="13"/>
  <c r="F85" i="13"/>
  <c r="F86" i="13"/>
  <c r="F87" i="13"/>
  <c r="F88" i="13"/>
  <c r="F89" i="13"/>
  <c r="F90" i="13"/>
  <c r="F91" i="13"/>
  <c r="F92" i="13"/>
  <c r="F93" i="13"/>
  <c r="F94" i="13"/>
  <c r="F95" i="13"/>
  <c r="F96" i="13"/>
  <c r="F97" i="13"/>
  <c r="F98" i="13"/>
  <c r="F99" i="13"/>
  <c r="F100" i="13"/>
  <c r="E100" i="13"/>
  <c r="E99" i="13" s="1"/>
  <c r="E98" i="13" s="1"/>
  <c r="E97" i="13" s="1"/>
  <c r="E96" i="13" s="1"/>
  <c r="E95" i="13" s="1"/>
  <c r="E94" i="13" s="1"/>
  <c r="E93" i="13" s="1"/>
  <c r="E92" i="13" s="1"/>
  <c r="E91" i="13" s="1"/>
  <c r="E90" i="13" s="1"/>
  <c r="E89" i="13" s="1"/>
  <c r="E88" i="13" s="1"/>
  <c r="E87" i="13" s="1"/>
  <c r="E86" i="13" s="1"/>
  <c r="E85" i="13" s="1"/>
  <c r="E84" i="13" s="1"/>
  <c r="G84" i="13" s="1"/>
  <c r="H129" i="20"/>
  <c r="H130" i="20"/>
  <c r="H131" i="20"/>
  <c r="H132" i="20"/>
  <c r="H133" i="20"/>
  <c r="H134" i="20"/>
  <c r="H135" i="20"/>
  <c r="H136" i="20"/>
  <c r="H137" i="20"/>
  <c r="H138" i="20"/>
  <c r="H139" i="20"/>
  <c r="G139" i="20"/>
  <c r="G138" i="20" s="1"/>
  <c r="G137" i="20" s="1"/>
  <c r="G136" i="20" s="1"/>
  <c r="G135" i="20" s="1"/>
  <c r="G134" i="20" s="1"/>
  <c r="G133" i="20" s="1"/>
  <c r="G132" i="20" s="1"/>
  <c r="G131" i="20" s="1"/>
  <c r="G130" i="20" s="1"/>
  <c r="G129" i="20" s="1"/>
  <c r="I129" i="20" s="1"/>
  <c r="D130" i="20"/>
  <c r="I30" i="26"/>
  <c r="H30" i="26"/>
  <c r="I25" i="26"/>
  <c r="H25" i="26"/>
  <c r="G25" i="26"/>
  <c r="G100" i="13" l="1"/>
  <c r="G99" i="13"/>
  <c r="G98" i="13"/>
  <c r="G97" i="13"/>
  <c r="G96" i="13"/>
  <c r="G94" i="13"/>
  <c r="G95" i="13"/>
  <c r="G93" i="13"/>
  <c r="G92" i="13"/>
  <c r="J139" i="20"/>
  <c r="G91" i="13"/>
  <c r="K139" i="20"/>
  <c r="I139" i="20"/>
  <c r="J138" i="20"/>
  <c r="K138" i="20"/>
  <c r="I138" i="20"/>
  <c r="J137" i="20"/>
  <c r="K137" i="20"/>
  <c r="I137" i="20"/>
  <c r="G90" i="13"/>
  <c r="J136" i="20"/>
  <c r="I136" i="20"/>
  <c r="K136" i="20"/>
  <c r="I135" i="20"/>
  <c r="J135" i="20"/>
  <c r="K135" i="20"/>
  <c r="J134" i="20"/>
  <c r="J133" i="20"/>
  <c r="I133" i="20"/>
  <c r="I134" i="20"/>
  <c r="K134" i="20"/>
  <c r="K133" i="20"/>
  <c r="I131" i="20"/>
  <c r="G88" i="13"/>
  <c r="G89" i="13"/>
  <c r="G87" i="13"/>
  <c r="G85" i="13"/>
  <c r="G86" i="13"/>
  <c r="I130" i="20"/>
  <c r="J132" i="20"/>
  <c r="J131" i="20"/>
  <c r="K130" i="20"/>
  <c r="I132" i="20"/>
  <c r="J130" i="20"/>
  <c r="B156" i="20"/>
  <c r="E158" i="15"/>
  <c r="E159" i="15"/>
  <c r="E160" i="15"/>
  <c r="E161" i="15"/>
  <c r="E162" i="15"/>
  <c r="E163" i="15"/>
  <c r="E164" i="15"/>
  <c r="E165" i="15"/>
  <c r="E166" i="15"/>
  <c r="B202" i="15"/>
  <c r="I23" i="27"/>
  <c r="H23" i="27"/>
  <c r="G23" i="27"/>
  <c r="H22" i="27"/>
  <c r="G22" i="27"/>
  <c r="D22" i="27"/>
  <c r="I22" i="27" s="1"/>
  <c r="H21" i="27"/>
  <c r="G21" i="27"/>
  <c r="D21" i="27"/>
  <c r="I21" i="27" s="1"/>
  <c r="H20" i="27"/>
  <c r="G20" i="27"/>
  <c r="D20" i="27"/>
  <c r="I20" i="27" s="1"/>
  <c r="H19" i="27"/>
  <c r="G19" i="27"/>
  <c r="D19" i="27"/>
  <c r="I19" i="27" s="1"/>
  <c r="H18" i="27"/>
  <c r="G18" i="27"/>
  <c r="D18" i="27"/>
  <c r="I18" i="27" s="1"/>
  <c r="H17" i="27"/>
  <c r="G17" i="27"/>
  <c r="D17" i="27"/>
  <c r="I17" i="27" s="1"/>
  <c r="H16" i="27"/>
  <c r="G16" i="27"/>
  <c r="D16" i="27"/>
  <c r="I16" i="27" s="1"/>
  <c r="H15" i="27"/>
  <c r="G15" i="27"/>
  <c r="D15" i="27"/>
  <c r="I15" i="27" s="1"/>
  <c r="H14" i="27"/>
  <c r="G14" i="27"/>
  <c r="D14" i="27"/>
  <c r="I14" i="27" s="1"/>
  <c r="H13" i="27"/>
  <c r="G13" i="27"/>
  <c r="D13" i="27"/>
  <c r="I13" i="27" s="1"/>
  <c r="H12" i="27"/>
  <c r="G12" i="27"/>
  <c r="D12" i="27"/>
  <c r="I12" i="27" s="1"/>
  <c r="H11" i="27"/>
  <c r="G11" i="27"/>
  <c r="D11" i="27"/>
  <c r="I11" i="27" s="1"/>
  <c r="H10" i="27"/>
  <c r="G10" i="27"/>
  <c r="D10" i="27"/>
  <c r="I10" i="27" s="1"/>
  <c r="H9" i="27"/>
  <c r="G9" i="27"/>
  <c r="D9" i="27"/>
  <c r="I9" i="27" s="1"/>
  <c r="H8" i="27"/>
  <c r="G8" i="27"/>
  <c r="D8" i="27"/>
  <c r="I8" i="27" s="1"/>
  <c r="H7" i="27"/>
  <c r="G7" i="27"/>
  <c r="D7" i="27"/>
  <c r="I7" i="27" s="1"/>
  <c r="H6" i="27"/>
  <c r="G6" i="27"/>
  <c r="D6" i="27"/>
  <c r="I6" i="27" s="1"/>
  <c r="H5" i="27"/>
  <c r="G5" i="27"/>
  <c r="D5" i="27"/>
  <c r="I5" i="27" s="1"/>
  <c r="H4" i="27"/>
  <c r="G4" i="27"/>
  <c r="D4" i="27"/>
  <c r="I4" i="27" s="1"/>
  <c r="H3" i="27"/>
  <c r="G3" i="27"/>
  <c r="D3" i="27"/>
  <c r="I3" i="27" s="1"/>
  <c r="G25" i="17"/>
  <c r="F166" i="15" l="1"/>
  <c r="F165" i="15"/>
  <c r="F164" i="15"/>
  <c r="F163" i="15"/>
  <c r="F162" i="15"/>
  <c r="F161" i="15"/>
  <c r="F160" i="15"/>
  <c r="F159" i="15"/>
  <c r="F158" i="15"/>
  <c r="D132" i="20" l="1"/>
  <c r="K132" i="20" s="1"/>
  <c r="D131" i="20"/>
  <c r="K131" i="20" s="1"/>
  <c r="E3" i="18" l="1"/>
  <c r="D4" i="18"/>
  <c r="L57" i="18"/>
  <c r="G38" i="10" l="1"/>
  <c r="D129" i="20"/>
  <c r="D2" i="26" l="1"/>
  <c r="C2" i="26"/>
  <c r="C24" i="26" s="1"/>
  <c r="C2" i="27" s="1"/>
  <c r="B2" i="26"/>
  <c r="D42" i="26"/>
  <c r="I23" i="26"/>
  <c r="H23" i="26"/>
  <c r="G23" i="26"/>
  <c r="H22" i="26"/>
  <c r="G22" i="26"/>
  <c r="D22" i="26"/>
  <c r="I22" i="26" s="1"/>
  <c r="H21" i="26"/>
  <c r="G21" i="26"/>
  <c r="D21" i="26"/>
  <c r="I21" i="26" s="1"/>
  <c r="H20" i="26"/>
  <c r="G20" i="26"/>
  <c r="D20" i="26"/>
  <c r="I20" i="26" s="1"/>
  <c r="H19" i="26"/>
  <c r="G19" i="26"/>
  <c r="D19" i="26"/>
  <c r="I19" i="26" s="1"/>
  <c r="H18" i="26"/>
  <c r="G18" i="26"/>
  <c r="D18" i="26"/>
  <c r="I18" i="26" s="1"/>
  <c r="H17" i="26"/>
  <c r="G17" i="26"/>
  <c r="D17" i="26"/>
  <c r="I17" i="26" s="1"/>
  <c r="H16" i="26"/>
  <c r="G16" i="26"/>
  <c r="D16" i="26"/>
  <c r="I16" i="26" s="1"/>
  <c r="H15" i="26"/>
  <c r="G15" i="26"/>
  <c r="D15" i="26"/>
  <c r="I15" i="26" s="1"/>
  <c r="H14" i="26"/>
  <c r="G14" i="26"/>
  <c r="D14" i="26"/>
  <c r="I14" i="26" s="1"/>
  <c r="H13" i="26"/>
  <c r="G13" i="26"/>
  <c r="D13" i="26"/>
  <c r="I13" i="26" s="1"/>
  <c r="H12" i="26"/>
  <c r="G12" i="26"/>
  <c r="D12" i="26"/>
  <c r="I12" i="26" s="1"/>
  <c r="H11" i="26"/>
  <c r="G11" i="26"/>
  <c r="D11" i="26"/>
  <c r="I11" i="26" s="1"/>
  <c r="H10" i="26"/>
  <c r="G10" i="26"/>
  <c r="D10" i="26"/>
  <c r="I10" i="26" s="1"/>
  <c r="H9" i="26"/>
  <c r="G9" i="26"/>
  <c r="D9" i="26"/>
  <c r="I9" i="26" s="1"/>
  <c r="H8" i="26"/>
  <c r="G8" i="26"/>
  <c r="D8" i="26"/>
  <c r="I8" i="26" s="1"/>
  <c r="H7" i="26"/>
  <c r="G7" i="26"/>
  <c r="D7" i="26"/>
  <c r="I7" i="26" s="1"/>
  <c r="H6" i="26"/>
  <c r="G6" i="26"/>
  <c r="D6" i="26"/>
  <c r="I6" i="26" s="1"/>
  <c r="H5" i="26"/>
  <c r="G5" i="26"/>
  <c r="D5" i="26"/>
  <c r="I5" i="26" s="1"/>
  <c r="H4" i="26"/>
  <c r="G4" i="26"/>
  <c r="D4" i="26"/>
  <c r="I4" i="26" s="1"/>
  <c r="H3" i="26"/>
  <c r="G3" i="26"/>
  <c r="D3" i="26"/>
  <c r="I3" i="26" s="1"/>
  <c r="G2" i="26"/>
  <c r="I2" i="26"/>
  <c r="H2" i="26"/>
  <c r="B24" i="26"/>
  <c r="B2" i="27" s="1"/>
  <c r="H30" i="25"/>
  <c r="D128" i="20"/>
  <c r="H2" i="27" l="1"/>
  <c r="H25" i="27" s="1"/>
  <c r="C24" i="27"/>
  <c r="D2" i="27"/>
  <c r="G2" i="27"/>
  <c r="G25" i="27" s="1"/>
  <c r="D24" i="26"/>
  <c r="D127" i="20"/>
  <c r="H30" i="27" l="1"/>
  <c r="I2" i="27"/>
  <c r="I25" i="27" s="1"/>
  <c r="I30" i="27" s="1"/>
  <c r="D24" i="27"/>
  <c r="D42" i="25" l="1"/>
  <c r="E83" i="13" l="1"/>
  <c r="E82" i="13" s="1"/>
  <c r="E81" i="13" s="1"/>
  <c r="E80" i="13" s="1"/>
  <c r="E79" i="13" s="1"/>
  <c r="E78" i="13" s="1"/>
  <c r="E77" i="13" s="1"/>
  <c r="E76" i="13" s="1"/>
  <c r="E75" i="13" s="1"/>
  <c r="E74" i="13" s="1"/>
  <c r="E73" i="13" s="1"/>
  <c r="E72" i="13" s="1"/>
  <c r="E71" i="13" s="1"/>
  <c r="E70" i="13" s="1"/>
  <c r="E69" i="13" s="1"/>
  <c r="E68" i="13" s="1"/>
  <c r="E67" i="13" s="1"/>
  <c r="E66" i="13" s="1"/>
  <c r="E65" i="13" s="1"/>
  <c r="E64" i="13" s="1"/>
  <c r="E63" i="13" s="1"/>
  <c r="E62" i="13" s="1"/>
  <c r="E61" i="13" s="1"/>
  <c r="E60" i="13" s="1"/>
  <c r="E59" i="13" s="1"/>
  <c r="E58" i="13" s="1"/>
  <c r="E57" i="13" s="1"/>
  <c r="E56" i="13" s="1"/>
  <c r="E55" i="13" s="1"/>
  <c r="E54" i="13" s="1"/>
  <c r="E53" i="13" s="1"/>
  <c r="E52" i="13" s="1"/>
  <c r="H127" i="20"/>
  <c r="H128" i="20"/>
  <c r="D126" i="20"/>
  <c r="H126" i="20"/>
  <c r="E143" i="15"/>
  <c r="E144" i="15"/>
  <c r="E145" i="15"/>
  <c r="E146" i="15"/>
  <c r="E147" i="15"/>
  <c r="E148" i="15"/>
  <c r="E149" i="15"/>
  <c r="E150" i="15"/>
  <c r="E151" i="15"/>
  <c r="E152" i="15"/>
  <c r="E153" i="15"/>
  <c r="E154" i="15"/>
  <c r="E155" i="15"/>
  <c r="E156" i="15"/>
  <c r="E157" i="15"/>
  <c r="F157" i="15" s="1"/>
  <c r="F156" i="15" l="1"/>
  <c r="F155" i="15"/>
  <c r="F154" i="15"/>
  <c r="F153" i="15"/>
  <c r="F152" i="15"/>
  <c r="F151" i="15"/>
  <c r="F150" i="15"/>
  <c r="F149" i="15"/>
  <c r="F148" i="15"/>
  <c r="F147" i="15"/>
  <c r="F146" i="15"/>
  <c r="F145" i="15"/>
  <c r="F144" i="15"/>
  <c r="C2" i="25"/>
  <c r="B2" i="25"/>
  <c r="I23" i="25"/>
  <c r="H23" i="25"/>
  <c r="G23" i="25"/>
  <c r="H22" i="25"/>
  <c r="G22" i="25"/>
  <c r="D22" i="25"/>
  <c r="I22" i="25" s="1"/>
  <c r="H21" i="25"/>
  <c r="G21" i="25"/>
  <c r="D21" i="25"/>
  <c r="I21" i="25" s="1"/>
  <c r="H20" i="25"/>
  <c r="G20" i="25"/>
  <c r="D20" i="25"/>
  <c r="I20" i="25" s="1"/>
  <c r="H19" i="25"/>
  <c r="G19" i="25"/>
  <c r="D19" i="25"/>
  <c r="I19" i="25" s="1"/>
  <c r="H18" i="25"/>
  <c r="G18" i="25"/>
  <c r="D18" i="25"/>
  <c r="I18" i="25" s="1"/>
  <c r="H17" i="25"/>
  <c r="G17" i="25"/>
  <c r="D17" i="25"/>
  <c r="I17" i="25" s="1"/>
  <c r="H16" i="25"/>
  <c r="G16" i="25"/>
  <c r="D16" i="25"/>
  <c r="I16" i="25" s="1"/>
  <c r="H15" i="25"/>
  <c r="G15" i="25"/>
  <c r="D15" i="25"/>
  <c r="I15" i="25" s="1"/>
  <c r="H14" i="25"/>
  <c r="G14" i="25"/>
  <c r="D14" i="25"/>
  <c r="I14" i="25" s="1"/>
  <c r="H13" i="25"/>
  <c r="G13" i="25"/>
  <c r="D13" i="25"/>
  <c r="I13" i="25" s="1"/>
  <c r="H12" i="25"/>
  <c r="G12" i="25"/>
  <c r="D12" i="25"/>
  <c r="I12" i="25" s="1"/>
  <c r="H11" i="25"/>
  <c r="G11" i="25"/>
  <c r="D11" i="25"/>
  <c r="I11" i="25" s="1"/>
  <c r="H10" i="25"/>
  <c r="G10" i="25"/>
  <c r="D10" i="25"/>
  <c r="I10" i="25" s="1"/>
  <c r="H9" i="25"/>
  <c r="G9" i="25"/>
  <c r="D9" i="25"/>
  <c r="I9" i="25" s="1"/>
  <c r="H8" i="25"/>
  <c r="G8" i="25"/>
  <c r="D8" i="25"/>
  <c r="I8" i="25" s="1"/>
  <c r="H7" i="25"/>
  <c r="G7" i="25"/>
  <c r="D7" i="25"/>
  <c r="I7" i="25" s="1"/>
  <c r="H6" i="25"/>
  <c r="G6" i="25"/>
  <c r="D6" i="25"/>
  <c r="I6" i="25" s="1"/>
  <c r="H5" i="25"/>
  <c r="G5" i="25"/>
  <c r="D5" i="25"/>
  <c r="I5" i="25" s="1"/>
  <c r="H4" i="25"/>
  <c r="G4" i="25"/>
  <c r="D4" i="25"/>
  <c r="I4" i="25" s="1"/>
  <c r="H3" i="25"/>
  <c r="G3" i="25"/>
  <c r="D3" i="25"/>
  <c r="I3" i="25" s="1"/>
  <c r="H2" i="25"/>
  <c r="H25" i="25" s="1"/>
  <c r="C24" i="25"/>
  <c r="B24" i="25"/>
  <c r="H125" i="20"/>
  <c r="G2" i="25" l="1"/>
  <c r="G25" i="25" s="1"/>
  <c r="D2" i="25"/>
  <c r="D42" i="24"/>
  <c r="I2" i="25" l="1"/>
  <c r="I25" i="25" s="1"/>
  <c r="I30" i="25" s="1"/>
  <c r="D24" i="25"/>
  <c r="Q74" i="10"/>
  <c r="Q75" i="10"/>
  <c r="Q76" i="10"/>
  <c r="Q73" i="10"/>
  <c r="Q78" i="10" s="1"/>
  <c r="N16" i="18"/>
  <c r="F66" i="13"/>
  <c r="F67" i="13"/>
  <c r="F68" i="13"/>
  <c r="F69" i="13"/>
  <c r="F70" i="13"/>
  <c r="F71" i="13"/>
  <c r="F72" i="13"/>
  <c r="F73" i="13"/>
  <c r="F74" i="13"/>
  <c r="F75" i="13"/>
  <c r="G75" i="13" s="1"/>
  <c r="F76" i="13"/>
  <c r="G76" i="13" s="1"/>
  <c r="F77" i="13"/>
  <c r="G77" i="13" s="1"/>
  <c r="F78" i="13"/>
  <c r="G78" i="13" s="1"/>
  <c r="F79" i="13"/>
  <c r="G79" i="13" s="1"/>
  <c r="F80" i="13"/>
  <c r="G80" i="13" s="1"/>
  <c r="F81" i="13"/>
  <c r="G81" i="13" s="1"/>
  <c r="F82" i="13"/>
  <c r="G82" i="13" s="1"/>
  <c r="F83" i="13"/>
  <c r="G83" i="13" s="1"/>
  <c r="G74" i="13" l="1"/>
  <c r="G73" i="13"/>
  <c r="G72" i="13"/>
  <c r="G71" i="13"/>
  <c r="G70" i="13"/>
  <c r="G69" i="13"/>
  <c r="G68" i="13"/>
  <c r="G67" i="13"/>
  <c r="G66" i="13"/>
  <c r="H124" i="20"/>
  <c r="G37" i="10" l="1"/>
  <c r="F64" i="13" l="1"/>
  <c r="F65" i="13"/>
  <c r="G65" i="13" l="1"/>
  <c r="G64" i="13"/>
  <c r="G36" i="10"/>
  <c r="H123" i="20" l="1"/>
  <c r="D3" i="24" l="1"/>
  <c r="D4" i="24"/>
  <c r="I4" i="24" s="1"/>
  <c r="D5" i="24"/>
  <c r="I5" i="24" s="1"/>
  <c r="D6" i="24"/>
  <c r="D7" i="24"/>
  <c r="D8" i="24"/>
  <c r="D9" i="24"/>
  <c r="I9" i="24" s="1"/>
  <c r="D10" i="24"/>
  <c r="D11" i="24"/>
  <c r="D12" i="24"/>
  <c r="D13" i="24"/>
  <c r="I13" i="24" s="1"/>
  <c r="D14" i="24"/>
  <c r="D15" i="24"/>
  <c r="D16" i="24"/>
  <c r="D17" i="24"/>
  <c r="I17" i="24" s="1"/>
  <c r="D18" i="24"/>
  <c r="D19" i="24"/>
  <c r="D20" i="24"/>
  <c r="I20" i="24" s="1"/>
  <c r="D21" i="24"/>
  <c r="I21" i="24" s="1"/>
  <c r="D22" i="24"/>
  <c r="C2" i="24"/>
  <c r="B2" i="24"/>
  <c r="B24" i="24" s="1"/>
  <c r="I23" i="24"/>
  <c r="H23" i="24"/>
  <c r="G23" i="24"/>
  <c r="I22" i="24"/>
  <c r="H22" i="24"/>
  <c r="G22" i="24"/>
  <c r="H21" i="24"/>
  <c r="G21" i="24"/>
  <c r="H20" i="24"/>
  <c r="G20" i="24"/>
  <c r="I19" i="24"/>
  <c r="H19" i="24"/>
  <c r="G19" i="24"/>
  <c r="I18" i="24"/>
  <c r="H18" i="24"/>
  <c r="G18" i="24"/>
  <c r="H17" i="24"/>
  <c r="G17" i="24"/>
  <c r="I16" i="24"/>
  <c r="H16" i="24"/>
  <c r="G16" i="24"/>
  <c r="I15" i="24"/>
  <c r="H15" i="24"/>
  <c r="G15" i="24"/>
  <c r="I14" i="24"/>
  <c r="H14" i="24"/>
  <c r="G14" i="24"/>
  <c r="H13" i="24"/>
  <c r="G13" i="24"/>
  <c r="I12" i="24"/>
  <c r="H12" i="24"/>
  <c r="G12" i="24"/>
  <c r="I11" i="24"/>
  <c r="H11" i="24"/>
  <c r="G11" i="24"/>
  <c r="I10" i="24"/>
  <c r="H10" i="24"/>
  <c r="G10" i="24"/>
  <c r="H9" i="24"/>
  <c r="G9" i="24"/>
  <c r="I8" i="24"/>
  <c r="H8" i="24"/>
  <c r="G8" i="24"/>
  <c r="I7" i="24"/>
  <c r="H7" i="24"/>
  <c r="G7" i="24"/>
  <c r="I6" i="24"/>
  <c r="H6" i="24"/>
  <c r="G6" i="24"/>
  <c r="H5" i="24"/>
  <c r="G5" i="24"/>
  <c r="H4" i="24"/>
  <c r="G4" i="24"/>
  <c r="H3" i="24"/>
  <c r="G3" i="24"/>
  <c r="I3" i="24"/>
  <c r="H2" i="24"/>
  <c r="H25" i="23"/>
  <c r="H122" i="20"/>
  <c r="H25" i="24" l="1"/>
  <c r="C24" i="24"/>
  <c r="D2" i="24"/>
  <c r="G2" i="24"/>
  <c r="G25" i="24" s="1"/>
  <c r="H121" i="20"/>
  <c r="H30" i="24" l="1"/>
  <c r="I2" i="24"/>
  <c r="I25" i="24" s="1"/>
  <c r="I30" i="24" s="1"/>
  <c r="D24" i="24"/>
  <c r="G128" i="20" l="1"/>
  <c r="K129" i="20"/>
  <c r="J129" i="20"/>
  <c r="E136" i="15"/>
  <c r="E137" i="15"/>
  <c r="E138" i="15"/>
  <c r="F138" i="15" s="1"/>
  <c r="E139" i="15"/>
  <c r="F139" i="15" s="1"/>
  <c r="E140" i="15"/>
  <c r="F140" i="15" s="1"/>
  <c r="E141" i="15"/>
  <c r="F141" i="15" s="1"/>
  <c r="E142" i="15"/>
  <c r="F142" i="15" s="1"/>
  <c r="F143" i="15"/>
  <c r="G127" i="20" l="1"/>
  <c r="J128" i="20"/>
  <c r="K128" i="20"/>
  <c r="I128" i="20"/>
  <c r="F137" i="15"/>
  <c r="F136" i="15"/>
  <c r="G126" i="20" l="1"/>
  <c r="I127" i="20"/>
  <c r="K127" i="20"/>
  <c r="J127" i="20"/>
  <c r="G125" i="20" l="1"/>
  <c r="K126" i="20"/>
  <c r="J126" i="20"/>
  <c r="H120" i="20"/>
  <c r="J125" i="20" l="1"/>
  <c r="G124" i="20"/>
  <c r="D42" i="23"/>
  <c r="I23" i="23"/>
  <c r="H23" i="23"/>
  <c r="G23" i="23"/>
  <c r="H22" i="23"/>
  <c r="G22" i="23"/>
  <c r="D22" i="23"/>
  <c r="I22" i="23" s="1"/>
  <c r="H21" i="23"/>
  <c r="G21" i="23"/>
  <c r="D21" i="23"/>
  <c r="I21" i="23" s="1"/>
  <c r="H20" i="23"/>
  <c r="G20" i="23"/>
  <c r="D20" i="23"/>
  <c r="I20" i="23" s="1"/>
  <c r="H19" i="23"/>
  <c r="G19" i="23"/>
  <c r="D19" i="23"/>
  <c r="I19" i="23" s="1"/>
  <c r="H18" i="23"/>
  <c r="G18" i="23"/>
  <c r="D18" i="23"/>
  <c r="I18" i="23" s="1"/>
  <c r="H17" i="23"/>
  <c r="G17" i="23"/>
  <c r="D17" i="23"/>
  <c r="I17" i="23" s="1"/>
  <c r="H16" i="23"/>
  <c r="G16" i="23"/>
  <c r="D16" i="23"/>
  <c r="I16" i="23" s="1"/>
  <c r="H15" i="23"/>
  <c r="G15" i="23"/>
  <c r="D15" i="23"/>
  <c r="I15" i="23" s="1"/>
  <c r="H14" i="23"/>
  <c r="G14" i="23"/>
  <c r="D14" i="23"/>
  <c r="I14" i="23" s="1"/>
  <c r="H13" i="23"/>
  <c r="G13" i="23"/>
  <c r="D13" i="23"/>
  <c r="I13" i="23" s="1"/>
  <c r="H12" i="23"/>
  <c r="G12" i="23"/>
  <c r="D12" i="23"/>
  <c r="I12" i="23" s="1"/>
  <c r="H11" i="23"/>
  <c r="G11" i="23"/>
  <c r="D11" i="23"/>
  <c r="I11" i="23" s="1"/>
  <c r="H10" i="23"/>
  <c r="G10" i="23"/>
  <c r="D10" i="23"/>
  <c r="I10" i="23" s="1"/>
  <c r="H9" i="23"/>
  <c r="G9" i="23"/>
  <c r="D9" i="23"/>
  <c r="I9" i="23" s="1"/>
  <c r="H8" i="23"/>
  <c r="G8" i="23"/>
  <c r="D8" i="23"/>
  <c r="I8" i="23" s="1"/>
  <c r="H7" i="23"/>
  <c r="G7" i="23"/>
  <c r="D7" i="23"/>
  <c r="I7" i="23" s="1"/>
  <c r="H6" i="23"/>
  <c r="G6" i="23"/>
  <c r="D6" i="23"/>
  <c r="I6" i="23" s="1"/>
  <c r="H5" i="23"/>
  <c r="G5" i="23"/>
  <c r="D5" i="23"/>
  <c r="I5" i="23" s="1"/>
  <c r="H4" i="23"/>
  <c r="G4" i="23"/>
  <c r="D4" i="23"/>
  <c r="I4" i="23" s="1"/>
  <c r="H3" i="23"/>
  <c r="G3" i="23"/>
  <c r="D3" i="23"/>
  <c r="I3" i="23" s="1"/>
  <c r="F58" i="13"/>
  <c r="F59" i="13"/>
  <c r="F60" i="13"/>
  <c r="F61" i="13"/>
  <c r="F62" i="13"/>
  <c r="F63" i="13"/>
  <c r="F57" i="13"/>
  <c r="F56" i="13"/>
  <c r="G123" i="20" l="1"/>
  <c r="J124" i="20"/>
  <c r="D42" i="22"/>
  <c r="G122" i="20" l="1"/>
  <c r="J123" i="20"/>
  <c r="G30" i="10"/>
  <c r="G31" i="10"/>
  <c r="G32" i="10"/>
  <c r="G33" i="10"/>
  <c r="G34" i="10"/>
  <c r="G35" i="10"/>
  <c r="G29" i="10"/>
  <c r="J122" i="20" l="1"/>
  <c r="G121" i="20"/>
  <c r="G120" i="20" s="1"/>
  <c r="G119" i="20" s="1"/>
  <c r="G118" i="20" s="1"/>
  <c r="G117" i="20" s="1"/>
  <c r="G116" i="20" s="1"/>
  <c r="G115" i="20" s="1"/>
  <c r="G114" i="20" s="1"/>
  <c r="G113" i="20" s="1"/>
  <c r="G112" i="20" s="1"/>
  <c r="G111" i="20" s="1"/>
  <c r="G110" i="20" s="1"/>
  <c r="G109" i="20" s="1"/>
  <c r="G108" i="20" s="1"/>
  <c r="G107" i="20" s="1"/>
  <c r="G106" i="20" s="1"/>
  <c r="G105" i="20" s="1"/>
  <c r="G104" i="20" s="1"/>
  <c r="G103" i="20" s="1"/>
  <c r="G102" i="20" s="1"/>
  <c r="G101" i="20" s="1"/>
  <c r="G100" i="20" s="1"/>
  <c r="G99" i="20" s="1"/>
  <c r="G98" i="20" s="1"/>
  <c r="G97" i="20" s="1"/>
  <c r="G96" i="20" s="1"/>
  <c r="G95" i="20" s="1"/>
  <c r="G94" i="20" s="1"/>
  <c r="G93" i="20" s="1"/>
  <c r="G92" i="20" s="1"/>
  <c r="G91" i="20" s="1"/>
  <c r="G90" i="20" s="1"/>
  <c r="G89" i="20" s="1"/>
  <c r="G88" i="20" s="1"/>
  <c r="G87" i="20" s="1"/>
  <c r="G86" i="20" s="1"/>
  <c r="G85" i="20" s="1"/>
  <c r="G84" i="20" s="1"/>
  <c r="G83" i="20" s="1"/>
  <c r="G82" i="20" s="1"/>
  <c r="G81" i="20" s="1"/>
  <c r="G80" i="20" s="1"/>
  <c r="G79" i="20" s="1"/>
  <c r="G78" i="20" s="1"/>
  <c r="G77" i="20" s="1"/>
  <c r="G76" i="20" s="1"/>
  <c r="G75" i="20" s="1"/>
  <c r="G74" i="20" s="1"/>
  <c r="G73" i="20" s="1"/>
  <c r="G72" i="20" s="1"/>
  <c r="G71" i="20" s="1"/>
  <c r="G70" i="20" s="1"/>
  <c r="G69" i="20" s="1"/>
  <c r="G68" i="20" s="1"/>
  <c r="G67" i="20" s="1"/>
  <c r="G66" i="20" s="1"/>
  <c r="G65" i="20" s="1"/>
  <c r="G64" i="20" s="1"/>
  <c r="G63" i="20" s="1"/>
  <c r="G62" i="20" s="1"/>
  <c r="G61" i="20" s="1"/>
  <c r="G60" i="20" s="1"/>
  <c r="G59" i="20" s="1"/>
  <c r="G58" i="20" s="1"/>
  <c r="G57" i="20" s="1"/>
  <c r="G56" i="20" s="1"/>
  <c r="G55" i="20" s="1"/>
  <c r="G54" i="20" s="1"/>
  <c r="G53" i="20" s="1"/>
  <c r="G52" i="20" s="1"/>
  <c r="G51" i="20" s="1"/>
  <c r="G50" i="20" s="1"/>
  <c r="G49" i="20" s="1"/>
  <c r="G48" i="20" s="1"/>
  <c r="G47" i="20" s="1"/>
  <c r="G46" i="20" s="1"/>
  <c r="G45" i="20" s="1"/>
  <c r="G44" i="20" s="1"/>
  <c r="G43" i="20" s="1"/>
  <c r="G42" i="20" s="1"/>
  <c r="G41" i="20" s="1"/>
  <c r="G40" i="20" s="1"/>
  <c r="G39" i="20" s="1"/>
  <c r="G38" i="20" s="1"/>
  <c r="G37" i="20" s="1"/>
  <c r="G36" i="20" s="1"/>
  <c r="G35" i="20" s="1"/>
  <c r="G34" i="20" s="1"/>
  <c r="G33" i="20" s="1"/>
  <c r="G32" i="20" s="1"/>
  <c r="G31" i="20" s="1"/>
  <c r="G30" i="20" s="1"/>
  <c r="G29" i="20" s="1"/>
  <c r="G28" i="20" s="1"/>
  <c r="G27" i="20" s="1"/>
  <c r="G26" i="20" s="1"/>
  <c r="G25" i="20" s="1"/>
  <c r="G24" i="20" s="1"/>
  <c r="G23" i="20" s="1"/>
  <c r="G22" i="20" s="1"/>
  <c r="G21" i="20" s="1"/>
  <c r="G20" i="20" s="1"/>
  <c r="G19" i="20" s="1"/>
  <c r="G18" i="20" s="1"/>
  <c r="G17" i="20" s="1"/>
  <c r="G16" i="20" s="1"/>
  <c r="G15" i="20" s="1"/>
  <c r="G14" i="20" s="1"/>
  <c r="G13" i="20" s="1"/>
  <c r="G12" i="20" s="1"/>
  <c r="G11" i="20" s="1"/>
  <c r="G10" i="20" s="1"/>
  <c r="G9" i="20" s="1"/>
  <c r="G8" i="20" s="1"/>
  <c r="G7" i="20" s="1"/>
  <c r="G6" i="20" s="1"/>
  <c r="G5" i="20" s="1"/>
  <c r="G4" i="20" s="1"/>
  <c r="G3" i="20" s="1"/>
  <c r="G2" i="20" s="1"/>
  <c r="H119" i="20"/>
  <c r="H118" i="20"/>
  <c r="G63" i="13" l="1"/>
  <c r="F52" i="13"/>
  <c r="G62" i="13" l="1"/>
  <c r="D4" i="21"/>
  <c r="I4" i="21" s="1"/>
  <c r="H4" i="21"/>
  <c r="G4" i="21"/>
  <c r="I23" i="22"/>
  <c r="H23" i="22"/>
  <c r="G23" i="22"/>
  <c r="H22" i="22"/>
  <c r="G22" i="22"/>
  <c r="D22" i="22"/>
  <c r="I22" i="22" s="1"/>
  <c r="H21" i="22"/>
  <c r="G21" i="22"/>
  <c r="D21" i="22"/>
  <c r="I21" i="22" s="1"/>
  <c r="H20" i="22"/>
  <c r="G20" i="22"/>
  <c r="D20" i="22"/>
  <c r="I20" i="22" s="1"/>
  <c r="H19" i="22"/>
  <c r="G19" i="22"/>
  <c r="D19" i="22"/>
  <c r="I19" i="22" s="1"/>
  <c r="H18" i="22"/>
  <c r="G18" i="22"/>
  <c r="D18" i="22"/>
  <c r="I18" i="22" s="1"/>
  <c r="H17" i="22"/>
  <c r="G17" i="22"/>
  <c r="D17" i="22"/>
  <c r="I17" i="22" s="1"/>
  <c r="H16" i="22"/>
  <c r="G16" i="22"/>
  <c r="D16" i="22"/>
  <c r="I16" i="22" s="1"/>
  <c r="H15" i="22"/>
  <c r="G15" i="22"/>
  <c r="D15" i="22"/>
  <c r="I15" i="22" s="1"/>
  <c r="H14" i="22"/>
  <c r="G14" i="22"/>
  <c r="D14" i="22"/>
  <c r="I14" i="22" s="1"/>
  <c r="H13" i="22"/>
  <c r="G13" i="22"/>
  <c r="D13" i="22"/>
  <c r="I13" i="22" s="1"/>
  <c r="H12" i="22"/>
  <c r="G12" i="22"/>
  <c r="D12" i="22"/>
  <c r="I12" i="22" s="1"/>
  <c r="H11" i="22"/>
  <c r="G11" i="22"/>
  <c r="D11" i="22"/>
  <c r="I11" i="22" s="1"/>
  <c r="H10" i="22"/>
  <c r="G10" i="22"/>
  <c r="D10" i="22"/>
  <c r="I10" i="22" s="1"/>
  <c r="H9" i="22"/>
  <c r="G9" i="22"/>
  <c r="D9" i="22"/>
  <c r="I9" i="22" s="1"/>
  <c r="H8" i="22"/>
  <c r="G8" i="22"/>
  <c r="D8" i="22"/>
  <c r="I8" i="22" s="1"/>
  <c r="H7" i="22"/>
  <c r="G7" i="22"/>
  <c r="D7" i="22"/>
  <c r="I7" i="22" s="1"/>
  <c r="H6" i="22"/>
  <c r="G6" i="22"/>
  <c r="D6" i="22"/>
  <c r="I6" i="22" s="1"/>
  <c r="H5" i="22"/>
  <c r="G5" i="22"/>
  <c r="D5" i="22"/>
  <c r="I5" i="22" s="1"/>
  <c r="H4" i="22"/>
  <c r="G4" i="22"/>
  <c r="D4" i="22"/>
  <c r="I4" i="22" s="1"/>
  <c r="H3" i="22"/>
  <c r="G3" i="22"/>
  <c r="D3" i="22"/>
  <c r="I3" i="22" s="1"/>
  <c r="H117" i="20"/>
  <c r="G61" i="13" l="1"/>
  <c r="G60" i="13" l="1"/>
  <c r="G59" i="13" l="1"/>
  <c r="F47" i="13"/>
  <c r="F48" i="13"/>
  <c r="F49" i="13"/>
  <c r="F50" i="13"/>
  <c r="F51" i="13"/>
  <c r="F53" i="13"/>
  <c r="F54" i="13"/>
  <c r="F55" i="13"/>
  <c r="D44" i="21"/>
  <c r="H116" i="20"/>
  <c r="G57" i="13" l="1"/>
  <c r="G58" i="13"/>
  <c r="G56" i="13" l="1"/>
  <c r="H115" i="20"/>
  <c r="F42" i="13"/>
  <c r="F43" i="13"/>
  <c r="F44" i="13"/>
  <c r="F45" i="13"/>
  <c r="F46" i="13"/>
  <c r="F41" i="13"/>
  <c r="F40" i="13"/>
  <c r="G55" i="13" l="1"/>
  <c r="G54" i="13" l="1"/>
  <c r="F39" i="13"/>
  <c r="G53" i="13" l="1"/>
  <c r="I24" i="21"/>
  <c r="H24" i="21"/>
  <c r="G24" i="21"/>
  <c r="H23" i="21"/>
  <c r="G23" i="21"/>
  <c r="D23" i="21"/>
  <c r="I23" i="21" s="1"/>
  <c r="H22" i="21"/>
  <c r="G22" i="21"/>
  <c r="D22" i="21"/>
  <c r="I22" i="21" s="1"/>
  <c r="H21" i="21"/>
  <c r="G21" i="21"/>
  <c r="D21" i="21"/>
  <c r="I21" i="21" s="1"/>
  <c r="H20" i="21"/>
  <c r="G20" i="21"/>
  <c r="D20" i="21"/>
  <c r="I20" i="21" s="1"/>
  <c r="H19" i="21"/>
  <c r="G19" i="21"/>
  <c r="D19" i="21"/>
  <c r="I19" i="21" s="1"/>
  <c r="H18" i="21"/>
  <c r="G18" i="21"/>
  <c r="D18" i="21"/>
  <c r="I18" i="21" s="1"/>
  <c r="H17" i="21"/>
  <c r="G17" i="21"/>
  <c r="D17" i="21"/>
  <c r="I17" i="21" s="1"/>
  <c r="H16" i="21"/>
  <c r="G16" i="21"/>
  <c r="D16" i="21"/>
  <c r="I16" i="21" s="1"/>
  <c r="H15" i="21"/>
  <c r="G15" i="21"/>
  <c r="D15" i="21"/>
  <c r="I15" i="21" s="1"/>
  <c r="H14" i="21"/>
  <c r="G14" i="21"/>
  <c r="D14" i="21"/>
  <c r="I14" i="21" s="1"/>
  <c r="H13" i="21"/>
  <c r="G13" i="21"/>
  <c r="D13" i="21"/>
  <c r="I13" i="21" s="1"/>
  <c r="H12" i="21"/>
  <c r="G12" i="21"/>
  <c r="D12" i="21"/>
  <c r="I12" i="21" s="1"/>
  <c r="H11" i="21"/>
  <c r="G11" i="21"/>
  <c r="D11" i="21"/>
  <c r="I11" i="21" s="1"/>
  <c r="H10" i="21"/>
  <c r="G10" i="21"/>
  <c r="D10" i="21"/>
  <c r="I10" i="21" s="1"/>
  <c r="H9" i="21"/>
  <c r="G9" i="21"/>
  <c r="D9" i="21"/>
  <c r="I9" i="21" s="1"/>
  <c r="H8" i="21"/>
  <c r="G8" i="21"/>
  <c r="D8" i="21"/>
  <c r="I8" i="21" s="1"/>
  <c r="H7" i="21"/>
  <c r="G7" i="21"/>
  <c r="D7" i="21"/>
  <c r="I7" i="21" s="1"/>
  <c r="H6" i="21"/>
  <c r="G6" i="21"/>
  <c r="D6" i="21"/>
  <c r="I6" i="21" s="1"/>
  <c r="H5" i="21"/>
  <c r="G5" i="21"/>
  <c r="D5" i="21"/>
  <c r="I5" i="21" s="1"/>
  <c r="H3" i="21"/>
  <c r="G3" i="21"/>
  <c r="D3" i="21"/>
  <c r="I3" i="21" s="1"/>
  <c r="D43" i="19"/>
  <c r="D113" i="20"/>
  <c r="D114" i="20"/>
  <c r="D115" i="20"/>
  <c r="D116" i="20"/>
  <c r="D117" i="20"/>
  <c r="D118" i="20"/>
  <c r="D119" i="20"/>
  <c r="D120" i="20"/>
  <c r="D121" i="20"/>
  <c r="D122" i="20"/>
  <c r="K122" i="20" s="1"/>
  <c r="D123" i="20"/>
  <c r="K123" i="20" s="1"/>
  <c r="D124" i="20"/>
  <c r="D125" i="20"/>
  <c r="K125" i="20" s="1"/>
  <c r="H114" i="20"/>
  <c r="H113" i="20"/>
  <c r="K124" i="20" l="1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0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38" i="15"/>
  <c r="E39" i="15"/>
  <c r="E40" i="15"/>
  <c r="E41" i="15"/>
  <c r="E42" i="15"/>
  <c r="E43" i="15"/>
  <c r="E44" i="15"/>
  <c r="E45" i="15"/>
  <c r="E46" i="15"/>
  <c r="E47" i="15"/>
  <c r="E48" i="15"/>
  <c r="E49" i="15"/>
  <c r="E50" i="15"/>
  <c r="E51" i="15"/>
  <c r="E52" i="15"/>
  <c r="E53" i="15"/>
  <c r="E54" i="15"/>
  <c r="E55" i="15"/>
  <c r="E56" i="15"/>
  <c r="E57" i="15"/>
  <c r="E58" i="15"/>
  <c r="E59" i="15"/>
  <c r="E60" i="15"/>
  <c r="E61" i="15"/>
  <c r="E62" i="15"/>
  <c r="E63" i="15"/>
  <c r="E64" i="15"/>
  <c r="E65" i="15"/>
  <c r="E66" i="15"/>
  <c r="E67" i="15"/>
  <c r="E68" i="15"/>
  <c r="E69" i="15"/>
  <c r="E70" i="15"/>
  <c r="E71" i="15"/>
  <c r="E72" i="15"/>
  <c r="E73" i="15"/>
  <c r="E74" i="15"/>
  <c r="E75" i="15"/>
  <c r="E76" i="15"/>
  <c r="E77" i="15"/>
  <c r="E78" i="15"/>
  <c r="E79" i="15"/>
  <c r="E80" i="15"/>
  <c r="E81" i="15"/>
  <c r="E82" i="15"/>
  <c r="E83" i="15"/>
  <c r="E84" i="15"/>
  <c r="E85" i="15"/>
  <c r="E86" i="15"/>
  <c r="E87" i="15"/>
  <c r="E88" i="15"/>
  <c r="E89" i="15"/>
  <c r="E90" i="15"/>
  <c r="E91" i="15"/>
  <c r="E92" i="15"/>
  <c r="E93" i="15"/>
  <c r="E94" i="15"/>
  <c r="E95" i="15"/>
  <c r="E96" i="15"/>
  <c r="E97" i="15"/>
  <c r="E98" i="15"/>
  <c r="E99" i="15"/>
  <c r="E100" i="15"/>
  <c r="E101" i="15"/>
  <c r="E102" i="15"/>
  <c r="E103" i="15"/>
  <c r="E104" i="15"/>
  <c r="E105" i="15"/>
  <c r="E106" i="15"/>
  <c r="E107" i="15"/>
  <c r="E108" i="15"/>
  <c r="E109" i="15"/>
  <c r="E110" i="15"/>
  <c r="E111" i="15"/>
  <c r="E112" i="15"/>
  <c r="E113" i="15"/>
  <c r="E114" i="15"/>
  <c r="E115" i="15"/>
  <c r="E116" i="15"/>
  <c r="E117" i="15"/>
  <c r="E118" i="15"/>
  <c r="E119" i="15"/>
  <c r="E120" i="15"/>
  <c r="E121" i="15"/>
  <c r="E122" i="15"/>
  <c r="E123" i="15"/>
  <c r="F123" i="15" s="1"/>
  <c r="E124" i="15"/>
  <c r="E125" i="15"/>
  <c r="F125" i="15" s="1"/>
  <c r="E126" i="15"/>
  <c r="F126" i="15" s="1"/>
  <c r="E127" i="15"/>
  <c r="F127" i="15" s="1"/>
  <c r="E128" i="15"/>
  <c r="F128" i="15" s="1"/>
  <c r="E129" i="15"/>
  <c r="F129" i="15" s="1"/>
  <c r="E130" i="15"/>
  <c r="F130" i="15" s="1"/>
  <c r="E131" i="15"/>
  <c r="F131" i="15" s="1"/>
  <c r="E132" i="15"/>
  <c r="F132" i="15" s="1"/>
  <c r="E133" i="15"/>
  <c r="F133" i="15" s="1"/>
  <c r="E134" i="15"/>
  <c r="F134" i="15" s="1"/>
  <c r="E135" i="15"/>
  <c r="F135" i="15" s="1"/>
  <c r="E2" i="15"/>
  <c r="E51" i="13" l="1"/>
  <c r="G52" i="13"/>
  <c r="F124" i="15"/>
  <c r="F122" i="15"/>
  <c r="F121" i="15"/>
  <c r="J121" i="20" l="1"/>
  <c r="K121" i="20"/>
  <c r="J119" i="20"/>
  <c r="J120" i="20"/>
  <c r="K120" i="20"/>
  <c r="E50" i="13"/>
  <c r="G51" i="13"/>
  <c r="F3" i="13"/>
  <c r="F4" i="13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F24" i="13"/>
  <c r="F25" i="13"/>
  <c r="F26" i="13"/>
  <c r="F27" i="13"/>
  <c r="F28" i="13"/>
  <c r="F29" i="13"/>
  <c r="F30" i="13"/>
  <c r="F31" i="13"/>
  <c r="F32" i="13"/>
  <c r="F33" i="13"/>
  <c r="F34" i="13"/>
  <c r="F35" i="13"/>
  <c r="F36" i="13"/>
  <c r="F37" i="13"/>
  <c r="F38" i="13"/>
  <c r="F2" i="13"/>
  <c r="D112" i="20"/>
  <c r="H112" i="20"/>
  <c r="H3" i="20"/>
  <c r="H4" i="20"/>
  <c r="H5" i="20"/>
  <c r="H6" i="20"/>
  <c r="H7" i="20"/>
  <c r="H8" i="20"/>
  <c r="H9" i="20"/>
  <c r="H10" i="20"/>
  <c r="H11" i="20"/>
  <c r="H12" i="20"/>
  <c r="H13" i="20"/>
  <c r="H14" i="20"/>
  <c r="H15" i="20"/>
  <c r="H16" i="20"/>
  <c r="H17" i="20"/>
  <c r="H18" i="20"/>
  <c r="H19" i="20"/>
  <c r="H20" i="20"/>
  <c r="H21" i="20"/>
  <c r="H22" i="20"/>
  <c r="H23" i="20"/>
  <c r="H24" i="20"/>
  <c r="H25" i="20"/>
  <c r="H26" i="20"/>
  <c r="H27" i="20"/>
  <c r="H28" i="20"/>
  <c r="H29" i="20"/>
  <c r="H30" i="20"/>
  <c r="H31" i="20"/>
  <c r="H32" i="20"/>
  <c r="H33" i="20"/>
  <c r="H34" i="20"/>
  <c r="H35" i="20"/>
  <c r="H36" i="20"/>
  <c r="H37" i="20"/>
  <c r="H38" i="20"/>
  <c r="H39" i="20"/>
  <c r="H40" i="20"/>
  <c r="H41" i="20"/>
  <c r="H42" i="20"/>
  <c r="H43" i="20"/>
  <c r="H44" i="20"/>
  <c r="H45" i="20"/>
  <c r="H46" i="20"/>
  <c r="H47" i="20"/>
  <c r="H48" i="20"/>
  <c r="H49" i="20"/>
  <c r="H50" i="20"/>
  <c r="H51" i="20"/>
  <c r="H52" i="20"/>
  <c r="H53" i="20"/>
  <c r="H54" i="20"/>
  <c r="H55" i="20"/>
  <c r="H56" i="20"/>
  <c r="H57" i="20"/>
  <c r="H58" i="20"/>
  <c r="H59" i="20"/>
  <c r="H60" i="20"/>
  <c r="H61" i="20"/>
  <c r="H62" i="20"/>
  <c r="H63" i="20"/>
  <c r="H64" i="20"/>
  <c r="H65" i="20"/>
  <c r="H66" i="20"/>
  <c r="H67" i="20"/>
  <c r="H68" i="20"/>
  <c r="H69" i="20"/>
  <c r="H70" i="20"/>
  <c r="H71" i="20"/>
  <c r="H72" i="20"/>
  <c r="H73" i="20"/>
  <c r="H74" i="20"/>
  <c r="H75" i="20"/>
  <c r="H76" i="20"/>
  <c r="H77" i="20"/>
  <c r="H78" i="20"/>
  <c r="H79" i="20"/>
  <c r="H80" i="20"/>
  <c r="H81" i="20"/>
  <c r="H82" i="20"/>
  <c r="H83" i="20"/>
  <c r="H84" i="20"/>
  <c r="H85" i="20"/>
  <c r="H86" i="20"/>
  <c r="H87" i="20"/>
  <c r="H88" i="20"/>
  <c r="H89" i="20"/>
  <c r="H90" i="20"/>
  <c r="H91" i="20"/>
  <c r="H92" i="20"/>
  <c r="H93" i="20"/>
  <c r="H94" i="20"/>
  <c r="H95" i="20"/>
  <c r="H96" i="20"/>
  <c r="H97" i="20"/>
  <c r="H98" i="20"/>
  <c r="H99" i="20"/>
  <c r="H100" i="20"/>
  <c r="H101" i="20"/>
  <c r="H102" i="20"/>
  <c r="H103" i="20"/>
  <c r="H104" i="20"/>
  <c r="H105" i="20"/>
  <c r="H106" i="20"/>
  <c r="H107" i="20"/>
  <c r="H108" i="20"/>
  <c r="H109" i="20"/>
  <c r="H110" i="20"/>
  <c r="H111" i="20"/>
  <c r="H2" i="20"/>
  <c r="D111" i="20"/>
  <c r="D110" i="20"/>
  <c r="D109" i="20"/>
  <c r="D108" i="20"/>
  <c r="D107" i="20"/>
  <c r="D106" i="20"/>
  <c r="D105" i="20"/>
  <c r="D104" i="20"/>
  <c r="D103" i="20"/>
  <c r="D102" i="20"/>
  <c r="D101" i="20"/>
  <c r="D100" i="20"/>
  <c r="D99" i="20"/>
  <c r="D98" i="20"/>
  <c r="D97" i="20"/>
  <c r="D96" i="20"/>
  <c r="D95" i="20"/>
  <c r="D94" i="20"/>
  <c r="D93" i="20"/>
  <c r="D92" i="20"/>
  <c r="D91" i="20"/>
  <c r="D90" i="20"/>
  <c r="D89" i="20"/>
  <c r="D88" i="20"/>
  <c r="D87" i="20"/>
  <c r="D86" i="20"/>
  <c r="D85" i="20"/>
  <c r="D84" i="20"/>
  <c r="D83" i="20"/>
  <c r="D82" i="20"/>
  <c r="D81" i="20"/>
  <c r="D80" i="20"/>
  <c r="D79" i="20"/>
  <c r="D78" i="20"/>
  <c r="D77" i="20"/>
  <c r="D76" i="20"/>
  <c r="D75" i="20"/>
  <c r="D74" i="20"/>
  <c r="D73" i="20"/>
  <c r="D72" i="20"/>
  <c r="D71" i="20"/>
  <c r="D70" i="20"/>
  <c r="D69" i="20"/>
  <c r="D68" i="20"/>
  <c r="D67" i="20"/>
  <c r="D66" i="20"/>
  <c r="D65" i="20"/>
  <c r="D64" i="20"/>
  <c r="D63" i="20"/>
  <c r="D62" i="20"/>
  <c r="D61" i="20"/>
  <c r="D60" i="20"/>
  <c r="D59" i="20"/>
  <c r="D58" i="20"/>
  <c r="D57" i="20"/>
  <c r="D56" i="20"/>
  <c r="D55" i="20"/>
  <c r="D54" i="20"/>
  <c r="D53" i="20"/>
  <c r="D52" i="20"/>
  <c r="D51" i="20"/>
  <c r="D50" i="20"/>
  <c r="D49" i="20"/>
  <c r="D48" i="20"/>
  <c r="D47" i="20"/>
  <c r="D46" i="20"/>
  <c r="D45" i="20"/>
  <c r="D44" i="20"/>
  <c r="D43" i="20"/>
  <c r="D42" i="20"/>
  <c r="D41" i="20"/>
  <c r="D40" i="20"/>
  <c r="D39" i="20"/>
  <c r="D38" i="20"/>
  <c r="D37" i="20"/>
  <c r="D36" i="20"/>
  <c r="D35" i="20"/>
  <c r="D34" i="20"/>
  <c r="D33" i="20"/>
  <c r="D32" i="20"/>
  <c r="D31" i="20"/>
  <c r="D30" i="20"/>
  <c r="D29" i="20"/>
  <c r="D28" i="20"/>
  <c r="D27" i="20"/>
  <c r="D20" i="20"/>
  <c r="D3" i="4"/>
  <c r="D26" i="20"/>
  <c r="D25" i="20"/>
  <c r="D24" i="20"/>
  <c r="D23" i="20"/>
  <c r="D22" i="20"/>
  <c r="D21" i="20"/>
  <c r="D19" i="20"/>
  <c r="D18" i="20"/>
  <c r="D17" i="20"/>
  <c r="D16" i="20"/>
  <c r="D15" i="20"/>
  <c r="D14" i="20"/>
  <c r="D13" i="20"/>
  <c r="D12" i="20"/>
  <c r="D11" i="20"/>
  <c r="D10" i="20"/>
  <c r="D9" i="20"/>
  <c r="D8" i="20"/>
  <c r="D7" i="20"/>
  <c r="D6" i="20"/>
  <c r="D5" i="20"/>
  <c r="D4" i="20"/>
  <c r="D3" i="20"/>
  <c r="D2" i="20"/>
  <c r="D156" i="20" l="1"/>
  <c r="N17" i="18" s="1"/>
  <c r="I119" i="20"/>
  <c r="K119" i="20"/>
  <c r="J116" i="20"/>
  <c r="E49" i="13"/>
  <c r="G50" i="13"/>
  <c r="I126" i="20"/>
  <c r="I117" i="20" l="1"/>
  <c r="K116" i="20"/>
  <c r="J115" i="20"/>
  <c r="K118" i="20"/>
  <c r="J117" i="20"/>
  <c r="I118" i="20"/>
  <c r="I116" i="20"/>
  <c r="K117" i="20"/>
  <c r="J118" i="20"/>
  <c r="E48" i="13"/>
  <c r="G49" i="13"/>
  <c r="K115" i="20"/>
  <c r="I115" i="20"/>
  <c r="I125" i="20"/>
  <c r="I23" i="19"/>
  <c r="H23" i="19"/>
  <c r="G23" i="19"/>
  <c r="H22" i="19"/>
  <c r="G22" i="19"/>
  <c r="D22" i="19"/>
  <c r="I22" i="19" s="1"/>
  <c r="H21" i="19"/>
  <c r="G21" i="19"/>
  <c r="D21" i="19"/>
  <c r="I21" i="19" s="1"/>
  <c r="H20" i="19"/>
  <c r="G20" i="19"/>
  <c r="D20" i="19"/>
  <c r="I20" i="19" s="1"/>
  <c r="H19" i="19"/>
  <c r="G19" i="19"/>
  <c r="D19" i="19"/>
  <c r="I19" i="19" s="1"/>
  <c r="H18" i="19"/>
  <c r="G18" i="19"/>
  <c r="D18" i="19"/>
  <c r="I18" i="19" s="1"/>
  <c r="H17" i="19"/>
  <c r="G17" i="19"/>
  <c r="D17" i="19"/>
  <c r="I17" i="19" s="1"/>
  <c r="H16" i="19"/>
  <c r="G16" i="19"/>
  <c r="D16" i="19"/>
  <c r="I16" i="19" s="1"/>
  <c r="H15" i="19"/>
  <c r="G15" i="19"/>
  <c r="D15" i="19"/>
  <c r="I15" i="19" s="1"/>
  <c r="H14" i="19"/>
  <c r="G14" i="19"/>
  <c r="D14" i="19"/>
  <c r="I14" i="19" s="1"/>
  <c r="H13" i="19"/>
  <c r="G13" i="19"/>
  <c r="D13" i="19"/>
  <c r="I13" i="19" s="1"/>
  <c r="H12" i="19"/>
  <c r="G12" i="19"/>
  <c r="D12" i="19"/>
  <c r="I12" i="19" s="1"/>
  <c r="H11" i="19"/>
  <c r="G11" i="19"/>
  <c r="D11" i="19"/>
  <c r="I11" i="19" s="1"/>
  <c r="H10" i="19"/>
  <c r="G10" i="19"/>
  <c r="D10" i="19"/>
  <c r="I10" i="19" s="1"/>
  <c r="H9" i="19"/>
  <c r="G9" i="19"/>
  <c r="D9" i="19"/>
  <c r="I9" i="19" s="1"/>
  <c r="H8" i="19"/>
  <c r="G8" i="19"/>
  <c r="D8" i="19"/>
  <c r="I8" i="19" s="1"/>
  <c r="H7" i="19"/>
  <c r="G7" i="19"/>
  <c r="D7" i="19"/>
  <c r="I7" i="19" s="1"/>
  <c r="H6" i="19"/>
  <c r="G6" i="19"/>
  <c r="D6" i="19"/>
  <c r="I6" i="19" s="1"/>
  <c r="H5" i="19"/>
  <c r="G5" i="19"/>
  <c r="D5" i="19"/>
  <c r="I5" i="19" s="1"/>
  <c r="H4" i="19"/>
  <c r="G4" i="19"/>
  <c r="D4" i="19"/>
  <c r="I4" i="19" s="1"/>
  <c r="H3" i="19"/>
  <c r="G3" i="19"/>
  <c r="D3" i="19"/>
  <c r="I3" i="19" s="1"/>
  <c r="K113" i="20" l="1"/>
  <c r="E47" i="13"/>
  <c r="G48" i="13"/>
  <c r="F120" i="15"/>
  <c r="I124" i="20"/>
  <c r="D55" i="17"/>
  <c r="J114" i="20" l="1"/>
  <c r="I111" i="20"/>
  <c r="K114" i="20"/>
  <c r="I113" i="20"/>
  <c r="J113" i="20"/>
  <c r="I114" i="20"/>
  <c r="E46" i="13"/>
  <c r="G47" i="13"/>
  <c r="F119" i="15"/>
  <c r="I123" i="20"/>
  <c r="K112" i="20" l="1"/>
  <c r="J112" i="20"/>
  <c r="K111" i="20"/>
  <c r="I112" i="20"/>
  <c r="J111" i="20"/>
  <c r="K110" i="20"/>
  <c r="E45" i="13"/>
  <c r="G46" i="13"/>
  <c r="F118" i="15"/>
  <c r="I122" i="20"/>
  <c r="J109" i="20" l="1"/>
  <c r="J110" i="20"/>
  <c r="I110" i="20"/>
  <c r="E44" i="13"/>
  <c r="G45" i="13"/>
  <c r="I109" i="20"/>
  <c r="J108" i="20"/>
  <c r="F117" i="15"/>
  <c r="I121" i="20"/>
  <c r="L58" i="18"/>
  <c r="D5" i="18"/>
  <c r="D6" i="18" s="1"/>
  <c r="D7" i="18" s="1"/>
  <c r="D8" i="18" s="1"/>
  <c r="D9" i="18" s="1"/>
  <c r="D10" i="18" s="1"/>
  <c r="D11" i="18" s="1"/>
  <c r="D12" i="18" s="1"/>
  <c r="D13" i="18" s="1"/>
  <c r="D14" i="18" s="1"/>
  <c r="D16" i="18" s="1"/>
  <c r="C4" i="18"/>
  <c r="D17" i="18" l="1"/>
  <c r="D18" i="18" s="1"/>
  <c r="D19" i="18" s="1"/>
  <c r="D20" i="18" s="1"/>
  <c r="D21" i="18" s="1"/>
  <c r="D22" i="18" s="1"/>
  <c r="D23" i="18" s="1"/>
  <c r="D24" i="18" s="1"/>
  <c r="D25" i="18" s="1"/>
  <c r="D26" i="18" s="1"/>
  <c r="D27" i="18" s="1"/>
  <c r="D28" i="18" s="1"/>
  <c r="D29" i="18" s="1"/>
  <c r="D30" i="18" s="1"/>
  <c r="D31" i="18" s="1"/>
  <c r="D32" i="18" s="1"/>
  <c r="D33" i="18" s="1"/>
  <c r="D34" i="18" s="1"/>
  <c r="D35" i="18" s="1"/>
  <c r="D36" i="18" s="1"/>
  <c r="D37" i="18" s="1"/>
  <c r="D38" i="18" s="1"/>
  <c r="D39" i="18" s="1"/>
  <c r="D40" i="18" s="1"/>
  <c r="D41" i="18" s="1"/>
  <c r="D42" i="18" s="1"/>
  <c r="D43" i="18" s="1"/>
  <c r="D44" i="18" s="1"/>
  <c r="D45" i="18" s="1"/>
  <c r="D46" i="18" s="1"/>
  <c r="D47" i="18" s="1"/>
  <c r="D48" i="18" s="1"/>
  <c r="D49" i="18" s="1"/>
  <c r="D50" i="18" s="1"/>
  <c r="D51" i="18" s="1"/>
  <c r="D52" i="18" s="1"/>
  <c r="D53" i="18" s="1"/>
  <c r="D54" i="18" s="1"/>
  <c r="D55" i="18" s="1"/>
  <c r="D56" i="18" s="1"/>
  <c r="D57" i="18" s="1"/>
  <c r="D58" i="18" s="1"/>
  <c r="D59" i="18" s="1"/>
  <c r="D60" i="18" s="1"/>
  <c r="D61" i="18" s="1"/>
  <c r="D62" i="18" s="1"/>
  <c r="E16" i="18"/>
  <c r="K109" i="20"/>
  <c r="E43" i="13"/>
  <c r="G44" i="13"/>
  <c r="I108" i="20"/>
  <c r="K107" i="20"/>
  <c r="K108" i="20"/>
  <c r="F116" i="15"/>
  <c r="I120" i="20"/>
  <c r="C5" i="18"/>
  <c r="C6" i="18" s="1"/>
  <c r="C7" i="18" s="1"/>
  <c r="C8" i="18" s="1"/>
  <c r="C9" i="18" s="1"/>
  <c r="C10" i="18" s="1"/>
  <c r="E42" i="13" l="1"/>
  <c r="G43" i="13"/>
  <c r="J106" i="20"/>
  <c r="J107" i="20"/>
  <c r="I107" i="20"/>
  <c r="F115" i="15"/>
  <c r="C11" i="18"/>
  <c r="J105" i="20" l="1"/>
  <c r="I106" i="20"/>
  <c r="K106" i="20"/>
  <c r="E41" i="13"/>
  <c r="G42" i="13"/>
  <c r="F114" i="15"/>
  <c r="C12" i="18"/>
  <c r="D45" i="12"/>
  <c r="I23" i="17"/>
  <c r="H23" i="17"/>
  <c r="G23" i="17"/>
  <c r="H22" i="17"/>
  <c r="G22" i="17"/>
  <c r="D22" i="17"/>
  <c r="I22" i="17" s="1"/>
  <c r="H21" i="17"/>
  <c r="G21" i="17"/>
  <c r="D21" i="17"/>
  <c r="I21" i="17" s="1"/>
  <c r="H20" i="17"/>
  <c r="G20" i="17"/>
  <c r="D20" i="17"/>
  <c r="I20" i="17" s="1"/>
  <c r="H19" i="17"/>
  <c r="G19" i="17"/>
  <c r="D19" i="17"/>
  <c r="I19" i="17" s="1"/>
  <c r="H18" i="17"/>
  <c r="G18" i="17"/>
  <c r="D18" i="17"/>
  <c r="I18" i="17" s="1"/>
  <c r="H17" i="17"/>
  <c r="G17" i="17"/>
  <c r="D17" i="17"/>
  <c r="I17" i="17" s="1"/>
  <c r="H16" i="17"/>
  <c r="G16" i="17"/>
  <c r="D16" i="17"/>
  <c r="I16" i="17" s="1"/>
  <c r="H15" i="17"/>
  <c r="G15" i="17"/>
  <c r="D15" i="17"/>
  <c r="I15" i="17" s="1"/>
  <c r="H14" i="17"/>
  <c r="G14" i="17"/>
  <c r="D14" i="17"/>
  <c r="I14" i="17" s="1"/>
  <c r="H13" i="17"/>
  <c r="G13" i="17"/>
  <c r="D13" i="17"/>
  <c r="I13" i="17" s="1"/>
  <c r="H12" i="17"/>
  <c r="G12" i="17"/>
  <c r="D12" i="17"/>
  <c r="I12" i="17" s="1"/>
  <c r="H11" i="17"/>
  <c r="G11" i="17"/>
  <c r="D11" i="17"/>
  <c r="I11" i="17" s="1"/>
  <c r="H10" i="17"/>
  <c r="G10" i="17"/>
  <c r="D10" i="17"/>
  <c r="I10" i="17" s="1"/>
  <c r="H9" i="17"/>
  <c r="G9" i="17"/>
  <c r="D9" i="17"/>
  <c r="I9" i="17" s="1"/>
  <c r="H8" i="17"/>
  <c r="G8" i="17"/>
  <c r="D8" i="17"/>
  <c r="I8" i="17" s="1"/>
  <c r="H7" i="17"/>
  <c r="G7" i="17"/>
  <c r="D7" i="17"/>
  <c r="I7" i="17" s="1"/>
  <c r="H6" i="17"/>
  <c r="G6" i="17"/>
  <c r="D6" i="17"/>
  <c r="I6" i="17" s="1"/>
  <c r="H5" i="17"/>
  <c r="G5" i="17"/>
  <c r="D5" i="17"/>
  <c r="I5" i="17" s="1"/>
  <c r="H4" i="17"/>
  <c r="G4" i="17"/>
  <c r="D4" i="17"/>
  <c r="I4" i="17" s="1"/>
  <c r="H3" i="17"/>
  <c r="G3" i="17"/>
  <c r="D3" i="17"/>
  <c r="I3" i="17" s="1"/>
  <c r="K104" i="20" l="1"/>
  <c r="K105" i="20"/>
  <c r="I105" i="20"/>
  <c r="E40" i="13"/>
  <c r="G41" i="13"/>
  <c r="J104" i="20"/>
  <c r="C13" i="18"/>
  <c r="L16" i="18"/>
  <c r="I104" i="20" l="1"/>
  <c r="I103" i="20"/>
  <c r="E39" i="13"/>
  <c r="G40" i="13"/>
  <c r="C14" i="18"/>
  <c r="K103" i="20" l="1"/>
  <c r="J103" i="20"/>
  <c r="I102" i="20"/>
  <c r="E38" i="13"/>
  <c r="G39" i="13"/>
  <c r="F113" i="15"/>
  <c r="J102" i="20" l="1"/>
  <c r="K102" i="20"/>
  <c r="E37" i="13"/>
  <c r="G38" i="13"/>
  <c r="J101" i="20"/>
  <c r="F112" i="15"/>
  <c r="I101" i="20" l="1"/>
  <c r="K101" i="20"/>
  <c r="E36" i="13"/>
  <c r="G37" i="13"/>
  <c r="I100" i="20"/>
  <c r="J100" i="20"/>
  <c r="K100" i="20"/>
  <c r="F111" i="15"/>
  <c r="C17" i="18"/>
  <c r="E35" i="13" l="1"/>
  <c r="G36" i="13"/>
  <c r="I99" i="20"/>
  <c r="J99" i="20"/>
  <c r="K99" i="20"/>
  <c r="F110" i="15"/>
  <c r="C18" i="18"/>
  <c r="E34" i="13" l="1"/>
  <c r="G35" i="13"/>
  <c r="J98" i="20"/>
  <c r="I98" i="20"/>
  <c r="K98" i="20"/>
  <c r="F109" i="15"/>
  <c r="C19" i="18"/>
  <c r="B70" i="16"/>
  <c r="L17" i="18" s="1"/>
  <c r="L26" i="18" s="1"/>
  <c r="B27" i="14"/>
  <c r="E21" i="14"/>
  <c r="E20" i="14" s="1"/>
  <c r="L27" i="18" l="1"/>
  <c r="E33" i="13"/>
  <c r="G34" i="13"/>
  <c r="I97" i="20"/>
  <c r="K97" i="20"/>
  <c r="J97" i="20"/>
  <c r="F108" i="15"/>
  <c r="C20" i="18"/>
  <c r="E19" i="14"/>
  <c r="G20" i="14"/>
  <c r="G21" i="14"/>
  <c r="F14" i="18" l="1"/>
  <c r="L28" i="18"/>
  <c r="E32" i="13"/>
  <c r="G33" i="13"/>
  <c r="K96" i="20"/>
  <c r="I96" i="20"/>
  <c r="J96" i="20"/>
  <c r="F107" i="15"/>
  <c r="C21" i="18"/>
  <c r="E18" i="14"/>
  <c r="G19" i="14"/>
  <c r="D45" i="11"/>
  <c r="I23" i="12"/>
  <c r="H23" i="12"/>
  <c r="G23" i="12"/>
  <c r="H22" i="12"/>
  <c r="G22" i="12"/>
  <c r="D22" i="12"/>
  <c r="I22" i="12" s="1"/>
  <c r="H21" i="12"/>
  <c r="G21" i="12"/>
  <c r="D21" i="12"/>
  <c r="I21" i="12" s="1"/>
  <c r="H20" i="12"/>
  <c r="G20" i="12"/>
  <c r="D20" i="12"/>
  <c r="I20" i="12" s="1"/>
  <c r="H19" i="12"/>
  <c r="G19" i="12"/>
  <c r="D19" i="12"/>
  <c r="I19" i="12" s="1"/>
  <c r="H18" i="12"/>
  <c r="G18" i="12"/>
  <c r="D18" i="12"/>
  <c r="I18" i="12" s="1"/>
  <c r="H17" i="12"/>
  <c r="G17" i="12"/>
  <c r="D17" i="12"/>
  <c r="I17" i="12" s="1"/>
  <c r="H16" i="12"/>
  <c r="G16" i="12"/>
  <c r="D16" i="12"/>
  <c r="I16" i="12" s="1"/>
  <c r="H15" i="12"/>
  <c r="G15" i="12"/>
  <c r="D15" i="12"/>
  <c r="I15" i="12" s="1"/>
  <c r="H14" i="12"/>
  <c r="G14" i="12"/>
  <c r="D14" i="12"/>
  <c r="I14" i="12" s="1"/>
  <c r="H13" i="12"/>
  <c r="G13" i="12"/>
  <c r="D13" i="12"/>
  <c r="I13" i="12" s="1"/>
  <c r="H12" i="12"/>
  <c r="G12" i="12"/>
  <c r="D12" i="12"/>
  <c r="I12" i="12" s="1"/>
  <c r="H11" i="12"/>
  <c r="G11" i="12"/>
  <c r="D11" i="12"/>
  <c r="I11" i="12" s="1"/>
  <c r="H10" i="12"/>
  <c r="G10" i="12"/>
  <c r="D10" i="12"/>
  <c r="I10" i="12" s="1"/>
  <c r="H9" i="12"/>
  <c r="G9" i="12"/>
  <c r="D9" i="12"/>
  <c r="I9" i="12" s="1"/>
  <c r="H8" i="12"/>
  <c r="G8" i="12"/>
  <c r="D8" i="12"/>
  <c r="I8" i="12" s="1"/>
  <c r="H7" i="12"/>
  <c r="G7" i="12"/>
  <c r="D7" i="12"/>
  <c r="I7" i="12" s="1"/>
  <c r="H6" i="12"/>
  <c r="G6" i="12"/>
  <c r="D6" i="12"/>
  <c r="I6" i="12" s="1"/>
  <c r="H5" i="12"/>
  <c r="G5" i="12"/>
  <c r="D5" i="12"/>
  <c r="I5" i="12" s="1"/>
  <c r="H4" i="12"/>
  <c r="G4" i="12"/>
  <c r="D4" i="12"/>
  <c r="I4" i="12" s="1"/>
  <c r="H3" i="12"/>
  <c r="G3" i="12"/>
  <c r="D3" i="12"/>
  <c r="I3" i="12" s="1"/>
  <c r="E31" i="13" l="1"/>
  <c r="G32" i="13"/>
  <c r="I95" i="20"/>
  <c r="K95" i="20"/>
  <c r="J95" i="20"/>
  <c r="F106" i="15"/>
  <c r="G2" i="18"/>
  <c r="G3" i="18"/>
  <c r="C22" i="18"/>
  <c r="G18" i="14"/>
  <c r="E17" i="14"/>
  <c r="D14" i="9"/>
  <c r="D15" i="9"/>
  <c r="D4" i="11"/>
  <c r="D3" i="11"/>
  <c r="I3" i="11" s="1"/>
  <c r="I23" i="11"/>
  <c r="H23" i="11"/>
  <c r="G23" i="11"/>
  <c r="H22" i="11"/>
  <c r="G22" i="11"/>
  <c r="D22" i="11"/>
  <c r="I22" i="11" s="1"/>
  <c r="H21" i="11"/>
  <c r="G21" i="11"/>
  <c r="D21" i="11"/>
  <c r="I21" i="11" s="1"/>
  <c r="H20" i="11"/>
  <c r="G20" i="11"/>
  <c r="D20" i="11"/>
  <c r="I20" i="11" s="1"/>
  <c r="H19" i="11"/>
  <c r="G19" i="11"/>
  <c r="D19" i="11"/>
  <c r="I19" i="11" s="1"/>
  <c r="H18" i="11"/>
  <c r="G18" i="11"/>
  <c r="D18" i="11"/>
  <c r="I18" i="11" s="1"/>
  <c r="H17" i="11"/>
  <c r="G17" i="11"/>
  <c r="D17" i="11"/>
  <c r="I17" i="11" s="1"/>
  <c r="H16" i="11"/>
  <c r="G16" i="11"/>
  <c r="D16" i="11"/>
  <c r="I16" i="11" s="1"/>
  <c r="H15" i="11"/>
  <c r="G15" i="11"/>
  <c r="D15" i="11"/>
  <c r="I15" i="11" s="1"/>
  <c r="H14" i="11"/>
  <c r="G14" i="11"/>
  <c r="D14" i="11"/>
  <c r="I14" i="11" s="1"/>
  <c r="H13" i="11"/>
  <c r="G13" i="11"/>
  <c r="D13" i="11"/>
  <c r="I13" i="11" s="1"/>
  <c r="H12" i="11"/>
  <c r="G12" i="11"/>
  <c r="D12" i="11"/>
  <c r="I12" i="11" s="1"/>
  <c r="H11" i="11"/>
  <c r="G11" i="11"/>
  <c r="D11" i="11"/>
  <c r="I11" i="11" s="1"/>
  <c r="H10" i="11"/>
  <c r="G10" i="11"/>
  <c r="D10" i="11"/>
  <c r="I10" i="11" s="1"/>
  <c r="H9" i="11"/>
  <c r="G9" i="11"/>
  <c r="D9" i="11"/>
  <c r="I9" i="11" s="1"/>
  <c r="H8" i="11"/>
  <c r="G8" i="11"/>
  <c r="D8" i="11"/>
  <c r="I8" i="11" s="1"/>
  <c r="H7" i="11"/>
  <c r="G7" i="11"/>
  <c r="D7" i="11"/>
  <c r="I7" i="11" s="1"/>
  <c r="H6" i="11"/>
  <c r="G6" i="11"/>
  <c r="D6" i="11"/>
  <c r="I6" i="11" s="1"/>
  <c r="H5" i="11"/>
  <c r="G5" i="11"/>
  <c r="D5" i="11"/>
  <c r="I5" i="11" s="1"/>
  <c r="H4" i="11"/>
  <c r="G4" i="11"/>
  <c r="I4" i="11"/>
  <c r="H3" i="11"/>
  <c r="G3" i="11"/>
  <c r="E30" i="13" l="1"/>
  <c r="G31" i="13"/>
  <c r="K94" i="20"/>
  <c r="J94" i="20"/>
  <c r="I94" i="20"/>
  <c r="F105" i="15"/>
  <c r="E4" i="18"/>
  <c r="C23" i="18"/>
  <c r="E16" i="14"/>
  <c r="G17" i="14"/>
  <c r="D65" i="9"/>
  <c r="E29" i="13" l="1"/>
  <c r="G30" i="13"/>
  <c r="K93" i="20"/>
  <c r="I93" i="20"/>
  <c r="J93" i="20"/>
  <c r="E5" i="18"/>
  <c r="G4" i="18"/>
  <c r="F104" i="15"/>
  <c r="C24" i="18"/>
  <c r="E15" i="14"/>
  <c r="G16" i="14"/>
  <c r="R14" i="10"/>
  <c r="U14" i="10" s="1"/>
  <c r="R15" i="10"/>
  <c r="U15" i="10" s="1"/>
  <c r="R16" i="10"/>
  <c r="U16" i="10" s="1"/>
  <c r="R17" i="10"/>
  <c r="U17" i="10" s="1"/>
  <c r="R18" i="10"/>
  <c r="U18" i="10" s="1"/>
  <c r="R19" i="10"/>
  <c r="U19" i="10" s="1"/>
  <c r="R13" i="10"/>
  <c r="U13" i="10" s="1"/>
  <c r="E28" i="13" l="1"/>
  <c r="G29" i="13"/>
  <c r="E6" i="18"/>
  <c r="G5" i="18"/>
  <c r="K92" i="20"/>
  <c r="I92" i="20"/>
  <c r="J92" i="20"/>
  <c r="S16" i="10"/>
  <c r="S13" i="10"/>
  <c r="S17" i="10"/>
  <c r="S19" i="10"/>
  <c r="S15" i="10"/>
  <c r="S18" i="10"/>
  <c r="F103" i="15"/>
  <c r="C25" i="18"/>
  <c r="E14" i="14"/>
  <c r="G15" i="14"/>
  <c r="C2" i="10"/>
  <c r="C3" i="10" s="1"/>
  <c r="C4" i="10" s="1"/>
  <c r="C5" i="10" s="1"/>
  <c r="C6" i="10" s="1"/>
  <c r="C7" i="10" s="1"/>
  <c r="I23" i="9"/>
  <c r="H23" i="9"/>
  <c r="G23" i="9"/>
  <c r="H22" i="9"/>
  <c r="G22" i="9"/>
  <c r="D22" i="9"/>
  <c r="I22" i="9" s="1"/>
  <c r="H21" i="9"/>
  <c r="G21" i="9"/>
  <c r="D21" i="9"/>
  <c r="I21" i="9" s="1"/>
  <c r="H20" i="9"/>
  <c r="G20" i="9"/>
  <c r="D20" i="9"/>
  <c r="I20" i="9" s="1"/>
  <c r="H19" i="9"/>
  <c r="G19" i="9"/>
  <c r="D19" i="9"/>
  <c r="I19" i="9" s="1"/>
  <c r="H18" i="9"/>
  <c r="G18" i="9"/>
  <c r="D18" i="9"/>
  <c r="I18" i="9" s="1"/>
  <c r="H17" i="9"/>
  <c r="G17" i="9"/>
  <c r="D17" i="9"/>
  <c r="I17" i="9" s="1"/>
  <c r="H16" i="9"/>
  <c r="G16" i="9"/>
  <c r="D16" i="9"/>
  <c r="I16" i="9" s="1"/>
  <c r="H15" i="9"/>
  <c r="G15" i="9"/>
  <c r="I15" i="9"/>
  <c r="H14" i="9"/>
  <c r="G14" i="9"/>
  <c r="I14" i="9"/>
  <c r="H13" i="9"/>
  <c r="G13" i="9"/>
  <c r="D13" i="9"/>
  <c r="I13" i="9" s="1"/>
  <c r="H12" i="9"/>
  <c r="G12" i="9"/>
  <c r="D12" i="9"/>
  <c r="I12" i="9" s="1"/>
  <c r="H11" i="9"/>
  <c r="G11" i="9"/>
  <c r="D11" i="9"/>
  <c r="I11" i="9" s="1"/>
  <c r="H10" i="9"/>
  <c r="G10" i="9"/>
  <c r="D10" i="9"/>
  <c r="I10" i="9" s="1"/>
  <c r="H9" i="9"/>
  <c r="G9" i="9"/>
  <c r="D9" i="9"/>
  <c r="I9" i="9" s="1"/>
  <c r="H8" i="9"/>
  <c r="G8" i="9"/>
  <c r="D8" i="9"/>
  <c r="I8" i="9" s="1"/>
  <c r="H7" i="9"/>
  <c r="G7" i="9"/>
  <c r="D7" i="9"/>
  <c r="I7" i="9" s="1"/>
  <c r="H6" i="9"/>
  <c r="G6" i="9"/>
  <c r="D6" i="9"/>
  <c r="I6" i="9" s="1"/>
  <c r="H5" i="9"/>
  <c r="G5" i="9"/>
  <c r="D5" i="9"/>
  <c r="I5" i="9" s="1"/>
  <c r="H4" i="9"/>
  <c r="G4" i="9"/>
  <c r="D4" i="9"/>
  <c r="I4" i="9" s="1"/>
  <c r="H3" i="9"/>
  <c r="G3" i="9"/>
  <c r="D3" i="9"/>
  <c r="I3" i="9" s="1"/>
  <c r="E7" i="18" l="1"/>
  <c r="G6" i="18"/>
  <c r="E27" i="13"/>
  <c r="G28" i="13"/>
  <c r="I91" i="20"/>
  <c r="J91" i="20"/>
  <c r="K91" i="20"/>
  <c r="C8" i="10"/>
  <c r="C9" i="10" s="1"/>
  <c r="C10" i="10" s="1"/>
  <c r="C11" i="10" s="1"/>
  <c r="C12" i="10" s="1"/>
  <c r="C13" i="10" s="1"/>
  <c r="C14" i="10" s="1"/>
  <c r="C15" i="10" s="1"/>
  <c r="C16" i="10" s="1"/>
  <c r="C17" i="10" s="1"/>
  <c r="C18" i="10" s="1"/>
  <c r="C19" i="10" s="1"/>
  <c r="F7" i="10"/>
  <c r="F2" i="10"/>
  <c r="F102" i="15"/>
  <c r="C26" i="18"/>
  <c r="G14" i="14"/>
  <c r="E13" i="14"/>
  <c r="F3" i="10"/>
  <c r="F4" i="10"/>
  <c r="F6" i="10"/>
  <c r="F5" i="10"/>
  <c r="D50" i="8"/>
  <c r="E8" i="18" l="1"/>
  <c r="G7" i="18"/>
  <c r="F10" i="10"/>
  <c r="F20" i="10" s="1"/>
  <c r="F22" i="10" s="1"/>
  <c r="F9" i="10"/>
  <c r="F8" i="10"/>
  <c r="E26" i="13"/>
  <c r="G27" i="13"/>
  <c r="K90" i="20"/>
  <c r="J90" i="20"/>
  <c r="I90" i="20"/>
  <c r="F101" i="15"/>
  <c r="C27" i="18"/>
  <c r="E12" i="14"/>
  <c r="G13" i="14"/>
  <c r="I23" i="8"/>
  <c r="H23" i="8"/>
  <c r="G23" i="8"/>
  <c r="H22" i="8"/>
  <c r="G22" i="8"/>
  <c r="D22" i="8"/>
  <c r="I22" i="8" s="1"/>
  <c r="H21" i="8"/>
  <c r="G21" i="8"/>
  <c r="D21" i="8"/>
  <c r="I21" i="8" s="1"/>
  <c r="H20" i="8"/>
  <c r="G20" i="8"/>
  <c r="D20" i="8"/>
  <c r="I20" i="8" s="1"/>
  <c r="H19" i="8"/>
  <c r="G19" i="8"/>
  <c r="D19" i="8"/>
  <c r="I19" i="8" s="1"/>
  <c r="H18" i="8"/>
  <c r="G18" i="8"/>
  <c r="D18" i="8"/>
  <c r="I18" i="8" s="1"/>
  <c r="H17" i="8"/>
  <c r="G17" i="8"/>
  <c r="D17" i="8"/>
  <c r="I17" i="8" s="1"/>
  <c r="H16" i="8"/>
  <c r="G16" i="8"/>
  <c r="D16" i="8"/>
  <c r="I16" i="8" s="1"/>
  <c r="H15" i="8"/>
  <c r="G15" i="8"/>
  <c r="D15" i="8"/>
  <c r="I15" i="8" s="1"/>
  <c r="H14" i="8"/>
  <c r="G14" i="8"/>
  <c r="D14" i="8"/>
  <c r="I14" i="8" s="1"/>
  <c r="H13" i="8"/>
  <c r="G13" i="8"/>
  <c r="D13" i="8"/>
  <c r="I13" i="8" s="1"/>
  <c r="H12" i="8"/>
  <c r="G12" i="8"/>
  <c r="D12" i="8"/>
  <c r="I12" i="8" s="1"/>
  <c r="H11" i="8"/>
  <c r="G11" i="8"/>
  <c r="D11" i="8"/>
  <c r="I11" i="8" s="1"/>
  <c r="H10" i="8"/>
  <c r="G10" i="8"/>
  <c r="D10" i="8"/>
  <c r="I10" i="8" s="1"/>
  <c r="H9" i="8"/>
  <c r="G9" i="8"/>
  <c r="D9" i="8"/>
  <c r="I9" i="8" s="1"/>
  <c r="H8" i="8"/>
  <c r="G8" i="8"/>
  <c r="D8" i="8"/>
  <c r="I8" i="8" s="1"/>
  <c r="H7" i="8"/>
  <c r="G7" i="8"/>
  <c r="D7" i="8"/>
  <c r="I7" i="8" s="1"/>
  <c r="H6" i="8"/>
  <c r="G6" i="8"/>
  <c r="D6" i="8"/>
  <c r="I6" i="8" s="1"/>
  <c r="H5" i="8"/>
  <c r="G5" i="8"/>
  <c r="D5" i="8"/>
  <c r="I5" i="8" s="1"/>
  <c r="H4" i="8"/>
  <c r="G4" i="8"/>
  <c r="D4" i="8"/>
  <c r="I4" i="8" s="1"/>
  <c r="H3" i="8"/>
  <c r="G3" i="8"/>
  <c r="D3" i="8"/>
  <c r="I3" i="8" s="1"/>
  <c r="E9" i="18" l="1"/>
  <c r="G8" i="18"/>
  <c r="E25" i="13"/>
  <c r="G26" i="13"/>
  <c r="I89" i="20"/>
  <c r="J89" i="20"/>
  <c r="K89" i="20"/>
  <c r="F100" i="15"/>
  <c r="C28" i="18"/>
  <c r="E11" i="14"/>
  <c r="G12" i="14"/>
  <c r="D3" i="7"/>
  <c r="I3" i="7" s="1"/>
  <c r="D4" i="7"/>
  <c r="I4" i="7" s="1"/>
  <c r="D5" i="7"/>
  <c r="I5" i="7" s="1"/>
  <c r="D6" i="7"/>
  <c r="I6" i="7" s="1"/>
  <c r="D7" i="7"/>
  <c r="I7" i="7" s="1"/>
  <c r="D8" i="7"/>
  <c r="I8" i="7" s="1"/>
  <c r="D9" i="7"/>
  <c r="I9" i="7" s="1"/>
  <c r="D10" i="7"/>
  <c r="I10" i="7" s="1"/>
  <c r="D11" i="7"/>
  <c r="I11" i="7" s="1"/>
  <c r="D12" i="7"/>
  <c r="I12" i="7" s="1"/>
  <c r="D13" i="7"/>
  <c r="I13" i="7" s="1"/>
  <c r="D14" i="7"/>
  <c r="I14" i="7" s="1"/>
  <c r="D15" i="7"/>
  <c r="D16" i="7"/>
  <c r="D17" i="7"/>
  <c r="I17" i="7" s="1"/>
  <c r="D18" i="7"/>
  <c r="I18" i="7" s="1"/>
  <c r="D19" i="7"/>
  <c r="I19" i="7" s="1"/>
  <c r="D20" i="7"/>
  <c r="I20" i="7" s="1"/>
  <c r="D21" i="7"/>
  <c r="I21" i="7" s="1"/>
  <c r="D22" i="7"/>
  <c r="I22" i="7" s="1"/>
  <c r="D39" i="7"/>
  <c r="I23" i="7"/>
  <c r="H23" i="7"/>
  <c r="G23" i="7"/>
  <c r="H22" i="7"/>
  <c r="G22" i="7"/>
  <c r="H21" i="7"/>
  <c r="G21" i="7"/>
  <c r="H20" i="7"/>
  <c r="G20" i="7"/>
  <c r="H19" i="7"/>
  <c r="G19" i="7"/>
  <c r="H18" i="7"/>
  <c r="G18" i="7"/>
  <c r="H17" i="7"/>
  <c r="G17" i="7"/>
  <c r="H16" i="7"/>
  <c r="G16" i="7"/>
  <c r="I16" i="7"/>
  <c r="H15" i="7"/>
  <c r="G15" i="7"/>
  <c r="I15" i="7"/>
  <c r="H14" i="7"/>
  <c r="G14" i="7"/>
  <c r="H13" i="7"/>
  <c r="G13" i="7"/>
  <c r="H12" i="7"/>
  <c r="G12" i="7"/>
  <c r="H11" i="7"/>
  <c r="G11" i="7"/>
  <c r="H10" i="7"/>
  <c r="G10" i="7"/>
  <c r="H9" i="7"/>
  <c r="G9" i="7"/>
  <c r="H8" i="7"/>
  <c r="G8" i="7"/>
  <c r="H7" i="7"/>
  <c r="G7" i="7"/>
  <c r="H6" i="7"/>
  <c r="G6" i="7"/>
  <c r="H5" i="7"/>
  <c r="G5" i="7"/>
  <c r="H4" i="7"/>
  <c r="G4" i="7"/>
  <c r="H3" i="7"/>
  <c r="G3" i="7"/>
  <c r="E10" i="18" l="1"/>
  <c r="G9" i="18"/>
  <c r="E24" i="13"/>
  <c r="G25" i="13"/>
  <c r="J88" i="20"/>
  <c r="K88" i="20"/>
  <c r="I88" i="20"/>
  <c r="F99" i="15"/>
  <c r="C29" i="18"/>
  <c r="E10" i="14"/>
  <c r="G11" i="14"/>
  <c r="I23" i="6"/>
  <c r="H17" i="6"/>
  <c r="H18" i="6"/>
  <c r="H19" i="6"/>
  <c r="H20" i="6"/>
  <c r="H21" i="6"/>
  <c r="H22" i="6"/>
  <c r="H23" i="6"/>
  <c r="G17" i="6"/>
  <c r="G18" i="6"/>
  <c r="G19" i="6"/>
  <c r="G20" i="6"/>
  <c r="G21" i="6"/>
  <c r="G22" i="6"/>
  <c r="G23" i="6"/>
  <c r="D39" i="6"/>
  <c r="D17" i="6"/>
  <c r="I17" i="6" s="1"/>
  <c r="D18" i="6"/>
  <c r="I18" i="6" s="1"/>
  <c r="D19" i="6"/>
  <c r="I19" i="6" s="1"/>
  <c r="D20" i="6"/>
  <c r="I20" i="6" s="1"/>
  <c r="D21" i="6"/>
  <c r="I21" i="6" s="1"/>
  <c r="D22" i="6"/>
  <c r="I22" i="6" s="1"/>
  <c r="E11" i="18" l="1"/>
  <c r="G10" i="18"/>
  <c r="E23" i="13"/>
  <c r="G24" i="13"/>
  <c r="K87" i="20"/>
  <c r="I87" i="20"/>
  <c r="J87" i="20"/>
  <c r="F98" i="15"/>
  <c r="C30" i="18"/>
  <c r="G10" i="14"/>
  <c r="E9" i="14"/>
  <c r="G13" i="6"/>
  <c r="H16" i="6"/>
  <c r="G16" i="6"/>
  <c r="E12" i="18" l="1"/>
  <c r="G11" i="18"/>
  <c r="G23" i="13"/>
  <c r="E22" i="13"/>
  <c r="J86" i="20"/>
  <c r="I86" i="20"/>
  <c r="K86" i="20"/>
  <c r="F97" i="15"/>
  <c r="C31" i="18"/>
  <c r="E8" i="14"/>
  <c r="G9" i="14"/>
  <c r="D3" i="6"/>
  <c r="I3" i="6" s="1"/>
  <c r="D4" i="6"/>
  <c r="I4" i="6" s="1"/>
  <c r="D5" i="6"/>
  <c r="D6" i="6"/>
  <c r="I6" i="6" s="1"/>
  <c r="D7" i="6"/>
  <c r="I7" i="6" s="1"/>
  <c r="D8" i="6"/>
  <c r="I8" i="6" s="1"/>
  <c r="D9" i="6"/>
  <c r="I9" i="6" s="1"/>
  <c r="D10" i="6"/>
  <c r="I10" i="6" s="1"/>
  <c r="D11" i="6"/>
  <c r="I11" i="6" s="1"/>
  <c r="D12" i="6"/>
  <c r="I12" i="6" s="1"/>
  <c r="D13" i="6"/>
  <c r="I13" i="6" s="1"/>
  <c r="D14" i="6"/>
  <c r="I14" i="6" s="1"/>
  <c r="D15" i="6"/>
  <c r="I15" i="6" s="1"/>
  <c r="D16" i="6"/>
  <c r="I16" i="6" s="1"/>
  <c r="H15" i="6"/>
  <c r="G15" i="6"/>
  <c r="H14" i="6"/>
  <c r="G14" i="6"/>
  <c r="H13" i="6"/>
  <c r="H12" i="6"/>
  <c r="G12" i="6"/>
  <c r="H11" i="6"/>
  <c r="G11" i="6"/>
  <c r="H10" i="6"/>
  <c r="G10" i="6"/>
  <c r="H9" i="6"/>
  <c r="G9" i="6"/>
  <c r="H8" i="6"/>
  <c r="G8" i="6"/>
  <c r="H7" i="6"/>
  <c r="G7" i="6"/>
  <c r="H6" i="6"/>
  <c r="G6" i="6"/>
  <c r="H5" i="6"/>
  <c r="G5" i="6"/>
  <c r="H4" i="6"/>
  <c r="G4" i="6"/>
  <c r="H3" i="6"/>
  <c r="G3" i="6"/>
  <c r="E13" i="18" l="1"/>
  <c r="G12" i="18"/>
  <c r="E21" i="13"/>
  <c r="G22" i="13"/>
  <c r="J85" i="20"/>
  <c r="K85" i="20"/>
  <c r="I85" i="20"/>
  <c r="F96" i="15"/>
  <c r="C32" i="18"/>
  <c r="E7" i="14"/>
  <c r="G8" i="14"/>
  <c r="I5" i="6"/>
  <c r="E14" i="18" l="1"/>
  <c r="G13" i="18"/>
  <c r="G21" i="13"/>
  <c r="E20" i="13"/>
  <c r="K84" i="20"/>
  <c r="I84" i="20"/>
  <c r="J84" i="20"/>
  <c r="F95" i="15"/>
  <c r="C33" i="18"/>
  <c r="E6" i="14"/>
  <c r="G7" i="14"/>
  <c r="H4" i="3"/>
  <c r="H5" i="3"/>
  <c r="H6" i="3"/>
  <c r="H7" i="3"/>
  <c r="H8" i="3"/>
  <c r="H9" i="3"/>
  <c r="H10" i="3"/>
  <c r="H11" i="3"/>
  <c r="H12" i="3"/>
  <c r="H13" i="3"/>
  <c r="H14" i="3"/>
  <c r="H15" i="3"/>
  <c r="G4" i="3"/>
  <c r="G5" i="3"/>
  <c r="G6" i="3"/>
  <c r="G7" i="3"/>
  <c r="G8" i="3"/>
  <c r="G9" i="3"/>
  <c r="G10" i="3"/>
  <c r="G11" i="3"/>
  <c r="G12" i="3"/>
  <c r="G13" i="3"/>
  <c r="G14" i="3"/>
  <c r="G15" i="3"/>
  <c r="D4" i="3"/>
  <c r="I4" i="3" s="1"/>
  <c r="D5" i="3"/>
  <c r="D6" i="3"/>
  <c r="I6" i="3" s="1"/>
  <c r="D7" i="3"/>
  <c r="I7" i="3" s="1"/>
  <c r="D8" i="3"/>
  <c r="I8" i="3" s="1"/>
  <c r="D9" i="3"/>
  <c r="I9" i="3" s="1"/>
  <c r="D10" i="3"/>
  <c r="I10" i="3" s="1"/>
  <c r="D11" i="3"/>
  <c r="I11" i="3" s="1"/>
  <c r="D12" i="3"/>
  <c r="I12" i="3" s="1"/>
  <c r="D13" i="3"/>
  <c r="I13" i="3" s="1"/>
  <c r="D14" i="3"/>
  <c r="I14" i="3" s="1"/>
  <c r="D15" i="3"/>
  <c r="I15" i="3" s="1"/>
  <c r="D16" i="3"/>
  <c r="D17" i="3"/>
  <c r="D18" i="3"/>
  <c r="D19" i="3"/>
  <c r="E17" i="18" l="1"/>
  <c r="E18" i="18" s="1"/>
  <c r="E19" i="18" s="1"/>
  <c r="E20" i="18" s="1"/>
  <c r="E21" i="18" s="1"/>
  <c r="E22" i="18" s="1"/>
  <c r="E23" i="18" s="1"/>
  <c r="E24" i="18" s="1"/>
  <c r="E25" i="18" s="1"/>
  <c r="E26" i="18" s="1"/>
  <c r="E27" i="18" s="1"/>
  <c r="E28" i="18" s="1"/>
  <c r="E29" i="18" s="1"/>
  <c r="E30" i="18" s="1"/>
  <c r="E31" i="18" s="1"/>
  <c r="E32" i="18" s="1"/>
  <c r="E33" i="18" s="1"/>
  <c r="G14" i="18"/>
  <c r="G20" i="13"/>
  <c r="E19" i="13"/>
  <c r="K83" i="20"/>
  <c r="I83" i="20"/>
  <c r="J83" i="20"/>
  <c r="F94" i="15"/>
  <c r="C34" i="18"/>
  <c r="G6" i="14"/>
  <c r="E5" i="14"/>
  <c r="I5" i="3"/>
  <c r="D29" i="3"/>
  <c r="D33" i="3" s="1"/>
  <c r="G3" i="2"/>
  <c r="D11" i="2"/>
  <c r="I11" i="2" s="1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" i="5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" i="5"/>
  <c r="D3" i="5"/>
  <c r="I3" i="5" s="1"/>
  <c r="D4" i="5"/>
  <c r="I4" i="5" s="1"/>
  <c r="D5" i="5"/>
  <c r="I5" i="5" s="1"/>
  <c r="D6" i="5"/>
  <c r="D7" i="5"/>
  <c r="I7" i="5" s="1"/>
  <c r="D8" i="5"/>
  <c r="I8" i="5" s="1"/>
  <c r="D9" i="5"/>
  <c r="I9" i="5" s="1"/>
  <c r="D10" i="5"/>
  <c r="I10" i="5" s="1"/>
  <c r="D11" i="5"/>
  <c r="I11" i="5" s="1"/>
  <c r="D12" i="5"/>
  <c r="I12" i="5" s="1"/>
  <c r="D13" i="5"/>
  <c r="I13" i="5" s="1"/>
  <c r="D14" i="5"/>
  <c r="I14" i="5" s="1"/>
  <c r="D15" i="5"/>
  <c r="I15" i="5" s="1"/>
  <c r="D16" i="5"/>
  <c r="I16" i="5" s="1"/>
  <c r="D17" i="5"/>
  <c r="I17" i="5" s="1"/>
  <c r="D18" i="5"/>
  <c r="I18" i="5" s="1"/>
  <c r="D19" i="5"/>
  <c r="I19" i="5" s="1"/>
  <c r="D20" i="5"/>
  <c r="D21" i="5"/>
  <c r="D2" i="5"/>
  <c r="I2" i="5" s="1"/>
  <c r="C24" i="5"/>
  <c r="C2" i="4" s="1"/>
  <c r="H2" i="4" s="1"/>
  <c r="B24" i="5"/>
  <c r="B2" i="4" s="1"/>
  <c r="I10" i="4"/>
  <c r="I11" i="4"/>
  <c r="H4" i="4"/>
  <c r="H5" i="4"/>
  <c r="H6" i="4"/>
  <c r="H7" i="4"/>
  <c r="H8" i="4"/>
  <c r="H9" i="4"/>
  <c r="H10" i="4"/>
  <c r="H11" i="4"/>
  <c r="G4" i="4"/>
  <c r="G5" i="4"/>
  <c r="G6" i="4"/>
  <c r="G7" i="4"/>
  <c r="G8" i="4"/>
  <c r="G9" i="4"/>
  <c r="G10" i="4"/>
  <c r="G11" i="4"/>
  <c r="D9" i="4"/>
  <c r="I9" i="4" s="1"/>
  <c r="D8" i="4"/>
  <c r="I8" i="4" s="1"/>
  <c r="D7" i="4"/>
  <c r="I7" i="4" s="1"/>
  <c r="D6" i="4"/>
  <c r="I6" i="4" s="1"/>
  <c r="D5" i="4"/>
  <c r="I5" i="4" s="1"/>
  <c r="D4" i="4"/>
  <c r="I4" i="4" s="1"/>
  <c r="H4" i="2"/>
  <c r="H5" i="2"/>
  <c r="H6" i="2"/>
  <c r="H7" i="2"/>
  <c r="H8" i="2"/>
  <c r="H9" i="2"/>
  <c r="H10" i="2"/>
  <c r="H11" i="2"/>
  <c r="G4" i="2"/>
  <c r="G5" i="2"/>
  <c r="G6" i="2"/>
  <c r="G7" i="2"/>
  <c r="G8" i="2"/>
  <c r="G9" i="2"/>
  <c r="G10" i="2"/>
  <c r="G11" i="2"/>
  <c r="D4" i="2"/>
  <c r="I4" i="2" s="1"/>
  <c r="D18" i="2"/>
  <c r="D17" i="2"/>
  <c r="D15" i="2"/>
  <c r="D14" i="2"/>
  <c r="D13" i="2"/>
  <c r="D12" i="2"/>
  <c r="D10" i="2"/>
  <c r="I10" i="2" s="1"/>
  <c r="D9" i="2"/>
  <c r="I9" i="2" s="1"/>
  <c r="D8" i="2"/>
  <c r="I8" i="2" s="1"/>
  <c r="D7" i="2"/>
  <c r="I7" i="2" s="1"/>
  <c r="D6" i="2"/>
  <c r="I6" i="2" s="1"/>
  <c r="D5" i="2"/>
  <c r="I5" i="2" s="1"/>
  <c r="E34" i="18" l="1"/>
  <c r="E18" i="13"/>
  <c r="G19" i="13"/>
  <c r="K82" i="20"/>
  <c r="J82" i="20"/>
  <c r="I82" i="20"/>
  <c r="F93" i="15"/>
  <c r="C35" i="18"/>
  <c r="E4" i="14"/>
  <c r="G5" i="14"/>
  <c r="H21" i="5"/>
  <c r="G21" i="5"/>
  <c r="G2" i="4"/>
  <c r="D2" i="4"/>
  <c r="B29" i="4" s="1"/>
  <c r="G3" i="3"/>
  <c r="D24" i="5"/>
  <c r="B21" i="4"/>
  <c r="B2" i="2" s="1"/>
  <c r="I6" i="5"/>
  <c r="I21" i="5" s="1"/>
  <c r="G3" i="4"/>
  <c r="H23" i="5" l="1"/>
  <c r="E17" i="13"/>
  <c r="G18" i="13"/>
  <c r="J81" i="20"/>
  <c r="K81" i="20"/>
  <c r="I81" i="20"/>
  <c r="F92" i="15"/>
  <c r="C36" i="18"/>
  <c r="E35" i="18"/>
  <c r="G4" i="14"/>
  <c r="E3" i="14"/>
  <c r="E2" i="14" s="1"/>
  <c r="I23" i="5"/>
  <c r="H3" i="4"/>
  <c r="H12" i="4" s="1"/>
  <c r="I3" i="4"/>
  <c r="C21" i="4"/>
  <c r="C2" i="2" s="1"/>
  <c r="H2" i="2" s="1"/>
  <c r="I2" i="4"/>
  <c r="G2" i="2"/>
  <c r="G12" i="2" s="1"/>
  <c r="B21" i="2"/>
  <c r="B2" i="3" s="1"/>
  <c r="G12" i="4"/>
  <c r="G25" i="4" s="1"/>
  <c r="G70" i="16" l="1"/>
  <c r="G73" i="16" s="1"/>
  <c r="G17" i="13"/>
  <c r="E16" i="13"/>
  <c r="J80" i="20"/>
  <c r="K80" i="20"/>
  <c r="I80" i="20"/>
  <c r="E36" i="18"/>
  <c r="F91" i="15"/>
  <c r="D2" i="2"/>
  <c r="D21" i="4"/>
  <c r="C37" i="18"/>
  <c r="G2" i="14"/>
  <c r="G3" i="14"/>
  <c r="I12" i="4"/>
  <c r="I17" i="4" s="1"/>
  <c r="G2" i="3"/>
  <c r="G19" i="3" s="1"/>
  <c r="G29" i="3" s="1"/>
  <c r="B21" i="3"/>
  <c r="B2" i="6" s="1"/>
  <c r="B24" i="6" s="1"/>
  <c r="B2" i="7" s="1"/>
  <c r="B24" i="7" s="1"/>
  <c r="B2" i="8" s="1"/>
  <c r="H17" i="4"/>
  <c r="I2" i="2"/>
  <c r="E37" i="18" l="1"/>
  <c r="G16" i="13"/>
  <c r="E15" i="13"/>
  <c r="K79" i="20"/>
  <c r="I79" i="20"/>
  <c r="J79" i="20"/>
  <c r="F90" i="15"/>
  <c r="C38" i="18"/>
  <c r="G27" i="14"/>
  <c r="G30" i="14" s="1"/>
  <c r="B24" i="8"/>
  <c r="B2" i="9" s="1"/>
  <c r="G2" i="8"/>
  <c r="G25" i="8" s="1"/>
  <c r="G2" i="7"/>
  <c r="G25" i="7" s="1"/>
  <c r="G2" i="6"/>
  <c r="G25" i="6" s="1"/>
  <c r="G36" i="6" s="1"/>
  <c r="H3" i="2"/>
  <c r="H12" i="2" s="1"/>
  <c r="H17" i="2" s="1"/>
  <c r="D3" i="2"/>
  <c r="C21" i="2"/>
  <c r="C2" i="3" s="1"/>
  <c r="E38" i="18" l="1"/>
  <c r="E14" i="13"/>
  <c r="G15" i="13"/>
  <c r="K78" i="20"/>
  <c r="J78" i="20"/>
  <c r="I78" i="20"/>
  <c r="F89" i="15"/>
  <c r="C39" i="18"/>
  <c r="B24" i="9"/>
  <c r="B2" i="11" s="1"/>
  <c r="G2" i="9"/>
  <c r="G25" i="9" s="1"/>
  <c r="H2" i="3"/>
  <c r="C21" i="3"/>
  <c r="C2" i="6" s="1"/>
  <c r="C24" i="6" s="1"/>
  <c r="C2" i="7" s="1"/>
  <c r="D2" i="3"/>
  <c r="I3" i="2"/>
  <c r="I12" i="2" s="1"/>
  <c r="I17" i="2" s="1"/>
  <c r="D21" i="2"/>
  <c r="H3" i="3"/>
  <c r="D3" i="3"/>
  <c r="I3" i="3" s="1"/>
  <c r="E39" i="18" l="1"/>
  <c r="G14" i="13"/>
  <c r="E13" i="13"/>
  <c r="J77" i="20"/>
  <c r="K77" i="20"/>
  <c r="I77" i="20"/>
  <c r="F88" i="15"/>
  <c r="B24" i="11"/>
  <c r="B2" i="12" s="1"/>
  <c r="G2" i="11"/>
  <c r="G25" i="11" s="1"/>
  <c r="C40" i="18"/>
  <c r="C24" i="7"/>
  <c r="C2" i="8" s="1"/>
  <c r="H2" i="7"/>
  <c r="D2" i="7"/>
  <c r="I2" i="3"/>
  <c r="I19" i="3" s="1"/>
  <c r="I24" i="3" s="1"/>
  <c r="D21" i="3"/>
  <c r="H2" i="6"/>
  <c r="D2" i="6"/>
  <c r="D24" i="6" s="1"/>
  <c r="H19" i="3"/>
  <c r="H24" i="3" s="1"/>
  <c r="G13" i="13" l="1"/>
  <c r="E12" i="13"/>
  <c r="J76" i="20"/>
  <c r="K76" i="20"/>
  <c r="I76" i="20"/>
  <c r="F87" i="15"/>
  <c r="G2" i="12"/>
  <c r="G25" i="12" s="1"/>
  <c r="B24" i="12"/>
  <c r="B2" i="17" s="1"/>
  <c r="C41" i="18"/>
  <c r="E40" i="18"/>
  <c r="H25" i="7"/>
  <c r="H30" i="7" s="1"/>
  <c r="H2" i="8"/>
  <c r="H25" i="8" s="1"/>
  <c r="H30" i="8" s="1"/>
  <c r="C24" i="8"/>
  <c r="C2" i="9" s="1"/>
  <c r="D2" i="8"/>
  <c r="D24" i="7"/>
  <c r="I2" i="7"/>
  <c r="H25" i="6"/>
  <c r="H30" i="6" s="1"/>
  <c r="I2" i="6"/>
  <c r="G12" i="13" l="1"/>
  <c r="E11" i="13"/>
  <c r="K75" i="20"/>
  <c r="J75" i="20"/>
  <c r="I75" i="20"/>
  <c r="F86" i="15"/>
  <c r="G2" i="17"/>
  <c r="G38" i="17" s="1"/>
  <c r="B24" i="17"/>
  <c r="B2" i="19" s="1"/>
  <c r="E41" i="18"/>
  <c r="C42" i="18"/>
  <c r="C24" i="9"/>
  <c r="C2" i="11" s="1"/>
  <c r="H2" i="9"/>
  <c r="H25" i="9" s="1"/>
  <c r="H30" i="9" s="1"/>
  <c r="D2" i="9"/>
  <c r="I25" i="7"/>
  <c r="I30" i="7" s="1"/>
  <c r="D24" i="8"/>
  <c r="I2" i="8"/>
  <c r="I25" i="8" s="1"/>
  <c r="I30" i="8" s="1"/>
  <c r="I25" i="6"/>
  <c r="I30" i="6" s="1"/>
  <c r="G11" i="13" l="1"/>
  <c r="E10" i="13"/>
  <c r="K74" i="20"/>
  <c r="I74" i="20"/>
  <c r="J74" i="20"/>
  <c r="F85" i="15"/>
  <c r="C24" i="11"/>
  <c r="C2" i="12" s="1"/>
  <c r="H2" i="11"/>
  <c r="H25" i="11" s="1"/>
  <c r="H30" i="11" s="1"/>
  <c r="D2" i="11"/>
  <c r="G2" i="19"/>
  <c r="G25" i="19" s="1"/>
  <c r="B24" i="19"/>
  <c r="B2" i="21" s="1"/>
  <c r="E42" i="18"/>
  <c r="C43" i="18"/>
  <c r="I2" i="9"/>
  <c r="I25" i="9" s="1"/>
  <c r="I30" i="9" s="1"/>
  <c r="D24" i="9"/>
  <c r="B25" i="21" l="1"/>
  <c r="B2" i="22" s="1"/>
  <c r="G2" i="21"/>
  <c r="G26" i="21" s="1"/>
  <c r="G31" i="21" s="1"/>
  <c r="G10" i="13"/>
  <c r="E9" i="13"/>
  <c r="J73" i="20"/>
  <c r="K73" i="20"/>
  <c r="I73" i="20"/>
  <c r="F84" i="15"/>
  <c r="D24" i="11"/>
  <c r="I2" i="11"/>
  <c r="C24" i="12"/>
  <c r="C2" i="17" s="1"/>
  <c r="H2" i="12"/>
  <c r="H25" i="12" s="1"/>
  <c r="H30" i="12" s="1"/>
  <c r="D2" i="12"/>
  <c r="C44" i="18"/>
  <c r="E43" i="18"/>
  <c r="B24" i="22" l="1"/>
  <c r="B2" i="23" s="1"/>
  <c r="G2" i="22"/>
  <c r="G25" i="22" s="1"/>
  <c r="G30" i="22" s="1"/>
  <c r="G9" i="13"/>
  <c r="E8" i="13"/>
  <c r="J72" i="20"/>
  <c r="I72" i="20"/>
  <c r="K72" i="20"/>
  <c r="F83" i="15"/>
  <c r="C24" i="17"/>
  <c r="C2" i="19" s="1"/>
  <c r="H2" i="17"/>
  <c r="H25" i="17" s="1"/>
  <c r="H30" i="17" s="1"/>
  <c r="D2" i="17"/>
  <c r="I25" i="11"/>
  <c r="I30" i="11" s="1"/>
  <c r="I2" i="12"/>
  <c r="I25" i="12" s="1"/>
  <c r="I30" i="12" s="1"/>
  <c r="D24" i="12"/>
  <c r="E44" i="18"/>
  <c r="C45" i="18"/>
  <c r="B24" i="23" l="1"/>
  <c r="G2" i="23"/>
  <c r="G25" i="23" s="1"/>
  <c r="G8" i="13"/>
  <c r="E7" i="13"/>
  <c r="K71" i="20"/>
  <c r="J71" i="20"/>
  <c r="I71" i="20"/>
  <c r="F82" i="15"/>
  <c r="I2" i="17"/>
  <c r="I25" i="17" s="1"/>
  <c r="I30" i="17" s="1"/>
  <c r="D24" i="17"/>
  <c r="H2" i="19"/>
  <c r="H25" i="19" s="1"/>
  <c r="H30" i="19" s="1"/>
  <c r="C24" i="19"/>
  <c r="C2" i="21" s="1"/>
  <c r="D2" i="19"/>
  <c r="E45" i="18"/>
  <c r="C46" i="18"/>
  <c r="H2" i="21" l="1"/>
  <c r="H26" i="21" s="1"/>
  <c r="H31" i="21" s="1"/>
  <c r="C25" i="21"/>
  <c r="C2" i="22" s="1"/>
  <c r="D2" i="21"/>
  <c r="G7" i="13"/>
  <c r="E6" i="13"/>
  <c r="K70" i="20"/>
  <c r="I70" i="20"/>
  <c r="J70" i="20"/>
  <c r="F81" i="15"/>
  <c r="I2" i="19"/>
  <c r="D24" i="19"/>
  <c r="E46" i="18"/>
  <c r="C47" i="18"/>
  <c r="E47" i="18" l="1"/>
  <c r="I25" i="19"/>
  <c r="I30" i="19" s="1"/>
  <c r="I2" i="21"/>
  <c r="I26" i="21" s="1"/>
  <c r="I31" i="21" s="1"/>
  <c r="D25" i="21"/>
  <c r="C24" i="22"/>
  <c r="C2" i="23" s="1"/>
  <c r="H2" i="22"/>
  <c r="H25" i="22" s="1"/>
  <c r="H30" i="22" s="1"/>
  <c r="D2" i="22"/>
  <c r="G6" i="13"/>
  <c r="E5" i="13"/>
  <c r="J69" i="20"/>
  <c r="I69" i="20"/>
  <c r="K69" i="20"/>
  <c r="F80" i="15"/>
  <c r="C48" i="18"/>
  <c r="E48" i="18" l="1"/>
  <c r="I2" i="22"/>
  <c r="I25" i="22" s="1"/>
  <c r="I30" i="22" s="1"/>
  <c r="D24" i="22"/>
  <c r="C24" i="23"/>
  <c r="H2" i="23"/>
  <c r="H30" i="23" s="1"/>
  <c r="D2" i="23"/>
  <c r="G5" i="13"/>
  <c r="E4" i="13"/>
  <c r="J68" i="20"/>
  <c r="I68" i="20"/>
  <c r="K68" i="20"/>
  <c r="F79" i="15"/>
  <c r="C49" i="18"/>
  <c r="E49" i="18" l="1"/>
  <c r="D24" i="23"/>
  <c r="I2" i="23"/>
  <c r="I25" i="23" s="1"/>
  <c r="I30" i="23" s="1"/>
  <c r="G4" i="13"/>
  <c r="E3" i="13"/>
  <c r="K67" i="20"/>
  <c r="I67" i="20"/>
  <c r="J67" i="20"/>
  <c r="F78" i="15"/>
  <c r="C50" i="18"/>
  <c r="E50" i="18" l="1"/>
  <c r="G3" i="13"/>
  <c r="E2" i="13"/>
  <c r="G2" i="13" s="1"/>
  <c r="G127" i="13" s="1"/>
  <c r="K66" i="20"/>
  <c r="J66" i="20"/>
  <c r="I66" i="20"/>
  <c r="F77" i="15"/>
  <c r="C51" i="18"/>
  <c r="G130" i="13" l="1"/>
  <c r="J65" i="20"/>
  <c r="I65" i="20"/>
  <c r="K65" i="20"/>
  <c r="F76" i="15"/>
  <c r="C52" i="18"/>
  <c r="E51" i="18"/>
  <c r="E52" i="18" l="1"/>
  <c r="K64" i="20"/>
  <c r="I64" i="20"/>
  <c r="J64" i="20"/>
  <c r="F75" i="15"/>
  <c r="C53" i="18"/>
  <c r="J63" i="20" l="1"/>
  <c r="K63" i="20"/>
  <c r="I63" i="20"/>
  <c r="F74" i="15"/>
  <c r="C54" i="18"/>
  <c r="E53" i="18"/>
  <c r="E54" i="18" l="1"/>
  <c r="I62" i="20"/>
  <c r="K62" i="20"/>
  <c r="J62" i="20"/>
  <c r="F73" i="15"/>
  <c r="C55" i="18"/>
  <c r="I61" i="20" l="1"/>
  <c r="J61" i="20"/>
  <c r="K61" i="20"/>
  <c r="F72" i="15"/>
  <c r="C56" i="18"/>
  <c r="E55" i="18"/>
  <c r="E56" i="18" l="1"/>
  <c r="I60" i="20"/>
  <c r="J60" i="20"/>
  <c r="K60" i="20"/>
  <c r="F71" i="15"/>
  <c r="C57" i="18"/>
  <c r="E57" i="18" l="1"/>
  <c r="J59" i="20"/>
  <c r="K59" i="20"/>
  <c r="I59" i="20"/>
  <c r="F70" i="15"/>
  <c r="C58" i="18"/>
  <c r="E58" i="18" l="1"/>
  <c r="I58" i="20"/>
  <c r="K58" i="20"/>
  <c r="J58" i="20"/>
  <c r="F69" i="15"/>
  <c r="C59" i="18"/>
  <c r="K57" i="20" l="1"/>
  <c r="J57" i="20"/>
  <c r="I57" i="20"/>
  <c r="F68" i="15"/>
  <c r="C60" i="18"/>
  <c r="E59" i="18"/>
  <c r="E60" i="18" l="1"/>
  <c r="I56" i="20"/>
  <c r="J56" i="20"/>
  <c r="K56" i="20"/>
  <c r="F67" i="15"/>
  <c r="C61" i="18"/>
  <c r="J55" i="20" l="1"/>
  <c r="K55" i="20"/>
  <c r="I55" i="20"/>
  <c r="F66" i="15"/>
  <c r="C62" i="18"/>
  <c r="E61" i="18"/>
  <c r="E62" i="18" l="1"/>
  <c r="I54" i="20"/>
  <c r="K54" i="20"/>
  <c r="J54" i="20"/>
  <c r="F65" i="15"/>
  <c r="K53" i="20" l="1"/>
  <c r="I53" i="20"/>
  <c r="J53" i="20"/>
  <c r="F64" i="15"/>
  <c r="I52" i="20" l="1"/>
  <c r="J52" i="20"/>
  <c r="K52" i="20"/>
  <c r="F63" i="15"/>
  <c r="J51" i="20" l="1"/>
  <c r="K51" i="20"/>
  <c r="I51" i="20"/>
  <c r="F62" i="15"/>
  <c r="I50" i="20" l="1"/>
  <c r="J50" i="20"/>
  <c r="K50" i="20"/>
  <c r="F61" i="15"/>
  <c r="K49" i="20" l="1"/>
  <c r="J49" i="20"/>
  <c r="I49" i="20"/>
  <c r="F60" i="15"/>
  <c r="I48" i="20" l="1"/>
  <c r="K48" i="20"/>
  <c r="J48" i="20"/>
  <c r="F59" i="15"/>
  <c r="J47" i="20" l="1"/>
  <c r="I47" i="20"/>
  <c r="K47" i="20"/>
  <c r="F58" i="15"/>
  <c r="I46" i="20" l="1"/>
  <c r="K46" i="20"/>
  <c r="J46" i="20"/>
  <c r="F57" i="15"/>
  <c r="I45" i="20" l="1"/>
  <c r="J45" i="20"/>
  <c r="K45" i="20"/>
  <c r="F56" i="15"/>
  <c r="I44" i="20" l="1"/>
  <c r="J44" i="20"/>
  <c r="K44" i="20"/>
  <c r="F55" i="15"/>
  <c r="J43" i="20" l="1"/>
  <c r="K43" i="20"/>
  <c r="I43" i="20"/>
  <c r="F54" i="15"/>
  <c r="I42" i="20" l="1"/>
  <c r="K42" i="20"/>
  <c r="J42" i="20"/>
  <c r="F53" i="15"/>
  <c r="K41" i="20" l="1"/>
  <c r="J41" i="20"/>
  <c r="I41" i="20"/>
  <c r="F52" i="15"/>
  <c r="I40" i="20" l="1"/>
  <c r="J40" i="20"/>
  <c r="K40" i="20"/>
  <c r="F51" i="15"/>
  <c r="J39" i="20" l="1"/>
  <c r="K39" i="20"/>
  <c r="I39" i="20"/>
  <c r="F50" i="15"/>
  <c r="I38" i="20" l="1"/>
  <c r="K38" i="20"/>
  <c r="J38" i="20"/>
  <c r="F49" i="15"/>
  <c r="I37" i="20" l="1"/>
  <c r="J37" i="20"/>
  <c r="K37" i="20"/>
  <c r="F48" i="15"/>
  <c r="I36" i="20" l="1"/>
  <c r="J36" i="20"/>
  <c r="K36" i="20"/>
  <c r="F47" i="15"/>
  <c r="J35" i="20" l="1"/>
  <c r="K35" i="20"/>
  <c r="I35" i="20"/>
  <c r="F46" i="15"/>
  <c r="K34" i="20" l="1"/>
  <c r="J34" i="20"/>
  <c r="I34" i="20"/>
  <c r="F45" i="15"/>
  <c r="K33" i="20" l="1"/>
  <c r="J33" i="20"/>
  <c r="I33" i="20"/>
  <c r="F44" i="15"/>
  <c r="J32" i="20" l="1"/>
  <c r="K32" i="20"/>
  <c r="I32" i="20"/>
  <c r="F43" i="15"/>
  <c r="J31" i="20" l="1"/>
  <c r="K31" i="20"/>
  <c r="I31" i="20"/>
  <c r="F42" i="15"/>
  <c r="J30" i="20" l="1"/>
  <c r="K30" i="20"/>
  <c r="I30" i="20"/>
  <c r="F41" i="15"/>
  <c r="I29" i="20" l="1"/>
  <c r="J29" i="20"/>
  <c r="K29" i="20"/>
  <c r="F40" i="15"/>
  <c r="I28" i="20" l="1"/>
  <c r="J28" i="20"/>
  <c r="K28" i="20"/>
  <c r="F39" i="15"/>
  <c r="J27" i="20" l="1"/>
  <c r="K27" i="20"/>
  <c r="I27" i="20"/>
  <c r="F38" i="15"/>
  <c r="J26" i="20" l="1"/>
  <c r="K26" i="20"/>
  <c r="I26" i="20"/>
  <c r="F37" i="15"/>
  <c r="K25" i="20" l="1"/>
  <c r="J25" i="20"/>
  <c r="I25" i="20"/>
  <c r="F36" i="15"/>
  <c r="I24" i="20" l="1"/>
  <c r="J24" i="20"/>
  <c r="K24" i="20"/>
  <c r="F35" i="15"/>
  <c r="J23" i="20" l="1"/>
  <c r="K23" i="20"/>
  <c r="I23" i="20"/>
  <c r="F34" i="15"/>
  <c r="J22" i="20" l="1"/>
  <c r="K22" i="20"/>
  <c r="I22" i="20"/>
  <c r="F33" i="15"/>
  <c r="I21" i="20" l="1"/>
  <c r="J21" i="20"/>
  <c r="K21" i="20"/>
  <c r="F32" i="15"/>
  <c r="I20" i="20" l="1"/>
  <c r="J20" i="20"/>
  <c r="K20" i="20"/>
  <c r="F31" i="15"/>
  <c r="J19" i="20" l="1"/>
  <c r="K19" i="20"/>
  <c r="I19" i="20"/>
  <c r="F30" i="15"/>
  <c r="K18" i="20" l="1"/>
  <c r="I18" i="20"/>
  <c r="J18" i="20"/>
  <c r="F29" i="15"/>
  <c r="I17" i="20" l="1"/>
  <c r="K17" i="20"/>
  <c r="J17" i="20"/>
  <c r="F28" i="15"/>
  <c r="I16" i="20" l="1"/>
  <c r="J16" i="20"/>
  <c r="K16" i="20"/>
  <c r="F27" i="15"/>
  <c r="J15" i="20" l="1"/>
  <c r="K15" i="20"/>
  <c r="I15" i="20"/>
  <c r="F26" i="15"/>
  <c r="K14" i="20" l="1"/>
  <c r="I14" i="20"/>
  <c r="J14" i="20"/>
  <c r="F25" i="15"/>
  <c r="I13" i="20" l="1"/>
  <c r="J13" i="20"/>
  <c r="K13" i="20"/>
  <c r="F24" i="15"/>
  <c r="I12" i="20" l="1"/>
  <c r="J12" i="20"/>
  <c r="K12" i="20"/>
  <c r="F23" i="15"/>
  <c r="J11" i="20" l="1"/>
  <c r="K11" i="20"/>
  <c r="I11" i="20"/>
  <c r="F22" i="15"/>
  <c r="K10" i="20" l="1"/>
  <c r="I10" i="20"/>
  <c r="J10" i="20"/>
  <c r="F21" i="15"/>
  <c r="J9" i="20" l="1"/>
  <c r="K9" i="20"/>
  <c r="I9" i="20"/>
  <c r="F20" i="15"/>
  <c r="I8" i="20" l="1"/>
  <c r="K8" i="20"/>
  <c r="J8" i="20"/>
  <c r="F19" i="15"/>
  <c r="J7" i="20" l="1"/>
  <c r="K7" i="20"/>
  <c r="I7" i="20"/>
  <c r="F18" i="15"/>
  <c r="K6" i="20" l="1"/>
  <c r="J6" i="20"/>
  <c r="I6" i="20"/>
  <c r="F17" i="15"/>
  <c r="I5" i="20" l="1"/>
  <c r="J5" i="20"/>
  <c r="K5" i="20"/>
  <c r="F16" i="15"/>
  <c r="I4" i="20" l="1"/>
  <c r="J4" i="20"/>
  <c r="K4" i="20"/>
  <c r="F15" i="15"/>
  <c r="J3" i="20" l="1"/>
  <c r="K3" i="20"/>
  <c r="I3" i="20"/>
  <c r="F14" i="15"/>
  <c r="K2" i="20" l="1"/>
  <c r="K156" i="20" s="1"/>
  <c r="J2" i="20"/>
  <c r="J156" i="20" s="1"/>
  <c r="I2" i="20"/>
  <c r="I156" i="20" s="1"/>
  <c r="I159" i="20" s="1"/>
  <c r="F13" i="15"/>
  <c r="J159" i="20" l="1"/>
  <c r="K159" i="20"/>
  <c r="F12" i="15"/>
  <c r="J163" i="20" l="1"/>
  <c r="K163" i="20"/>
  <c r="F11" i="15"/>
  <c r="F10" i="15" l="1"/>
  <c r="F9" i="15" l="1"/>
  <c r="F8" i="15" l="1"/>
  <c r="F7" i="15" l="1"/>
  <c r="F6" i="15" l="1"/>
  <c r="F5" i="15" l="1"/>
  <c r="F4" i="15" l="1"/>
  <c r="F2" i="15" l="1"/>
  <c r="F3" i="15"/>
  <c r="F202" i="15" l="1"/>
  <c r="F205" i="15" s="1"/>
</calcChain>
</file>

<file path=xl/sharedStrings.xml><?xml version="1.0" encoding="utf-8"?>
<sst xmlns="http://schemas.openxmlformats.org/spreadsheetml/2006/main" count="2526" uniqueCount="1077">
  <si>
    <t>18/1/95</t>
  </si>
  <si>
    <t>افتتاح حساب</t>
  </si>
  <si>
    <t>19/1/95</t>
  </si>
  <si>
    <t>21/1/95</t>
  </si>
  <si>
    <t>سهم سارا</t>
  </si>
  <si>
    <t>سهم علی</t>
  </si>
  <si>
    <t>مجموع</t>
  </si>
  <si>
    <t>28/1/95</t>
  </si>
  <si>
    <t>توضیحات</t>
  </si>
  <si>
    <t>انتقال از حساب مادر</t>
  </si>
  <si>
    <t>سود سارا در یک روزی که پول در حساب مادرم بود</t>
  </si>
  <si>
    <t>واریز مریم از قوامین</t>
  </si>
  <si>
    <t>برداشت علی</t>
  </si>
  <si>
    <t>برداشت علی 200 نقدی و 1 میلیون برای کرایه خانه</t>
  </si>
  <si>
    <t>نقدی از عابر بانک برای موبایل دیجی کالا</t>
  </si>
  <si>
    <t>انتقال به حساب ملت خودم 500 قسط مریم و 200 برای خرج کردن</t>
  </si>
  <si>
    <t>13/2/95</t>
  </si>
  <si>
    <t>واریز از کارت ملت علی</t>
  </si>
  <si>
    <t>دریافت از عابر بانک علی</t>
  </si>
  <si>
    <t>17/2/95</t>
  </si>
  <si>
    <t>مریم آرایشگاه ابرو</t>
  </si>
  <si>
    <t>22/2/95</t>
  </si>
  <si>
    <t>مریم دکتر زایمان ویزیت و نوار قلب</t>
  </si>
  <si>
    <t>23/2/95</t>
  </si>
  <si>
    <t>وام مریم که شفاعی ریخت</t>
  </si>
  <si>
    <t xml:space="preserve"> </t>
  </si>
  <si>
    <t>علی از عابر بانک گرفت</t>
  </si>
  <si>
    <t>27/2/95</t>
  </si>
  <si>
    <t>28/2/95</t>
  </si>
  <si>
    <t>بیمارستان بهمن</t>
  </si>
  <si>
    <t>29/2/95</t>
  </si>
  <si>
    <t>سود اردیبهشت باید تقسیم شود</t>
  </si>
  <si>
    <t>علی از عابربانک به بانک سپه</t>
  </si>
  <si>
    <t>واریز حقوق علی</t>
  </si>
  <si>
    <t>واریز حقوق مریم</t>
  </si>
  <si>
    <t>امتیاز کل</t>
  </si>
  <si>
    <t>امتیاز سارا</t>
  </si>
  <si>
    <t>امتیاز علی</t>
  </si>
  <si>
    <t>سود سارا</t>
  </si>
  <si>
    <t>سود علی</t>
  </si>
  <si>
    <t>کل پول سارا</t>
  </si>
  <si>
    <t>کل پول علی</t>
  </si>
  <si>
    <t>تعداد روز تا پرداخت سود</t>
  </si>
  <si>
    <t>انتقال به داود سهرابی</t>
  </si>
  <si>
    <t>23/3/95</t>
  </si>
  <si>
    <t>انتقال مریم به کارت</t>
  </si>
  <si>
    <t>31/03/95</t>
  </si>
  <si>
    <t>مریم خرید کرد</t>
  </si>
  <si>
    <t>سود خرداد باید تقسیم شود</t>
  </si>
  <si>
    <t>خرید سارا</t>
  </si>
  <si>
    <t>انتقال به کارت ملت مریم</t>
  </si>
  <si>
    <t>سارا بیعانه اجاره خانه</t>
  </si>
  <si>
    <t>20/4/95</t>
  </si>
  <si>
    <t>علی بابت رهن خانه جدید</t>
  </si>
  <si>
    <t>22/4/1395</t>
  </si>
  <si>
    <t>23/4/1395</t>
  </si>
  <si>
    <t>سارا ریخت به حساب مریم</t>
  </si>
  <si>
    <t>1/5/1395</t>
  </si>
  <si>
    <t>31/3/1395</t>
  </si>
  <si>
    <t>موجودی از ماه قبل</t>
  </si>
  <si>
    <t>واریز</t>
  </si>
  <si>
    <t>خرید</t>
  </si>
  <si>
    <t xml:space="preserve">امتیاز کل </t>
  </si>
  <si>
    <t>31/2/1395</t>
  </si>
  <si>
    <t>سود کل خرداد</t>
  </si>
  <si>
    <t>کل سود تیر</t>
  </si>
  <si>
    <t>سود کل اردیبهشت</t>
  </si>
  <si>
    <t>کل سود مرداد</t>
  </si>
  <si>
    <t>سود تیر باید تقسیم شود</t>
  </si>
  <si>
    <t>31/4/1395</t>
  </si>
  <si>
    <t>خنثی سازی سود قرض</t>
  </si>
  <si>
    <t>12/5/1395</t>
  </si>
  <si>
    <t>کاظم 5.5 به حساب سپه علی ریخت</t>
  </si>
  <si>
    <t>13/5/1395</t>
  </si>
  <si>
    <t>مابقی 5.5 از بانک سپه به مسکن</t>
  </si>
  <si>
    <t>علی نقدی گرفت از حساب سپه</t>
  </si>
  <si>
    <t>16/5/1395</t>
  </si>
  <si>
    <t>علی کارت کشید خرید ماهی</t>
  </si>
  <si>
    <t>20/5/1395</t>
  </si>
  <si>
    <t>علی از عابر بانک بابت خرید میز و صندلی کامپیوتر</t>
  </si>
  <si>
    <t>11/5/1395</t>
  </si>
  <si>
    <t>علی نقدی گرفت از عابر بانک بابت اسباب کشی</t>
  </si>
  <si>
    <t>علی از ملت به کارت مسکن ریخت گرفتن پول پیش خانه امیر آباد</t>
  </si>
  <si>
    <t>22/5/1395</t>
  </si>
  <si>
    <t>مریم میز تلوزیون خرید</t>
  </si>
  <si>
    <t>بدهی علی به مریم</t>
  </si>
  <si>
    <t>بعلاوه پولهای بیمه تکمیلی</t>
  </si>
  <si>
    <t>26/5/1395</t>
  </si>
  <si>
    <t>علی به اکبریان داد بابت خرید دستگاه تصفیه آب</t>
  </si>
  <si>
    <t>مانده تا 26</t>
  </si>
  <si>
    <t>31/5/1395</t>
  </si>
  <si>
    <t>1/6/1395</t>
  </si>
  <si>
    <t>سود مرداد باید تقسیم شود</t>
  </si>
  <si>
    <t>علی واریز کرد به حساب مریم (الان 26 میلیون بدهکارم)</t>
  </si>
  <si>
    <t>دستی دادم</t>
  </si>
  <si>
    <t>از قبل</t>
  </si>
  <si>
    <t>10/6/1395</t>
  </si>
  <si>
    <t>خرید قرص ماشین ظرفشویی</t>
  </si>
  <si>
    <t>خرید ظرف غذا و خورده ریز</t>
  </si>
  <si>
    <t>خرید سوفله</t>
  </si>
  <si>
    <t>دستی گرفتم</t>
  </si>
  <si>
    <t>11/6/1395</t>
  </si>
  <si>
    <t>خرید ساندویچ ساز 170 توستر 150 ترازو 175 آبمیوه گیری 200 مخلوط کن 370</t>
  </si>
  <si>
    <t>انتقال به بانک ملت علی</t>
  </si>
  <si>
    <t>مریم خرید</t>
  </si>
  <si>
    <t>14/6/1395</t>
  </si>
  <si>
    <t>سارا واریز کرد کلا 4.5 که در 3 مرحله به حساب واریز شد</t>
  </si>
  <si>
    <t>15/6/1395</t>
  </si>
  <si>
    <t>19/6/1395</t>
  </si>
  <si>
    <t>برآیند سفر بانه</t>
  </si>
  <si>
    <t>چوب پرده</t>
  </si>
  <si>
    <t>17/6/1395</t>
  </si>
  <si>
    <t>سارا واریز کرد کلا 4 میلیون در دو مرحله</t>
  </si>
  <si>
    <t>دستی به مریم دادم برای تولد</t>
  </si>
  <si>
    <t>24/06/1395</t>
  </si>
  <si>
    <t>مریم گرفت برای دکتر</t>
  </si>
  <si>
    <t>19/6 گرفتم</t>
  </si>
  <si>
    <t>28/06/1395</t>
  </si>
  <si>
    <t>28/6 گرفتم</t>
  </si>
  <si>
    <t>29/6 دادم 50 برای تولد رضا و 60 نقدی</t>
  </si>
  <si>
    <t>31/06/1395</t>
  </si>
  <si>
    <t>مریم بابت سونوگرافی داد</t>
  </si>
  <si>
    <t>31/6/1395</t>
  </si>
  <si>
    <t>1/7/1395</t>
  </si>
  <si>
    <t>سود شهریور باید تقسیم شود</t>
  </si>
  <si>
    <t>به حساب ریختم برای قسط و شفاعی</t>
  </si>
  <si>
    <t>19/7/1395</t>
  </si>
  <si>
    <t>علی گرفت بابت کرم و ظرف چینی</t>
  </si>
  <si>
    <t>شماره کارت</t>
  </si>
  <si>
    <t>شماره حساب</t>
  </si>
  <si>
    <t>شماره شبا</t>
  </si>
  <si>
    <t>26/7/1395</t>
  </si>
  <si>
    <t>علی واریز کرد بابت پول سکه منهای اینترنت و کرم</t>
  </si>
  <si>
    <t>29/7/1395</t>
  </si>
  <si>
    <t>خرید دارو پدیلاکت و قرص روی و ویتامین</t>
  </si>
  <si>
    <t>سود مهر باید تقسیم شود</t>
  </si>
  <si>
    <t>علی گرفت بابت قسط و کلاس و ...</t>
  </si>
  <si>
    <t>30/7/1395</t>
  </si>
  <si>
    <t>1/8/1395</t>
  </si>
  <si>
    <t>3/8/1395</t>
  </si>
  <si>
    <t>مریم دکتر رفت</t>
  </si>
  <si>
    <t>2/8/1395</t>
  </si>
  <si>
    <t>از مسکن 805500 گرفتم و 200000 انتقال دادم به حساب ملت مریم</t>
  </si>
  <si>
    <t>10/8/1395</t>
  </si>
  <si>
    <t>علی ریخت از کارت ایلیا</t>
  </si>
  <si>
    <t>در تاریخ 10/8/95 ریختم</t>
  </si>
  <si>
    <t>11/8/1395</t>
  </si>
  <si>
    <t>مهدی مستقیم واریز کرد</t>
  </si>
  <si>
    <t>در تاریخ 11/8/95 مهدی مستقیم واریز کرد</t>
  </si>
  <si>
    <t>13/8/1395</t>
  </si>
  <si>
    <t>در تاریخ 13/8/1395 مهدی مستقیم واریز کرد</t>
  </si>
  <si>
    <t>14/8/1395</t>
  </si>
  <si>
    <t>در تاریخ 14/8/1395 مهدی واریز کرد</t>
  </si>
  <si>
    <t>15/8/1395</t>
  </si>
  <si>
    <t>سارا از کارت برداشت کرد</t>
  </si>
  <si>
    <t>16/8/1395</t>
  </si>
  <si>
    <t>مریم اینترنتی داد 16/8/1395</t>
  </si>
  <si>
    <t>18/8/1395</t>
  </si>
  <si>
    <t>علی از عابربانک گرفت</t>
  </si>
  <si>
    <t>17/8/1395</t>
  </si>
  <si>
    <t>مریم خرید کرد (مرغ و ...)</t>
  </si>
  <si>
    <t>علی 140 گرفت و 60 نقدی داد به مریم</t>
  </si>
  <si>
    <t>20/8/1395</t>
  </si>
  <si>
    <t>19/8/1395</t>
  </si>
  <si>
    <t>مریم برای دکتر</t>
  </si>
  <si>
    <t>علی در تاریخ 20/8 از عابر بانک گرفت</t>
  </si>
  <si>
    <t>دو عدد کرم و آزمایش بیمارستان آراد</t>
  </si>
  <si>
    <t>نقدی به مریم دادم</t>
  </si>
  <si>
    <t>23/8/1395</t>
  </si>
  <si>
    <t>علی از بانک ملت ریخت</t>
  </si>
  <si>
    <t>به حساب ملت ریختم 27/8/95</t>
  </si>
  <si>
    <t>به حساب مسکن ریختم 27/8/1395</t>
  </si>
  <si>
    <t>27/8/1395</t>
  </si>
  <si>
    <t>علی از حساب ملت ریخت</t>
  </si>
  <si>
    <t>30/8/1395</t>
  </si>
  <si>
    <t>1/9/1395</t>
  </si>
  <si>
    <t>سود آبان باید تقسیم شود</t>
  </si>
  <si>
    <t>بدهی بیمه تکمیل</t>
  </si>
  <si>
    <t>بدهی کارت رفاه</t>
  </si>
  <si>
    <t>25/6/1395</t>
  </si>
  <si>
    <t>تاریخ</t>
  </si>
  <si>
    <t>مبلغ واریزی</t>
  </si>
  <si>
    <t>کل</t>
  </si>
  <si>
    <t>تعداد روز</t>
  </si>
  <si>
    <t>5/9/1395</t>
  </si>
  <si>
    <t>بدهی اولیه</t>
  </si>
  <si>
    <t>مهدی در چند مرحله کارت به کارت کرد</t>
  </si>
  <si>
    <t>وام بانک رفاه</t>
  </si>
  <si>
    <t>6/9/1395</t>
  </si>
  <si>
    <t>مجموع میلیون روز</t>
  </si>
  <si>
    <t>درصد سود</t>
  </si>
  <si>
    <t>مجموع سود</t>
  </si>
  <si>
    <t>4/9/1395</t>
  </si>
  <si>
    <t>علی از عابربانک گرفت خرید ظروف گلی</t>
  </si>
  <si>
    <t>خرید پاور بانک و پوشک از دیجی کالا</t>
  </si>
  <si>
    <t>مبلغ 10 دستی، 66 هزار مانده از خرید ظروف گلی و 49 پوشک دیجی کالا</t>
  </si>
  <si>
    <t>7/9/1395</t>
  </si>
  <si>
    <t>مامان به کارت ایلیا ریخت</t>
  </si>
  <si>
    <t>به صورت نقد دادم</t>
  </si>
  <si>
    <t>9/9/1395 فروش حواله 206 در حساب ایلیا</t>
  </si>
  <si>
    <t>سهم علی از فروش حواله اول</t>
  </si>
  <si>
    <t>13/09/1395</t>
  </si>
  <si>
    <t>علی 3 تومن به کارت مسکن مریم ریخت و 200 نقدی که 170 را به مریم داد</t>
  </si>
  <si>
    <t>هزینه صلح حواله اول</t>
  </si>
  <si>
    <t>فروش حواله دوم در تاریخ 13/9/1395</t>
  </si>
  <si>
    <t>از بانک 200 گرفتم 170 به مریم دادم و 25 هزینه دفتر خانه حواله دوم</t>
  </si>
  <si>
    <t>سهم علی از فروش حواله دوم (حواله دوم سهم نمایندگی پرداخت نشد)</t>
  </si>
  <si>
    <t>14/09/1395</t>
  </si>
  <si>
    <t>علی 3 تومن به کارت مسکن مریم ریخت و 200 نقدی که بدهکار شد.</t>
  </si>
  <si>
    <t>نقدی از کارت سارا گرفتم 14/9/95</t>
  </si>
  <si>
    <t>از کارت ایلیا به کارت مریم ریختم 14/9/1395</t>
  </si>
  <si>
    <t>15/09/1395</t>
  </si>
  <si>
    <t>علی 3 به کارت مسکن مریم ریخت و 200 هم نقدی به مریم داد به بازار برود</t>
  </si>
  <si>
    <t>فروش حواله سوم در تاریخ 15/9/1395</t>
  </si>
  <si>
    <t>سهم علی از فروش حواله سوم</t>
  </si>
  <si>
    <t>سهم علی از پول نمایندگی حواله دوم</t>
  </si>
  <si>
    <t>16/09/1395</t>
  </si>
  <si>
    <t>علی 3 به کارت ملت ریخت و 200 نقدی برای ثبت نام حواله</t>
  </si>
  <si>
    <t>تاریخ 16/9/95 به حساب ملت ریختم از کارت سارا</t>
  </si>
  <si>
    <t>تاریخ 16/9/95 به حساب ملت ریختم از کارت مریم</t>
  </si>
  <si>
    <t>تاریخ 16/9/95 مبلغ 3 میلیون به کارت مسکن و 800 هزار تومن به حساب ملت مریم ریختم</t>
  </si>
  <si>
    <t>تاریخ 17/9/1395 از بانک ملت خودم ساتنا به حساب مریم</t>
  </si>
  <si>
    <t>17/9/1395</t>
  </si>
  <si>
    <t>علی 3 به کارت مسکن مریم ریخت و 200 هم برای خودش نقد گرفت</t>
  </si>
  <si>
    <t>تاریخ 17/9/1395 از کارت سارا نقد گرفتم</t>
  </si>
  <si>
    <t>18/9/1395</t>
  </si>
  <si>
    <t>علی 3 به کارت ملت مریم ریخت و 200 هم نقدی به مریم داد برای بازار</t>
  </si>
  <si>
    <t>سهم علی از تامین اجتماعی تولد ایلیا (1.1 بیمه ریخت، 660 بیمه تکمیلی ایلیا، 50 موجودی حساب، 998330 تومن در تاریخ 20/9/1395 به حساب مسکن مریم ریختم</t>
  </si>
  <si>
    <t>20/9/1395</t>
  </si>
  <si>
    <t>به غیر از 5 هزار تومن بقیه را به مسکن مریم انتقال دادم</t>
  </si>
  <si>
    <t>تاریخ 20/9/95 از حساب سارا برداشتم</t>
  </si>
  <si>
    <t>تاریخ 20/9/95 از حساب ایلیا به حساب مریم رختم</t>
  </si>
  <si>
    <t>حداقل مدت انتظار (ماه)</t>
  </si>
  <si>
    <t>ضریب (برابر متوسط موجودی)</t>
  </si>
  <si>
    <t>سقف اوراق قابل تخصیص (میلیون تومان)</t>
  </si>
  <si>
    <t>حداکثر متوسط موجودی برای از بین نرفتن امتیاز</t>
  </si>
  <si>
    <t>تاریخ 22/9/95 از بانک ملت مریم به داریوش قرض دادم</t>
  </si>
  <si>
    <t>30/9/1395</t>
  </si>
  <si>
    <t>علی از عابر بانک گرفت برای خرید کامپیوتر</t>
  </si>
  <si>
    <t>تاریخ 30/9/95 از عابر بانک سارا گرفتم</t>
  </si>
  <si>
    <t>کل سود آذر</t>
  </si>
  <si>
    <t>1/10/1395</t>
  </si>
  <si>
    <t>سود آذر ماه</t>
  </si>
  <si>
    <t>قرص pre nutal</t>
  </si>
  <si>
    <t xml:space="preserve">یک کیلو عسل </t>
  </si>
  <si>
    <t>6/10/1395</t>
  </si>
  <si>
    <t>علی از کارت ملت ریخت</t>
  </si>
  <si>
    <t>تاریخ 6/10/95 از کارت ملت به کارت سارا ریختم</t>
  </si>
  <si>
    <t>9/10/1395</t>
  </si>
  <si>
    <t>خرید تخت ایلیا</t>
  </si>
  <si>
    <t>14/10/1395</t>
  </si>
  <si>
    <t>علی از کارت ایلیا ریخت</t>
  </si>
  <si>
    <t>ریختن پول تخت ایلیا به حساب سارا</t>
  </si>
  <si>
    <t>از کارت بانک رفاه از عابربانک گرفتم</t>
  </si>
  <si>
    <t>پول فروش موکت</t>
  </si>
  <si>
    <t>سهم مریم از صافکاری ماشین</t>
  </si>
  <si>
    <t>از حساب ملت مریم به حساب خودم ریختم</t>
  </si>
  <si>
    <t>تاریخ 29/10/95 از کارت ایلیا به کارت ملت مریم ریختم</t>
  </si>
  <si>
    <t>تاریخ 2/11/95 یک تومن هم از مریم گرفتم و 3 تومن از کارت ملت علی به کارت مسکن مریم ریختم</t>
  </si>
  <si>
    <t>تاریخ 2/11/95 اینترنت رایتل 36 گیگ یکساله خریدم از کارت ملت</t>
  </si>
  <si>
    <t>تاریخ 4/11/1395 مبلغ 3 میلیون از کارت ایلیا به کارت سارا ریختم</t>
  </si>
  <si>
    <t>30/10/1395</t>
  </si>
  <si>
    <t>1/11/1395</t>
  </si>
  <si>
    <t>4/11/1395</t>
  </si>
  <si>
    <t>سود دی ماه</t>
  </si>
  <si>
    <t>هزینه نقاشی سهم مریم</t>
  </si>
  <si>
    <t>تاریخ 8/11/95 از حساب ملت مریم 850 گرفتم و 500 انتقال دادم به حساب مسکن مریم و 350 ماند</t>
  </si>
  <si>
    <t>مبلغ</t>
  </si>
  <si>
    <t>8/11/1395</t>
  </si>
  <si>
    <t>علی انتقال داد</t>
  </si>
  <si>
    <t>2/11/1395</t>
  </si>
  <si>
    <t>سود دی و آذر</t>
  </si>
  <si>
    <t>16/10/1395</t>
  </si>
  <si>
    <t>15/10/1395</t>
  </si>
  <si>
    <t>2/10/1395</t>
  </si>
  <si>
    <t>16/9/1395</t>
  </si>
  <si>
    <t>15/9/1395</t>
  </si>
  <si>
    <t>14/9/1395</t>
  </si>
  <si>
    <t>13/9/1395</t>
  </si>
  <si>
    <t>9/9/1395</t>
  </si>
  <si>
    <t>تعداد روز تا تراکنش بعدی</t>
  </si>
  <si>
    <t>تعداد کا روزهایی که از تراکنش گذشته است</t>
  </si>
  <si>
    <t>امتیاز</t>
  </si>
  <si>
    <t>مجموع موجودی</t>
  </si>
  <si>
    <t>مجموع امتیاز</t>
  </si>
  <si>
    <t>اصلاح واریز و برداشت</t>
  </si>
  <si>
    <t>متوسط موجودی</t>
  </si>
  <si>
    <t>تاریخ افتتاح حساب</t>
  </si>
  <si>
    <t>مریم خ یاران</t>
  </si>
  <si>
    <t>مریم سید الشهدا</t>
  </si>
  <si>
    <t>علی سید الشهدا</t>
  </si>
  <si>
    <t>ایلیا اشرفی اصفهانی</t>
  </si>
  <si>
    <t>14/11/1395</t>
  </si>
  <si>
    <t>IR360140040000410023384051</t>
  </si>
  <si>
    <t>IR250140040000410023383764</t>
  </si>
  <si>
    <t>10/03/1395</t>
  </si>
  <si>
    <t>علی سیبا</t>
  </si>
  <si>
    <t>مریم سیبا</t>
  </si>
  <si>
    <t>0-215965442006</t>
  </si>
  <si>
    <t>0-221983661009</t>
  </si>
  <si>
    <t>حساب مسکن ایلیا</t>
  </si>
  <si>
    <t>موجودی از سال قبل</t>
  </si>
  <si>
    <t>دریافت طلبهای مختلف از سازمان</t>
  </si>
  <si>
    <t>تاریخ 14/11/95 برای افتتاح حساب مسکن مریم به بانک دادم</t>
  </si>
  <si>
    <t>خرج خانه سال 96</t>
  </si>
  <si>
    <t>هزینه ماهیانه</t>
  </si>
  <si>
    <t>شارژ مجتمع</t>
  </si>
  <si>
    <t>پوشک</t>
  </si>
  <si>
    <t>میوه</t>
  </si>
  <si>
    <t>گوشت و مرغ  و ماهی</t>
  </si>
  <si>
    <t>برنج</t>
  </si>
  <si>
    <t>لباس</t>
  </si>
  <si>
    <t>اتومبیل</t>
  </si>
  <si>
    <t>لبنیات</t>
  </si>
  <si>
    <t>حبوبات</t>
  </si>
  <si>
    <t>متفرقه</t>
  </si>
  <si>
    <t>نان</t>
  </si>
  <si>
    <t>گردو و بادام و ...</t>
  </si>
  <si>
    <t>شیر خشک و ...</t>
  </si>
  <si>
    <t xml:space="preserve">روغن </t>
  </si>
  <si>
    <t>رب و سیب زمین و پیاز</t>
  </si>
  <si>
    <t>ترشی و سس و زیتون</t>
  </si>
  <si>
    <t>شارژ بلوک شامل قبوض</t>
  </si>
  <si>
    <t>گردش</t>
  </si>
  <si>
    <t>از بن کارت ملت مریم 742 گرفتم و 500 به حساب ملت مریم ریختم</t>
  </si>
  <si>
    <t>اینترنت و موبایل</t>
  </si>
  <si>
    <t xml:space="preserve"> شماره 6280231491336490</t>
  </si>
  <si>
    <t>شماره 6280231491338110</t>
  </si>
  <si>
    <t>دکتر و دارو</t>
  </si>
  <si>
    <t>هزینه روزانه</t>
  </si>
  <si>
    <t>هزینه گواهی امضا و چک رمز دار حواله اس دی اسفند</t>
  </si>
  <si>
    <t>20/11/1395</t>
  </si>
  <si>
    <t>حواله اس دی</t>
  </si>
  <si>
    <t>17/11/1395</t>
  </si>
  <si>
    <t>ایاب ذهاب</t>
  </si>
  <si>
    <t>06/11/1395</t>
  </si>
  <si>
    <t>پول برنج</t>
  </si>
  <si>
    <t>6/11/1395</t>
  </si>
  <si>
    <t>بدهی به مریم</t>
  </si>
  <si>
    <t>نقدی گرفتم</t>
  </si>
  <si>
    <t>از عابر بانک ملت مریم دستی گرفتم</t>
  </si>
  <si>
    <t>از کارت ملت مریم رستوران دادم</t>
  </si>
  <si>
    <t>هزینه ویزیت دارو و سرم مریم</t>
  </si>
  <si>
    <t>از 3 عدد کارت مسکن مریم به کارت ایلیا ریختم بابت خرید خودرو</t>
  </si>
  <si>
    <t>22/11/1395</t>
  </si>
  <si>
    <t>علی به کارت ایلیا ریخت</t>
  </si>
  <si>
    <t>از 3 عدد کارت مسکن مریم ریختم</t>
  </si>
  <si>
    <t>24/11/1395</t>
  </si>
  <si>
    <t>خرید حواله ساندرو علی</t>
  </si>
  <si>
    <t>29/10/1395</t>
  </si>
  <si>
    <t>29/10/139</t>
  </si>
  <si>
    <t>12/10/1395</t>
  </si>
  <si>
    <t>3/10/1395</t>
  </si>
  <si>
    <t>25/9/1395</t>
  </si>
  <si>
    <t>09/9/1395</t>
  </si>
  <si>
    <t>07/9/1395</t>
  </si>
  <si>
    <t>06/9/1395</t>
  </si>
  <si>
    <t>05/9/1395</t>
  </si>
  <si>
    <t>04/9/1395</t>
  </si>
  <si>
    <t>09/8/1395</t>
  </si>
  <si>
    <t>25/7/1395</t>
  </si>
  <si>
    <t>18/7/1395</t>
  </si>
  <si>
    <t>17/7/1395</t>
  </si>
  <si>
    <t>16/7/1395</t>
  </si>
  <si>
    <t>13/7/1395</t>
  </si>
  <si>
    <t>11/7/1395</t>
  </si>
  <si>
    <t>10/7/1395</t>
  </si>
  <si>
    <t>09/7/1395</t>
  </si>
  <si>
    <t>05/7/1395</t>
  </si>
  <si>
    <t>01/7/1395</t>
  </si>
  <si>
    <t>09/6/1395</t>
  </si>
  <si>
    <t>04/6/1395</t>
  </si>
  <si>
    <t>03/6/1395</t>
  </si>
  <si>
    <t>10/5/1395</t>
  </si>
  <si>
    <t>02/5/1395</t>
  </si>
  <si>
    <t>01/5/1395</t>
  </si>
  <si>
    <t>سود تیر ماه</t>
  </si>
  <si>
    <t>26/4/1395</t>
  </si>
  <si>
    <t>21/4/1395</t>
  </si>
  <si>
    <t>20/4/1395</t>
  </si>
  <si>
    <t>19/4/1395</t>
  </si>
  <si>
    <t>17/4/1395</t>
  </si>
  <si>
    <t>16/4/1395</t>
  </si>
  <si>
    <t>15/4/1395</t>
  </si>
  <si>
    <t>13/4/1395</t>
  </si>
  <si>
    <t>09/4/1395</t>
  </si>
  <si>
    <t>08/4/1395</t>
  </si>
  <si>
    <t>05/4/1395</t>
  </si>
  <si>
    <t>03/4/1395</t>
  </si>
  <si>
    <t>02/4/1395</t>
  </si>
  <si>
    <t>23/3/1395</t>
  </si>
  <si>
    <t>19/3/1395</t>
  </si>
  <si>
    <t>18/3/1395</t>
  </si>
  <si>
    <t>17/3/1395</t>
  </si>
  <si>
    <t>15/3/1395</t>
  </si>
  <si>
    <t>12/3/1395</t>
  </si>
  <si>
    <t>سود مرداد 806 تومان</t>
  </si>
  <si>
    <t>سود شهریور 204 تومان</t>
  </si>
  <si>
    <t>سود مهر ماه 5189 تومان</t>
  </si>
  <si>
    <t>26/11/1395</t>
  </si>
  <si>
    <t>01/12/1395</t>
  </si>
  <si>
    <t>سود بهمن ماه</t>
  </si>
  <si>
    <t>2/12/1395</t>
  </si>
  <si>
    <t>انتقال از حساب ملت علی</t>
  </si>
  <si>
    <t>1/12/1395</t>
  </si>
  <si>
    <t>علی از کارت ملت خودش ریخت</t>
  </si>
  <si>
    <t>کل سود بهمن</t>
  </si>
  <si>
    <t>تاریخ 1/12/1395 از کارت ملت علی به کارت مسکن یاران مریم ریختم</t>
  </si>
  <si>
    <t>تاریخ 1/12 مبلغ 750000 و 2/12 مبلغ 1000000 تومان از کارت ملت مریم به کارت ملت علی ریختم</t>
  </si>
  <si>
    <t>کل سود اسفند</t>
  </si>
  <si>
    <t>3/12/1395</t>
  </si>
  <si>
    <t>انتقال از 3 کارت مسکن مریم و سارا</t>
  </si>
  <si>
    <t>علی 3 به کارت ایلیا و 200 نقدی گرفت</t>
  </si>
  <si>
    <t>سارا واریز کرد</t>
  </si>
  <si>
    <t xml:space="preserve">سارا از کارت گرفت </t>
  </si>
  <si>
    <t>21/11/1395</t>
  </si>
  <si>
    <t>علی 1.5 به کارت ایلیا انتقال داد و 200 نقد گرفت</t>
  </si>
  <si>
    <t>تاریخ 3/12/95 از 3 کارت مسکن مریم و سارا 7.5 به کارت ایلیا و 600 نقدی گرفتم</t>
  </si>
  <si>
    <t>تاریخ 3/12/95 از حساب ملت مریم به حساب ملت علی ریختم</t>
  </si>
  <si>
    <t>تاریخ 3/12/1395 از ملت علی به حساب شرکت بیمه تکمیلی مریم ریختم</t>
  </si>
  <si>
    <t>تاریخ 3/12/1395 یک حواله h30 cross تحویل آبان 96 برای مریم ثبت نام کردم</t>
  </si>
  <si>
    <t>تاریخ 5/12/95 مبلغ 3 میلیون تومان از کارت سید الشهدا مریم به کارت ایلیا انتقال دادم</t>
  </si>
  <si>
    <t>5/12/1395</t>
  </si>
  <si>
    <t>علی 3 به کارت ایلیا انتقال داد</t>
  </si>
  <si>
    <t>تاریخ 5/12/1395 از مسکن مریم یاران 3 میلیون به مسکن ایلیا انتقال دادم</t>
  </si>
  <si>
    <t>خرید 3 عدد حواله اچ 30 کراس</t>
  </si>
  <si>
    <t>دریافت نقدی از عابر بانک</t>
  </si>
  <si>
    <t>واریز از کارتهای مریم</t>
  </si>
  <si>
    <t>07/12/1395</t>
  </si>
  <si>
    <t>مریم به کارت مسکن یاران انتقال داد</t>
  </si>
  <si>
    <t>انتقال از کارت سارا</t>
  </si>
  <si>
    <t>انتقال از کارت ایلیا</t>
  </si>
  <si>
    <t>انتقال از کارت مسکن سیدالشهدا مریم</t>
  </si>
  <si>
    <t>علی نقدی گرفت</t>
  </si>
  <si>
    <t>تاریخ 7/12/1395 به کارت مسکن یاران مریم ریختم برای خرید ساندرو</t>
  </si>
  <si>
    <t>7/12/1395</t>
  </si>
  <si>
    <t>به کارت مریم یاران و 5 نقدی</t>
  </si>
  <si>
    <t>انتقال به کارت مریم یاران و 5 نقدی</t>
  </si>
  <si>
    <t>تاریخ 10/12/95 از حساب مریم یاران به حساب ایلیا ریختم.</t>
  </si>
  <si>
    <t>از حساب یاران مریم 200 گرفتم و 80 به خودش دادم</t>
  </si>
  <si>
    <t>10/12/1395</t>
  </si>
  <si>
    <t>از حساب یاران مریم ریختم</t>
  </si>
  <si>
    <t>به حساب سارا 20 و حساب ایلیا 6 و 200 نقدی</t>
  </si>
  <si>
    <t>08/12/1395</t>
  </si>
  <si>
    <t>خرید حواله استپ وی تحویل مرداد</t>
  </si>
  <si>
    <t>انتقال از حساب یاران مریم</t>
  </si>
  <si>
    <t>از ملت مریم به ملت علی</t>
  </si>
  <si>
    <t>ماه</t>
  </si>
  <si>
    <t>هزینه ها</t>
  </si>
  <si>
    <t>سال</t>
  </si>
  <si>
    <t>ضریب افزایش حقوق و هزینه ماهیانه</t>
  </si>
  <si>
    <t>ضریب سود بانکی ماهیانه</t>
  </si>
  <si>
    <t>منابع مالی حاضر</t>
  </si>
  <si>
    <t>علی</t>
  </si>
  <si>
    <t>حساب علی سید الشهدا</t>
  </si>
  <si>
    <t>میزان محقق شده</t>
  </si>
  <si>
    <t>اختلاف هدف و واقعیت</t>
  </si>
  <si>
    <t>پول نقد علی</t>
  </si>
  <si>
    <t xml:space="preserve">از مریم 50 نقد گرفتم </t>
  </si>
  <si>
    <t>22/12/1395</t>
  </si>
  <si>
    <t>دستی از عابربانک گرفتم</t>
  </si>
  <si>
    <t>23/12/1395</t>
  </si>
  <si>
    <t>از بدهی پدر</t>
  </si>
  <si>
    <t>به کارت ایلیا</t>
  </si>
  <si>
    <t>اسباب بازی ایلیا</t>
  </si>
  <si>
    <t>از ملت مریم به ملت علی (از حقوق اسفند)</t>
  </si>
  <si>
    <t>24/12/1395</t>
  </si>
  <si>
    <t>از ملت علی حقوق اسفند</t>
  </si>
  <si>
    <t>از حساب مریم گرفتم</t>
  </si>
  <si>
    <t>موبایل ال جی از دیجی کالا</t>
  </si>
  <si>
    <t>لامپ</t>
  </si>
  <si>
    <t>28/12/1395</t>
  </si>
  <si>
    <t>29/12/1395</t>
  </si>
  <si>
    <t>برداشت از عابربانک</t>
  </si>
  <si>
    <t>سود اسفند ماه باید تقسیم شود</t>
  </si>
  <si>
    <t>در بازگشت از سفر دستی دادم</t>
  </si>
  <si>
    <t>سود اسفند ماه</t>
  </si>
  <si>
    <t>هزینه اتومبیل</t>
  </si>
  <si>
    <t>روغن</t>
  </si>
  <si>
    <t>افزایش ماهیانه پول پیش خانه</t>
  </si>
  <si>
    <t>جلو بندی</t>
  </si>
  <si>
    <t>شیشه جلو</t>
  </si>
  <si>
    <t>دو بار 110 هزار تومان دستی گرفتم</t>
  </si>
  <si>
    <t>سود اسفند ماه منهای 5000 هزینه اس ام اس</t>
  </si>
  <si>
    <t>سهم مریم</t>
  </si>
  <si>
    <t>امتیاز مریم</t>
  </si>
  <si>
    <t>مجموع امتیاز کل</t>
  </si>
  <si>
    <t>مجموع امتیاز سارا</t>
  </si>
  <si>
    <t>مجموع امتیاز مریم</t>
  </si>
  <si>
    <t>مجموع سارا</t>
  </si>
  <si>
    <t>مجموع مریم</t>
  </si>
  <si>
    <t>1/1/1396</t>
  </si>
  <si>
    <t>متوسط موجودی کل</t>
  </si>
  <si>
    <t>متوسط موجودی سارا</t>
  </si>
  <si>
    <t>متوسط موجودی مریم</t>
  </si>
  <si>
    <t>16/1/1396</t>
  </si>
  <si>
    <t>17/1/1396</t>
  </si>
  <si>
    <t>علی از کارت سارا به کارت مسکن یاران مریم انتقال داد</t>
  </si>
  <si>
    <t>از کارت مسکن ایلیا</t>
  </si>
  <si>
    <t>سود اسفند منهای 5000 هزینه اس ام اس</t>
  </si>
  <si>
    <t>انتقال به کارت مسکن یاران مریم</t>
  </si>
  <si>
    <t>19/1/1396</t>
  </si>
  <si>
    <t>به کارت ابوالفضل بابت خسارت گوشی</t>
  </si>
  <si>
    <t>از عابربانک گرفتم</t>
  </si>
  <si>
    <t>خسارت موبایل ابوالفضل</t>
  </si>
  <si>
    <t>25/1/1396</t>
  </si>
  <si>
    <t>خرید از شهروند</t>
  </si>
  <si>
    <t>اصلاح حساب با فایل</t>
  </si>
  <si>
    <t>26/1/1396</t>
  </si>
  <si>
    <t>از عابر 200 و خرید گوشت 232</t>
  </si>
  <si>
    <t>1/2/1396</t>
  </si>
  <si>
    <t>سود فروردین</t>
  </si>
  <si>
    <t>اصلاح با مقدار واقعی حساب</t>
  </si>
  <si>
    <t>هزینه اس ام اس و انتقال گویا</t>
  </si>
  <si>
    <t>سود فروردین ماه باید تقسیم شود</t>
  </si>
  <si>
    <t>پایان اسفند 95 با حقوق</t>
  </si>
  <si>
    <t>2/2/1396</t>
  </si>
  <si>
    <t>حقوق علی</t>
  </si>
  <si>
    <t>حقوق مریم</t>
  </si>
  <si>
    <t>با احتساب حقوق فروردین</t>
  </si>
  <si>
    <t>16/2/1396</t>
  </si>
  <si>
    <t>علی گرفت بدهی به داریوش</t>
  </si>
  <si>
    <t>علی گوشی موبایل خرید</t>
  </si>
  <si>
    <t>اینترنت مریم</t>
  </si>
  <si>
    <t>18/2/1396</t>
  </si>
  <si>
    <t>بخشی از پول حواله استپ وی مریم</t>
  </si>
  <si>
    <t>مابقی پول استپ وی مریم از بانک شهر</t>
  </si>
  <si>
    <t>14/2/1396</t>
  </si>
  <si>
    <t>سارا به مریم نقدی داد</t>
  </si>
  <si>
    <t>از 500 تومن سارا از مریم گرفتم (400 بود 150 پا گشا و 100 دستی بازگرداندم</t>
  </si>
  <si>
    <t xml:space="preserve">از کارت یاران نقدی گرفتم </t>
  </si>
  <si>
    <t>از کارت یاران گوشی خریدم</t>
  </si>
  <si>
    <t>سهم علی از سود حواله استپ وی مریم</t>
  </si>
  <si>
    <t>22/2/1396</t>
  </si>
  <si>
    <t>علی از عابربانک در شمال گرفت</t>
  </si>
  <si>
    <t>علی در شمال رستوران</t>
  </si>
  <si>
    <t>از کارت سارا گرفتم</t>
  </si>
  <si>
    <t>از کارت مسکن یاران 23 اردیبهشت گرفتم</t>
  </si>
  <si>
    <t>اردیبهشت 23 از عابربانک گرفتم</t>
  </si>
  <si>
    <t>25/2/1396</t>
  </si>
  <si>
    <t>26/2/1396</t>
  </si>
  <si>
    <t>از عابربانک گرفت و 115 به مریم داد</t>
  </si>
  <si>
    <t>روز 25ام 85 و 26ام 170</t>
  </si>
  <si>
    <t>روز 30 اردیبهشت از ملت به ملت ریختم</t>
  </si>
  <si>
    <t>31/2/1396</t>
  </si>
  <si>
    <t>حقوق اردیبهشت مریم</t>
  </si>
  <si>
    <t>حقوق اردیبهشت علی</t>
  </si>
  <si>
    <t>با احتساب حقوق اردیبهشت</t>
  </si>
  <si>
    <t>پس انداز هدف</t>
  </si>
  <si>
    <t>1/03/1396</t>
  </si>
  <si>
    <t>سود اردیبهشت 96</t>
  </si>
  <si>
    <t>1/3/1396</t>
  </si>
  <si>
    <t>سهم سود سارا در اردیبهشت که در حساب یاران مریم است.</t>
  </si>
  <si>
    <t xml:space="preserve">از کارت مسکن سارا </t>
  </si>
  <si>
    <t>سود اردیبهشت ماه باید تقسیم شود</t>
  </si>
  <si>
    <t>روز 1/3/96 از عابر یاران گرفتم</t>
  </si>
  <si>
    <t>یک کیلو فندق برای مریم خریدم</t>
  </si>
  <si>
    <t>از کارت ملت مریم نقدی گرفتم</t>
  </si>
  <si>
    <t>کرم ساروینا خریدم</t>
  </si>
  <si>
    <t>تسمه تایم</t>
  </si>
  <si>
    <t>برای اینکه در 18 ماه اوراق تعلق بگیرد باید از تاریخ 15/3/96 مبلغ 38 میلیون در حساب اضافه کرد</t>
  </si>
  <si>
    <t>8/3/1396</t>
  </si>
  <si>
    <t>علی 200 به ملت مریم انتقال داد و 200 نقد گرفت</t>
  </si>
  <si>
    <t>از کارت مسکن یاران مریم نقدی گرفتم 8/3/96</t>
  </si>
  <si>
    <t>پژو</t>
  </si>
  <si>
    <t>لاستیک عقب</t>
  </si>
  <si>
    <t>لاستیک جلو</t>
  </si>
  <si>
    <t>فیلتر هوا</t>
  </si>
  <si>
    <t>فیلتر کابین</t>
  </si>
  <si>
    <t>فیلتر روغن</t>
  </si>
  <si>
    <t>15/4/93</t>
  </si>
  <si>
    <t>15/4/95</t>
  </si>
  <si>
    <t>کیلومتر ماشین</t>
  </si>
  <si>
    <t>کارکرد</t>
  </si>
  <si>
    <t>کیلومتر فعلی</t>
  </si>
  <si>
    <t>ماکزیمم نسوختن</t>
  </si>
  <si>
    <t>17/3/96</t>
  </si>
  <si>
    <t>تاریخ 16/3 از کارت یاران گرفتم</t>
  </si>
  <si>
    <t>23/3/96</t>
  </si>
  <si>
    <t>23/3/1396</t>
  </si>
  <si>
    <t>به مسکن سارا</t>
  </si>
  <si>
    <t>چهل از مسکن یاران منهای 500 به علیرضا و 100 از عابربانک</t>
  </si>
  <si>
    <t>صد از عابربانک سارا گرفتم و 500 به علیرضا دادم</t>
  </si>
  <si>
    <t>2/4/1396</t>
  </si>
  <si>
    <t>حقوق خرداد علی</t>
  </si>
  <si>
    <t>1/4/1396</t>
  </si>
  <si>
    <t>سود خرداد</t>
  </si>
  <si>
    <t>دکتر مریم</t>
  </si>
  <si>
    <t>31/3/1396</t>
  </si>
  <si>
    <t>سود خرداد ماه باید تقسیم شود</t>
  </si>
  <si>
    <t>سود خرداد 96</t>
  </si>
  <si>
    <t>با احتساب حقوق خرداد</t>
  </si>
  <si>
    <t>4/4/1396</t>
  </si>
  <si>
    <t>نهار و ایاب ذهاب و عید رمضان علی</t>
  </si>
  <si>
    <t>نهار و ایاب ذهاب و عید رمضان مریم</t>
  </si>
  <si>
    <t>نهار و ایاب ذهاب و عیدی رمضان مریم که به کارت ایلیا رفت</t>
  </si>
  <si>
    <t>5/4/1396</t>
  </si>
  <si>
    <t>حقوق خرداد مریم</t>
  </si>
  <si>
    <t>فیلتر دستگاه تصفیه آب</t>
  </si>
  <si>
    <t>کل منابع</t>
  </si>
  <si>
    <t>منابع نقدی</t>
  </si>
  <si>
    <t>16/4/1396</t>
  </si>
  <si>
    <t>18/4/1396</t>
  </si>
  <si>
    <t>خرید تخم مرغ و ... از جامبو</t>
  </si>
  <si>
    <t>19/4/1396</t>
  </si>
  <si>
    <t>دستی برای دکتر رفتن دادم</t>
  </si>
  <si>
    <t>20/4/1396</t>
  </si>
  <si>
    <t>از عابربانک گرفتم، 150 بابت بخشی از 30 کیلو برنج</t>
  </si>
  <si>
    <t>21/4/1396</t>
  </si>
  <si>
    <t>بیمه ماشین</t>
  </si>
  <si>
    <t>شیر خشک و قطره آهن</t>
  </si>
  <si>
    <t>22/4/1396</t>
  </si>
  <si>
    <t>شروع خرید</t>
  </si>
  <si>
    <t>26/4/1396</t>
  </si>
  <si>
    <t>مابقی پول برنج 195</t>
  </si>
  <si>
    <t>تاریخ 25/4 برای دکتر</t>
  </si>
  <si>
    <t>28/4/1396</t>
  </si>
  <si>
    <t>از کارت مسکن یاران مریم</t>
  </si>
  <si>
    <t>انتقال به کارت ایلیا 50 میلیون و 200 هم نقدی</t>
  </si>
  <si>
    <t>روز 28 تیر از کارت مسکن یاران مریم گرفتم</t>
  </si>
  <si>
    <t>برای آرایشگاه دادم</t>
  </si>
  <si>
    <t>از کارت مسکن یاران نقدی گرفتم 28 تیر</t>
  </si>
  <si>
    <t>29/4/1396</t>
  </si>
  <si>
    <t>انتقال به کارت ایلیا 12 میلیون و 200 هم نقدی</t>
  </si>
  <si>
    <t>31/4/1396</t>
  </si>
  <si>
    <t>حقوق تیر مریم</t>
  </si>
  <si>
    <t>حقوق تیر علی</t>
  </si>
  <si>
    <t>با احتساب حقوق تیر</t>
  </si>
  <si>
    <t>1/5/1396</t>
  </si>
  <si>
    <t>سود تیر</t>
  </si>
  <si>
    <t>هشتصد به کارت ملت علی و 200 نقدی گرفتم (دقیق کردن حساب)</t>
  </si>
  <si>
    <t>1/6/1396</t>
  </si>
  <si>
    <t>1/7/1396</t>
  </si>
  <si>
    <t>1/8/1396</t>
  </si>
  <si>
    <t>1/9/1396</t>
  </si>
  <si>
    <t>15/7/1396</t>
  </si>
  <si>
    <t>کفش ایلیا و پاپیون و جوراب</t>
  </si>
  <si>
    <t>2/5/1396</t>
  </si>
  <si>
    <t>طبق گفته مریم سارا برای لباس کارت کشید</t>
  </si>
  <si>
    <t>مریم خرید کرد لباس برای عروسی 288 , 50</t>
  </si>
  <si>
    <t>4/5/1396</t>
  </si>
  <si>
    <t xml:space="preserve">مریم آرایشگاه </t>
  </si>
  <si>
    <t>هرزگرد تسمه دینام</t>
  </si>
  <si>
    <t>15/4/1396</t>
  </si>
  <si>
    <t>آرایشگاه و 8 دستی دادم</t>
  </si>
  <si>
    <t>تاریخ 8 مرداد از کارت مسکن یاران برداشتم</t>
  </si>
  <si>
    <t>8/5/1396</t>
  </si>
  <si>
    <t>تاریخ 12 مرداد از کارت مسکن یاران گرفتم</t>
  </si>
  <si>
    <t>12/5/1396</t>
  </si>
  <si>
    <t>مریم گلدون و بشقاب و فانوس خرید</t>
  </si>
  <si>
    <t>14/5/1396</t>
  </si>
  <si>
    <t>انتقال به کارت بانک سپه جهت رهن</t>
  </si>
  <si>
    <t>15/3/1396</t>
  </si>
  <si>
    <t>باطری</t>
  </si>
  <si>
    <t>تاریخ 16 مرداد خرید از جامبو</t>
  </si>
  <si>
    <t>16/5/1396</t>
  </si>
  <si>
    <t>خرید از جامبو</t>
  </si>
  <si>
    <t>انتقال به کارت حاج ایوب بابت بخشی از فرش</t>
  </si>
  <si>
    <t>حساب سارا</t>
  </si>
  <si>
    <t>17/5/1396</t>
  </si>
  <si>
    <t>علی 200 از عابر بانک و 134 گوشت</t>
  </si>
  <si>
    <t>تاریخ 17 مرداد 200 عابر و 134 گوشت</t>
  </si>
  <si>
    <t>23/5/1396</t>
  </si>
  <si>
    <t>22/5/1396</t>
  </si>
  <si>
    <t>کرم ضد آفتاب مریم</t>
  </si>
  <si>
    <t>پول روغن حیوانی</t>
  </si>
  <si>
    <t>علی دستی از عابربانک</t>
  </si>
  <si>
    <t>تاریخ 23/5 300 روغن و100 نقدی</t>
  </si>
  <si>
    <t>15/5/1396</t>
  </si>
  <si>
    <t>28/5/1396</t>
  </si>
  <si>
    <t>سود تیرماه</t>
  </si>
  <si>
    <t>سود مرداد</t>
  </si>
  <si>
    <t>تاریخ 28/5 از عابربانک</t>
  </si>
  <si>
    <t>انتقال 42 به کارت سارا و 4 به کارت مریم</t>
  </si>
  <si>
    <t>روز 1 شهریور از کارت ملت علی به کارت یاران مریم</t>
  </si>
  <si>
    <t>31/5/1396</t>
  </si>
  <si>
    <t>از کارت ایلیا</t>
  </si>
  <si>
    <t>از کارت ملت مریم حقوق مرداد</t>
  </si>
  <si>
    <t>از کارت ملت علی حقوق مرداد</t>
  </si>
  <si>
    <t>روز 4 شهریور از کارت یاران گرفتم</t>
  </si>
  <si>
    <t>4/6/1396</t>
  </si>
  <si>
    <t>7/6/1396</t>
  </si>
  <si>
    <t>علی به کارت داریوش ریخت</t>
  </si>
  <si>
    <t>دو به داریوش و 200 نقدی از عابربانک 7/6/96</t>
  </si>
  <si>
    <t>طلب علی(500 خانه، 500 علیرضا)</t>
  </si>
  <si>
    <t>11/6/1396</t>
  </si>
  <si>
    <t>داریوش به کارت ریخت</t>
  </si>
  <si>
    <t>19/6/1396</t>
  </si>
  <si>
    <t>انتقال به کارت حاج ایوب بابت خرید فرش</t>
  </si>
  <si>
    <t>صد نقد و 41450 بابت قبوض</t>
  </si>
  <si>
    <t>داریوش بدهی را داد</t>
  </si>
  <si>
    <t>19/6/1396 141950 تومن 100 نقد و 41950 قبض</t>
  </si>
  <si>
    <t>22/6/1396</t>
  </si>
  <si>
    <t>کارت ملت علی 700 و 200 نقدی</t>
  </si>
  <si>
    <t>از مسکن یاران 900 گرفتم و 100 به کارت مریم ریختم 22/6</t>
  </si>
  <si>
    <t>26/6/1396</t>
  </si>
  <si>
    <t>سود شهریور</t>
  </si>
  <si>
    <t>سود شهریور 96</t>
  </si>
  <si>
    <t>دستی به مریم دادم. تولد سارا</t>
  </si>
  <si>
    <t>شماره 6280231481238847</t>
  </si>
  <si>
    <t>IR190140040000410021971552</t>
  </si>
  <si>
    <t>روز 1 مهر از کارت ملت علی برای ثبت نام هیات علمی</t>
  </si>
  <si>
    <t>2/7/1396</t>
  </si>
  <si>
    <t>حقوق شهریور علی</t>
  </si>
  <si>
    <t>5/7/1396</t>
  </si>
  <si>
    <t>10/7/1396</t>
  </si>
  <si>
    <t>11/7/1396</t>
  </si>
  <si>
    <t>4/7/1396</t>
  </si>
  <si>
    <t>حقوق شهریور مریم</t>
  </si>
  <si>
    <t>با احتساب حقوق شهریور</t>
  </si>
  <si>
    <t>بلبرینگ چرخ جلو سمت شاگرد</t>
  </si>
  <si>
    <t>13/7/1396</t>
  </si>
  <si>
    <t>15/7/96</t>
  </si>
  <si>
    <t>16/7/1396</t>
  </si>
  <si>
    <t>حواله اچ سی علی مهر انصراف</t>
  </si>
  <si>
    <t xml:space="preserve">حقوق </t>
  </si>
  <si>
    <t>حقوق سال 96</t>
  </si>
  <si>
    <t>سود موجودی از سال قبل و سود حقوق</t>
  </si>
  <si>
    <t>پول پیش خانه</t>
  </si>
  <si>
    <t>کل منابع و پول پیش خانه</t>
  </si>
  <si>
    <t>مجموع غیر از پول پیش</t>
  </si>
  <si>
    <t>مجموع کل</t>
  </si>
  <si>
    <t>با احتساب حقوق مرداد (افزایش 6 میلیونی پول پیش)</t>
  </si>
  <si>
    <t>18/7/1396</t>
  </si>
  <si>
    <t>تاریخ 24/7/96 مبلغ 30 میلیون تومن به مریم دادم</t>
  </si>
  <si>
    <t>24/7/1396</t>
  </si>
  <si>
    <t>به حساب مسکن یاران مریم</t>
  </si>
  <si>
    <t>23/7/1396</t>
  </si>
  <si>
    <t>انتقال به مسکن یاران مریم</t>
  </si>
  <si>
    <t>روز 23 مهر 10 نقدی دادم</t>
  </si>
  <si>
    <t>انتقال از حساب سارا</t>
  </si>
  <si>
    <t>انتقال از حساب ایلیا</t>
  </si>
  <si>
    <t>انتقال به حساب حاج ایوب</t>
  </si>
  <si>
    <t>25/7/1396</t>
  </si>
  <si>
    <t>آبلیمو</t>
  </si>
  <si>
    <t>گوشت</t>
  </si>
  <si>
    <t>طلب علی از مریم</t>
  </si>
  <si>
    <t>با احتساب حقوق مهر</t>
  </si>
  <si>
    <t>30/7/1396</t>
  </si>
  <si>
    <t>حقوق مهرماه علی</t>
  </si>
  <si>
    <t>سود مهرماه</t>
  </si>
  <si>
    <t>حواله اچ سی علی آبان انصراف</t>
  </si>
  <si>
    <t>حقوق مهر مریم</t>
  </si>
  <si>
    <t>سود مهر</t>
  </si>
  <si>
    <t>سارا از کارت استفاده کرد</t>
  </si>
  <si>
    <t>مریم گویا از کارت استفاده کرده</t>
  </si>
  <si>
    <t>تعویض میل ماهکهای کوچک</t>
  </si>
  <si>
    <t>4/8/1396</t>
  </si>
  <si>
    <t>بلبرینگ چرخ جلو سمت راننده</t>
  </si>
  <si>
    <t>1/10/1394</t>
  </si>
  <si>
    <t>6/8/1396</t>
  </si>
  <si>
    <t>چک حاج ایوب</t>
  </si>
  <si>
    <t>5/8/1396</t>
  </si>
  <si>
    <t>ده نقدی و 1.2 به مونا</t>
  </si>
  <si>
    <t>از کارت ملت گلدون خرید</t>
  </si>
  <si>
    <t>حواله اچ سی مریم</t>
  </si>
  <si>
    <t>مریم</t>
  </si>
  <si>
    <t>حساب یاران</t>
  </si>
  <si>
    <t>چک</t>
  </si>
  <si>
    <t>نقد</t>
  </si>
  <si>
    <t xml:space="preserve">تاریخ 9/8/96 24 میلیون از حواله اچ سی پس داد </t>
  </si>
  <si>
    <t>9/8/1396</t>
  </si>
  <si>
    <t>مبلغ اولیه</t>
  </si>
  <si>
    <t>تاریخ 9/8/96 24 میلیون برگرداند</t>
  </si>
  <si>
    <t>تفاوت 24.2952 و 24 حساب شده در امتیازات</t>
  </si>
  <si>
    <t>احتمال اوراق مسکن یاران</t>
  </si>
  <si>
    <t>احتمال اوراق مسکن سارا</t>
  </si>
  <si>
    <t>طلب از علی</t>
  </si>
  <si>
    <t>هزار هزینه چک و 200 از عابربانک</t>
  </si>
  <si>
    <t>14/8/1396</t>
  </si>
  <si>
    <t>علی از عابر گرفت</t>
  </si>
  <si>
    <t>طلب از مونا</t>
  </si>
  <si>
    <t>مریم دکتر</t>
  </si>
  <si>
    <t>مریم دارو</t>
  </si>
  <si>
    <t>مریم دکتر فرحت و دارو مادرش</t>
  </si>
  <si>
    <t>روز 17 آبان برای بیمارستان دادم به مریم</t>
  </si>
  <si>
    <t>17/8/1396</t>
  </si>
  <si>
    <t>مریم نقدی از کیفم برداشت و پیرهن خرید</t>
  </si>
  <si>
    <t>21/8/1396</t>
  </si>
  <si>
    <t>24/8/1396</t>
  </si>
  <si>
    <t>22/8/1396</t>
  </si>
  <si>
    <t>مریم به سارا کارت به کارت کرد</t>
  </si>
  <si>
    <t>مریم پوشک به زلزله زده گان</t>
  </si>
  <si>
    <t>سود آبان ماه</t>
  </si>
  <si>
    <t>کل سود آبان</t>
  </si>
  <si>
    <t>سود آبان</t>
  </si>
  <si>
    <t>30/8/1396</t>
  </si>
  <si>
    <t>با حقوق آبان</t>
  </si>
  <si>
    <t>4/9/1396</t>
  </si>
  <si>
    <t>حقوق آبان علی</t>
  </si>
  <si>
    <t>حقوق آبان مریم</t>
  </si>
  <si>
    <t>تاریخ 4/9/96 2.5 میلیون برگرداند</t>
  </si>
  <si>
    <t>مبلغ 120 دادم و 110 گرفتم</t>
  </si>
  <si>
    <t>روغن گیربکس</t>
  </si>
  <si>
    <t>10/1/1396</t>
  </si>
  <si>
    <t>پلوس سمت شاگرد</t>
  </si>
  <si>
    <t>صفحه کلاچ</t>
  </si>
  <si>
    <t>نشتی گیری روغن ریزی</t>
  </si>
  <si>
    <t>کوبش فنر عقب</t>
  </si>
  <si>
    <t>چراغ جلو شاگرد</t>
  </si>
  <si>
    <t>سال 97</t>
  </si>
  <si>
    <t>بیمه</t>
  </si>
  <si>
    <t>نقد به مریم دادم</t>
  </si>
  <si>
    <t>11/9/1396</t>
  </si>
  <si>
    <t>شمع</t>
  </si>
  <si>
    <t>13/9/1396</t>
  </si>
  <si>
    <t>10/10/1394</t>
  </si>
  <si>
    <t>19/9/1396</t>
  </si>
  <si>
    <t>18/9/1396</t>
  </si>
  <si>
    <t>مریم برای سارا کارت به کارت کرد</t>
  </si>
  <si>
    <t>شارژ تلفن حاج خانوم</t>
  </si>
  <si>
    <t xml:space="preserve">دستی دادم </t>
  </si>
  <si>
    <t>22/9/1396</t>
  </si>
  <si>
    <t>کاظم کارت به کارت کرد. 3 از 15 چک 20 ام</t>
  </si>
  <si>
    <t>23/9/1396</t>
  </si>
  <si>
    <t>25/9/1396</t>
  </si>
  <si>
    <t>26/9/1396</t>
  </si>
  <si>
    <t>تاریخ 22/9/96 کاظم 3 تومن کارت به کارت کرد</t>
  </si>
  <si>
    <t>کاظم ریخت. 6 از 15 چک 20 ام. 1.7 مانده</t>
  </si>
  <si>
    <t>حاجی ریخت. 8 از 15 چک 20 ام</t>
  </si>
  <si>
    <t>حاجی ریخت. 9.3 از 15 چک 20 ام</t>
  </si>
  <si>
    <t>تاریخ 25/9/96 کاظم 3 تومن کارت به کارت کرد</t>
  </si>
  <si>
    <t>27/9/1396</t>
  </si>
  <si>
    <t>تاریخ 26/9/1396 حاجی 2 و 1.3 ریخت</t>
  </si>
  <si>
    <t>28/9/1396</t>
  </si>
  <si>
    <t>کاظم ریخت. 11 از 15 چک 20 ام</t>
  </si>
  <si>
    <t>29/9/1396</t>
  </si>
  <si>
    <t>تاریخ 28/9/96 کاظم 1.7 ریخت. 11 از 15 بیستم</t>
  </si>
  <si>
    <t>از عابر گرفتم و به مریم دادم.</t>
  </si>
  <si>
    <t>30/9/1396</t>
  </si>
  <si>
    <t>قالپاق روغن</t>
  </si>
  <si>
    <t>سود آذر</t>
  </si>
  <si>
    <t>سود آذر 96</t>
  </si>
  <si>
    <t>با حقوق آذر</t>
  </si>
  <si>
    <t>3/10/1396</t>
  </si>
  <si>
    <t>بخشی از حقوق آذر مریم</t>
  </si>
  <si>
    <t>تاریخ 3/10 یک میلیون از حقوق مریم به مسکن علی سید الشهدا</t>
  </si>
  <si>
    <t>از حقوق آذر مریم</t>
  </si>
  <si>
    <t>حقوق آذر علی</t>
  </si>
  <si>
    <t>6/10/1396</t>
  </si>
  <si>
    <t>ماهی</t>
  </si>
  <si>
    <t>گوشت گاو و گوسفند</t>
  </si>
  <si>
    <t>8/10/1396</t>
  </si>
  <si>
    <t>ثبت نام کارت هوشمند ملی</t>
  </si>
  <si>
    <t>قرص ویتامین E</t>
  </si>
  <si>
    <t>9/10/1396</t>
  </si>
  <si>
    <t>شیر خشک و قرص ویتامین E</t>
  </si>
  <si>
    <t>10/10/1396</t>
  </si>
  <si>
    <t>حاج ایوب ریخت بابت چک 20/9 الان 13 از 15</t>
  </si>
  <si>
    <t>حاج ایوب 2 ریخت بابت چک 20/9 الان 13 از 15</t>
  </si>
  <si>
    <t>12/10/1396</t>
  </si>
  <si>
    <t>دستی دادم 14/10/96</t>
  </si>
  <si>
    <t>14/10/1396</t>
  </si>
  <si>
    <t>کارت هوشمند ملی</t>
  </si>
  <si>
    <t>نقد دادم</t>
  </si>
  <si>
    <t>16/10/1396</t>
  </si>
  <si>
    <t>از طرف حاجی بابت بدهی چک</t>
  </si>
  <si>
    <t>16/10/1396+</t>
  </si>
  <si>
    <t>17/10/1396</t>
  </si>
  <si>
    <t>پنج نقدی و 90 پول برنج برای حسین</t>
  </si>
  <si>
    <t>18/10/1396</t>
  </si>
  <si>
    <t>از کارت ایلیا ریختم</t>
  </si>
  <si>
    <t>دو به کارت علی و 200 نقد</t>
  </si>
  <si>
    <t>خرید از شهروند و ایساکو</t>
  </si>
  <si>
    <t>دستی دادم برای دکتر</t>
  </si>
  <si>
    <t>24/10/1396</t>
  </si>
  <si>
    <t>26/10/1396</t>
  </si>
  <si>
    <t>27/10/1396</t>
  </si>
  <si>
    <t>پول پسته</t>
  </si>
  <si>
    <t>پول پسته 5 کیلو</t>
  </si>
  <si>
    <t>30/10/1396</t>
  </si>
  <si>
    <t>حاج ایوب 1 تومن از سارا گرفت و به مریم داد 16/110/96 14 از 15 در تاریخ 30/10/96 علی 3 میلیون به کارت مریم انتقال داد</t>
  </si>
  <si>
    <t>علی ریخت. 3 از دهی 10.5</t>
  </si>
  <si>
    <t>شماره 6280231488671917</t>
  </si>
  <si>
    <t>327300 تومن معلون نیست از کجا آمده</t>
  </si>
  <si>
    <t>30900 تومن معلوم نیست کجاست</t>
  </si>
  <si>
    <t>سود دی ماه 96</t>
  </si>
  <si>
    <t>سود دی</t>
  </si>
  <si>
    <t>با حقوق دی</t>
  </si>
  <si>
    <t>1/11/1396</t>
  </si>
  <si>
    <t>دو و نیم از حقوق و 3 از حاج ایوب 3 از 21</t>
  </si>
  <si>
    <t>2/11/1396</t>
  </si>
  <si>
    <t>سه از حاج ایوب 6 از 21</t>
  </si>
  <si>
    <t>3/11/1396</t>
  </si>
  <si>
    <t>سه از حاج ایوب 9 از 21</t>
  </si>
  <si>
    <t>4/11/1396</t>
  </si>
  <si>
    <t>سه از حاج ایوب 12 از 21</t>
  </si>
  <si>
    <t>5/11/1396</t>
  </si>
  <si>
    <t>سه از حاج ایوب 15 از 21</t>
  </si>
  <si>
    <t>6/11/1396</t>
  </si>
  <si>
    <t>سه از حاج ایوب 18 از 21</t>
  </si>
  <si>
    <t>8/11/1396</t>
  </si>
  <si>
    <t>خرید جامبو</t>
  </si>
  <si>
    <t>14/11/1396</t>
  </si>
  <si>
    <t>خرید کورش</t>
  </si>
  <si>
    <t>18/11/1396</t>
  </si>
  <si>
    <t xml:space="preserve"> معاینه فنی</t>
  </si>
  <si>
    <t>شیشه جلو 206</t>
  </si>
  <si>
    <t>مانیتور ال جی</t>
  </si>
  <si>
    <t>20/11/1396</t>
  </si>
  <si>
    <t>23/11/1396</t>
  </si>
  <si>
    <t>برای دکتر رفتن دادم</t>
  </si>
  <si>
    <t>تو نهار خوری سازمان دادم</t>
  </si>
  <si>
    <t>از طرف حاجی بابت چک 15 میلیونی</t>
  </si>
  <si>
    <t>9/11/1396</t>
  </si>
  <si>
    <t>از کارت رضا بایت چک 19 از 21</t>
  </si>
  <si>
    <t>یک تومن از چک حاجی و این مبلغ به رضا به عنوان 2 عدد سکه قرض</t>
  </si>
  <si>
    <t>طلب رضا</t>
  </si>
  <si>
    <t>30/11/1396</t>
  </si>
  <si>
    <t>علی از حقوق بهمن ریخت بخشی اربدهی 3 از 7.5</t>
  </si>
  <si>
    <t>کل سود دی</t>
  </si>
  <si>
    <t>1/12/1396</t>
  </si>
  <si>
    <t>از کارت ملت ریختم</t>
  </si>
  <si>
    <t>8/12/1396</t>
  </si>
  <si>
    <t>خرید با کارت</t>
  </si>
  <si>
    <t>09/12/1396</t>
  </si>
  <si>
    <t>با حقوق بهمن</t>
  </si>
  <si>
    <t>از کارت ملت مریم</t>
  </si>
  <si>
    <t>سود بهمن 96</t>
  </si>
  <si>
    <t>20/12/1396</t>
  </si>
  <si>
    <t>مریم به کارت سارا ریخت</t>
  </si>
  <si>
    <t>دستی 154 دادم و 52 از کیف مریم برداشتم</t>
  </si>
  <si>
    <t xml:space="preserve"> 30/9/1396</t>
  </si>
  <si>
    <t xml:space="preserve"> 23/11/1396</t>
  </si>
  <si>
    <t>24/11/1396</t>
  </si>
  <si>
    <t>25/11/1396</t>
  </si>
  <si>
    <t>برداشت از عابر</t>
  </si>
  <si>
    <t>سود بهمن</t>
  </si>
  <si>
    <t>2/12/1396</t>
  </si>
  <si>
    <t xml:space="preserve"> 5/12/1396</t>
  </si>
  <si>
    <t>10/12/1396</t>
  </si>
  <si>
    <t>13/12/1396</t>
  </si>
  <si>
    <t>خرید کباب</t>
  </si>
  <si>
    <t>15/12/1396</t>
  </si>
  <si>
    <t>17/12/1396</t>
  </si>
  <si>
    <t>شارژ زمستان آپارتمان</t>
  </si>
  <si>
    <t>17/12/1395</t>
  </si>
  <si>
    <t>19/12/1396</t>
  </si>
  <si>
    <t>سود</t>
  </si>
  <si>
    <t>کارمزد اس ام اس</t>
  </si>
  <si>
    <t>احتمال اوراق ایلیا</t>
  </si>
  <si>
    <t>21/12/1396</t>
  </si>
  <si>
    <t>انتقال از بن کارت ملت مریم</t>
  </si>
  <si>
    <t>خریدهای مختلف</t>
  </si>
  <si>
    <t>علی از بن کارتش ریخت</t>
  </si>
  <si>
    <t>از بن کارت علی</t>
  </si>
  <si>
    <t>از کارت بانک سینا ریختم</t>
  </si>
  <si>
    <t xml:space="preserve"> 20/12/1396</t>
  </si>
  <si>
    <t xml:space="preserve">شیر خشک </t>
  </si>
  <si>
    <t>از حقوق بهمن علی 3 به کارت مسکن یاران مریم ریختم</t>
  </si>
  <si>
    <t>از بن کارت علی 1 به کارت مسکن سیدالشهدا مریم ریختم</t>
  </si>
  <si>
    <t>اسباب بازی ایلیا از صالح آباد</t>
  </si>
  <si>
    <t>22/12/1396</t>
  </si>
  <si>
    <t>سهام</t>
  </si>
  <si>
    <t>از عابر و خرید میدون و رفاه</t>
  </si>
  <si>
    <t>برنامه سال 97</t>
  </si>
  <si>
    <t>افزایش پول پیش</t>
  </si>
  <si>
    <t>حقوق</t>
  </si>
  <si>
    <t>خرج</t>
  </si>
  <si>
    <t>موجودی از سال قبل شامل طلب ها</t>
  </si>
  <si>
    <t>26/12/1396</t>
  </si>
  <si>
    <t>ردیف</t>
  </si>
  <si>
    <t>23/12/1396</t>
  </si>
  <si>
    <t>واریز وجه</t>
  </si>
  <si>
    <t>نام سهام</t>
  </si>
  <si>
    <t>تعداد</t>
  </si>
  <si>
    <t>سخاب 7</t>
  </si>
  <si>
    <t>تاریخ خرید</t>
  </si>
  <si>
    <t>قیمت کل</t>
  </si>
  <si>
    <t>قیمت فعلی</t>
  </si>
  <si>
    <t>موضوع</t>
  </si>
  <si>
    <t>سود بانکی</t>
  </si>
  <si>
    <t>جمع کل</t>
  </si>
  <si>
    <t>سود خواب پول</t>
  </si>
  <si>
    <t>قیمت فروش سر به سر</t>
  </si>
  <si>
    <t>اشاد6</t>
  </si>
  <si>
    <t>مبلغ 463673 تومن سود روزهای گذشته را هم دادم</t>
  </si>
  <si>
    <t>عملیات</t>
  </si>
  <si>
    <t>فروش</t>
  </si>
  <si>
    <t>قیمت</t>
  </si>
  <si>
    <t xml:space="preserve">درصد هزینه </t>
  </si>
  <si>
    <t>هزینه</t>
  </si>
  <si>
    <t>سود خالص</t>
  </si>
  <si>
    <t>اشاد5</t>
  </si>
  <si>
    <t>نرخ سود روز شمار</t>
  </si>
  <si>
    <t>مبلغ 463673 تومن سود روزهای گذشته را گرفتم</t>
  </si>
  <si>
    <t>قیمت عرضه فعلی</t>
  </si>
  <si>
    <t>دارایی</t>
  </si>
  <si>
    <t>نقد در حساب کارگزاری</t>
  </si>
  <si>
    <t>اشاد 5</t>
  </si>
  <si>
    <t>نام</t>
  </si>
  <si>
    <t>اشاد3</t>
  </si>
  <si>
    <t>اشاد4</t>
  </si>
  <si>
    <t>اشاد7</t>
  </si>
  <si>
    <t>اشاد8</t>
  </si>
  <si>
    <t>اشاد9</t>
  </si>
  <si>
    <t>اخزا601</t>
  </si>
  <si>
    <t>اخزا602</t>
  </si>
  <si>
    <t>اخزا603</t>
  </si>
  <si>
    <t>اخزا604</t>
  </si>
  <si>
    <t>اخزا605</t>
  </si>
  <si>
    <t>اخزا606</t>
  </si>
  <si>
    <t>اخزا607</t>
  </si>
  <si>
    <t>تاریخ سررسید</t>
  </si>
  <si>
    <t>افاد1</t>
  </si>
  <si>
    <t>افاد2</t>
  </si>
  <si>
    <t>نرخ سود</t>
  </si>
  <si>
    <t xml:space="preserve">بازه پرداخت سود </t>
  </si>
  <si>
    <t>ارزش خرید</t>
  </si>
  <si>
    <t>26/6/1400</t>
  </si>
  <si>
    <t>20/6/1400</t>
  </si>
  <si>
    <t>صایتل2</t>
  </si>
  <si>
    <t>18/12/1397</t>
  </si>
  <si>
    <t>13/7/1398</t>
  </si>
  <si>
    <t>30/7/1398</t>
  </si>
  <si>
    <t>22/9/1398</t>
  </si>
  <si>
    <t>1/12/1398</t>
  </si>
  <si>
    <t>30/10/1398</t>
  </si>
  <si>
    <t>9/9/1399</t>
  </si>
  <si>
    <t>28/12/1397</t>
  </si>
  <si>
    <t>قیمت اسمی در سررسید</t>
  </si>
  <si>
    <t>اخزا608</t>
  </si>
  <si>
    <t>اخزا609</t>
  </si>
  <si>
    <t>اخزا610</t>
  </si>
  <si>
    <t>اخزا611</t>
  </si>
  <si>
    <t>اخزا612</t>
  </si>
  <si>
    <t>اخزا613</t>
  </si>
  <si>
    <t>اخزا614</t>
  </si>
  <si>
    <t>اخزا615</t>
  </si>
  <si>
    <t>8/5/1397</t>
  </si>
  <si>
    <t>12/6/1397</t>
  </si>
  <si>
    <t>10/7/1397</t>
  </si>
  <si>
    <t>20/8/1398</t>
  </si>
  <si>
    <t>26/9/1397</t>
  </si>
  <si>
    <t>22/7/1398</t>
  </si>
  <si>
    <t>11/4/1398</t>
  </si>
  <si>
    <t>10/10/1397</t>
  </si>
  <si>
    <t>صایتل 902</t>
  </si>
  <si>
    <t>14/2/1399</t>
  </si>
  <si>
    <t>تضمین</t>
  </si>
  <si>
    <t>تامین اجتماعی</t>
  </si>
  <si>
    <t>11/9/1398</t>
  </si>
  <si>
    <t>13/9/1397</t>
  </si>
  <si>
    <t>14/11/1398</t>
  </si>
  <si>
    <t>16/10/1398</t>
  </si>
  <si>
    <t>ماه تا سررسید</t>
  </si>
  <si>
    <t>تاریخ مرجع</t>
  </si>
  <si>
    <t>25/12/1396</t>
  </si>
  <si>
    <t>27/12/1398</t>
  </si>
  <si>
    <t>اشاد1</t>
  </si>
  <si>
    <t>26/10/1400</t>
  </si>
  <si>
    <t>نرخ سود اوراق</t>
  </si>
  <si>
    <t>قیمت اسمی</t>
  </si>
  <si>
    <t>از کارت مریم 60 و کارت سارا 27</t>
  </si>
  <si>
    <t>اخزا 604</t>
  </si>
  <si>
    <t>سود اشاد3</t>
  </si>
  <si>
    <t>سود اشاد6</t>
  </si>
  <si>
    <t>سود اشاد 6</t>
  </si>
  <si>
    <t>برای تولد کیانا</t>
  </si>
  <si>
    <t>علی به حساب بورس خودش ریخت</t>
  </si>
  <si>
    <t>علی به حساب بوس خودش ریخت</t>
  </si>
  <si>
    <t>بدهی بورسی به مریم</t>
  </si>
  <si>
    <t>طلب بورسی از علی</t>
  </si>
  <si>
    <t>علی 3 و مریم 2.85 حقوق اسفند</t>
  </si>
  <si>
    <t>از حقوق اسفند 3 ریختم به مسکن یاران مریم</t>
  </si>
  <si>
    <t xml:space="preserve"> 30/11/1396</t>
  </si>
  <si>
    <t>سود بمهن منهای خورده خرجی</t>
  </si>
  <si>
    <t>سود مریم</t>
  </si>
  <si>
    <t>مجموع سود علی</t>
  </si>
  <si>
    <t>مجموع سود مریم</t>
  </si>
  <si>
    <t>مبلغ 414893 سود دادم</t>
  </si>
  <si>
    <t>مبلغ 553191 سود دادم</t>
  </si>
  <si>
    <t>مبلغ 1247972 سود دادم</t>
  </si>
  <si>
    <t>مبلغ 416110 سود دادم</t>
  </si>
  <si>
    <t>27/12/1396</t>
  </si>
  <si>
    <t>کارگزاری مفید</t>
  </si>
  <si>
    <t xml:space="preserve">خرید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</si>
</sst>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\ت\و\م\ا\ن\ #,##0\ "/>
    <numFmt numFmtId="165" formatCode="[$-3000401]0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7">
    <xf numFmtId="0" fontId="0" fillId="0" borderId="0" xfId="0"/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164" fontId="0" fillId="0" borderId="0" xfId="0" applyNumberFormat="1"/>
    <xf numFmtId="0" fontId="0" fillId="0" borderId="3" xfId="0" applyFill="1" applyBorder="1" applyAlignment="1">
      <alignment horizontal="center"/>
    </xf>
    <xf numFmtId="0" fontId="0" fillId="2" borderId="0" xfId="0" applyFill="1"/>
    <xf numFmtId="0" fontId="0" fillId="0" borderId="4" xfId="0" applyFill="1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 vertical="center"/>
    </xf>
    <xf numFmtId="0" fontId="0" fillId="4" borderId="1" xfId="0" applyFill="1" applyBorder="1"/>
    <xf numFmtId="14" fontId="0" fillId="5" borderId="1" xfId="0" applyNumberFormat="1" applyFill="1" applyBorder="1" applyAlignment="1">
      <alignment horizontal="center"/>
    </xf>
    <xf numFmtId="164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2" borderId="1" xfId="0" applyFill="1" applyBorder="1"/>
    <xf numFmtId="1" fontId="0" fillId="0" borderId="0" xfId="0" applyNumberFormat="1"/>
    <xf numFmtId="0" fontId="0" fillId="0" borderId="0" xfId="0" applyBorder="1"/>
    <xf numFmtId="164" fontId="0" fillId="0" borderId="0" xfId="0" applyNumberFormat="1" applyBorder="1" applyAlignment="1">
      <alignment horizontal="center"/>
    </xf>
    <xf numFmtId="0" fontId="0" fillId="0" borderId="0" xfId="0" applyBorder="1" applyAlignment="1">
      <alignment wrapText="1"/>
    </xf>
    <xf numFmtId="164" fontId="0" fillId="0" borderId="0" xfId="0" applyNumberFormat="1" applyBorder="1"/>
    <xf numFmtId="164" fontId="0" fillId="0" borderId="1" xfId="0" applyNumberFormat="1" applyBorder="1"/>
    <xf numFmtId="14" fontId="0" fillId="5" borderId="1" xfId="0" applyNumberFormat="1" applyFill="1" applyBorder="1"/>
    <xf numFmtId="164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0" xfId="0" applyNumberFormat="1"/>
    <xf numFmtId="1" fontId="0" fillId="0" borderId="0" xfId="0" applyNumberFormat="1" applyAlignment="1">
      <alignment horizontal="center" vertical="center"/>
    </xf>
    <xf numFmtId="164" fontId="0" fillId="2" borderId="1" xfId="0" applyNumberFormat="1" applyFill="1" applyBorder="1" applyAlignment="1">
      <alignment horizontal="center"/>
    </xf>
    <xf numFmtId="0" fontId="0" fillId="0" borderId="1" xfId="0" applyBorder="1" applyAlignment="1">
      <alignment wrapText="1"/>
    </xf>
    <xf numFmtId="16" fontId="0" fillId="0" borderId="1" xfId="0" applyNumberFormat="1" applyBorder="1"/>
    <xf numFmtId="164" fontId="0" fillId="0" borderId="1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164" fontId="0" fillId="10" borderId="1" xfId="0" applyNumberFormat="1" applyFill="1" applyBorder="1" applyAlignment="1">
      <alignment horizontal="center"/>
    </xf>
    <xf numFmtId="164" fontId="0" fillId="11" borderId="1" xfId="0" applyNumberFormat="1" applyFill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0" fillId="12" borderId="1" xfId="0" applyNumberFormat="1" applyFill="1" applyBorder="1" applyAlignment="1">
      <alignment horizontal="center" vertical="center"/>
    </xf>
    <xf numFmtId="0" fontId="0" fillId="12" borderId="1" xfId="0" applyFill="1" applyBorder="1" applyAlignment="1">
      <alignment horizontal="center"/>
    </xf>
    <xf numFmtId="164" fontId="0" fillId="13" borderId="1" xfId="0" applyNumberFormat="1" applyFill="1" applyBorder="1" applyAlignment="1">
      <alignment horizontal="center"/>
    </xf>
    <xf numFmtId="164" fontId="0" fillId="7" borderId="1" xfId="0" applyNumberFormat="1" applyFill="1" applyBorder="1" applyAlignment="1">
      <alignment horizontal="center"/>
    </xf>
    <xf numFmtId="164" fontId="0" fillId="8" borderId="1" xfId="0" applyNumberFormat="1" applyFill="1" applyBorder="1" applyAlignment="1">
      <alignment horizontal="center"/>
    </xf>
    <xf numFmtId="164" fontId="1" fillId="8" borderId="1" xfId="0" applyNumberFormat="1" applyFont="1" applyFill="1" applyBorder="1" applyAlignment="1">
      <alignment horizontal="center"/>
    </xf>
    <xf numFmtId="0" fontId="0" fillId="0" borderId="1" xfId="0" applyFill="1" applyBorder="1" applyAlignment="1">
      <alignment wrapText="1"/>
    </xf>
    <xf numFmtId="0" fontId="0" fillId="0" borderId="0" xfId="0" applyAlignment="1">
      <alignment horizontal="center" wrapText="1"/>
    </xf>
    <xf numFmtId="164" fontId="0" fillId="5" borderId="0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4" fontId="0" fillId="0" borderId="1" xfId="0" applyNumberFormat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4" borderId="1" xfId="0" applyFill="1" applyBorder="1"/>
    <xf numFmtId="164" fontId="0" fillId="14" borderId="1" xfId="0" applyNumberFormat="1" applyFill="1" applyBorder="1" applyAlignment="1">
      <alignment horizontal="center"/>
    </xf>
    <xf numFmtId="164" fontId="0" fillId="11" borderId="1" xfId="0" applyNumberFormat="1" applyFont="1" applyFill="1" applyBorder="1" applyAlignment="1">
      <alignment horizontal="center"/>
    </xf>
    <xf numFmtId="0" fontId="0" fillId="0" borderId="1" xfId="0" applyBorder="1" applyAlignment="1">
      <alignment vertical="center" wrapText="1"/>
    </xf>
    <xf numFmtId="165" fontId="0" fillId="0" borderId="1" xfId="0" applyNumberFormat="1" applyBorder="1" applyAlignment="1">
      <alignment vertical="center" wrapText="1"/>
    </xf>
    <xf numFmtId="164" fontId="0" fillId="15" borderId="1" xfId="0" applyNumberFormat="1" applyFill="1" applyBorder="1" applyAlignment="1">
      <alignment horizontal="center"/>
    </xf>
    <xf numFmtId="0" fontId="0" fillId="0" borderId="1" xfId="0" applyFill="1" applyBorder="1"/>
    <xf numFmtId="16" fontId="0" fillId="0" borderId="0" xfId="0" applyNumberFormat="1" applyBorder="1"/>
    <xf numFmtId="164" fontId="0" fillId="5" borderId="0" xfId="0" applyNumberFormat="1" applyFill="1" applyBorder="1" applyAlignment="1">
      <alignment horizontal="center" vertical="center"/>
    </xf>
    <xf numFmtId="164" fontId="0" fillId="0" borderId="0" xfId="0" applyNumberFormat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3" xfId="0" applyFill="1" applyBorder="1"/>
    <xf numFmtId="0" fontId="0" fillId="0" borderId="1" xfId="0" applyBorder="1" applyAlignment="1"/>
    <xf numFmtId="0" fontId="0" fillId="16" borderId="1" xfId="0" applyFill="1" applyBorder="1"/>
    <xf numFmtId="164" fontId="0" fillId="16" borderId="1" xfId="0" applyNumberFormat="1" applyFill="1" applyBorder="1" applyAlignment="1">
      <alignment horizontal="center"/>
    </xf>
    <xf numFmtId="164" fontId="0" fillId="16" borderId="1" xfId="0" applyNumberFormat="1" applyFill="1" applyBorder="1"/>
    <xf numFmtId="0" fontId="0" fillId="17" borderId="1" xfId="0" applyFill="1" applyBorder="1"/>
    <xf numFmtId="164" fontId="0" fillId="17" borderId="1" xfId="0" applyNumberFormat="1" applyFill="1" applyBorder="1" applyAlignment="1">
      <alignment horizontal="center"/>
    </xf>
    <xf numFmtId="164" fontId="0" fillId="17" borderId="1" xfId="0" applyNumberFormat="1" applyFill="1" applyBorder="1"/>
    <xf numFmtId="0" fontId="0" fillId="18" borderId="1" xfId="0" applyFill="1" applyBorder="1"/>
    <xf numFmtId="0" fontId="0" fillId="12" borderId="1" xfId="0" applyFill="1" applyBorder="1"/>
    <xf numFmtId="164" fontId="0" fillId="12" borderId="1" xfId="0" applyNumberFormat="1" applyFill="1" applyBorder="1" applyAlignment="1">
      <alignment horizontal="center"/>
    </xf>
    <xf numFmtId="164" fontId="0" fillId="12" borderId="1" xfId="0" applyNumberFormat="1" applyFill="1" applyBorder="1"/>
  </cellXfs>
  <cellStyles count="1">
    <cellStyle name="Normal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4" workbookViewId="0">
      <selection activeCell="F6" sqref="F6"/>
    </sheetView>
  </sheetViews>
  <sheetFormatPr defaultRowHeight="15" x14ac:dyDescent="0.25"/>
  <cols>
    <col min="1" max="1" width="10.7109375" bestFit="1" customWidth="1"/>
    <col min="2" max="2" width="15.85546875" bestFit="1" customWidth="1"/>
    <col min="3" max="3" width="14.85546875" bestFit="1" customWidth="1"/>
    <col min="4" max="4" width="15.85546875" bestFit="1" customWidth="1"/>
    <col min="5" max="5" width="27.85546875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908</v>
      </c>
      <c r="B2" s="3">
        <f>'بهمن 96'!B24</f>
        <v>36168487</v>
      </c>
      <c r="C2" s="1">
        <f>'بهمن 96'!C24</f>
        <v>8491314</v>
      </c>
      <c r="D2" s="3">
        <f>B2-C2</f>
        <v>27677173</v>
      </c>
      <c r="E2" s="2" t="s">
        <v>59</v>
      </c>
      <c r="F2">
        <v>30</v>
      </c>
      <c r="G2">
        <f>B2*F2</f>
        <v>1085054610</v>
      </c>
      <c r="H2">
        <f>C2*F2</f>
        <v>254739420</v>
      </c>
      <c r="I2">
        <f>D2*F2</f>
        <v>830315190</v>
      </c>
    </row>
    <row r="3" spans="1:17" x14ac:dyDescent="0.25">
      <c r="A3" s="20" t="s">
        <v>919</v>
      </c>
      <c r="B3" s="18">
        <v>-1000500</v>
      </c>
      <c r="C3" s="18">
        <v>-1000500</v>
      </c>
      <c r="D3" s="43">
        <f t="shared" ref="D3:D22" si="0">B3-C3</f>
        <v>0</v>
      </c>
      <c r="E3" s="20" t="s">
        <v>920</v>
      </c>
      <c r="F3">
        <v>11</v>
      </c>
      <c r="G3">
        <f t="shared" ref="G3:G23" si="1">B3*F3</f>
        <v>-11005500</v>
      </c>
      <c r="H3">
        <f t="shared" ref="H3:H23" si="2">C3*F3</f>
        <v>-11005500</v>
      </c>
      <c r="I3">
        <f t="shared" ref="I3:I23" si="3">D3*F3</f>
        <v>0</v>
      </c>
    </row>
    <row r="4" spans="1:17" x14ac:dyDescent="0.25">
      <c r="A4" s="20" t="s">
        <v>933</v>
      </c>
      <c r="B4" s="18">
        <v>-10000</v>
      </c>
      <c r="C4" s="18">
        <v>-5000</v>
      </c>
      <c r="D4" s="3">
        <f t="shared" si="0"/>
        <v>-5000</v>
      </c>
      <c r="E4" s="11" t="s">
        <v>939</v>
      </c>
      <c r="F4">
        <v>16</v>
      </c>
      <c r="G4">
        <f t="shared" si="1"/>
        <v>-160000</v>
      </c>
      <c r="H4">
        <f t="shared" si="2"/>
        <v>-80000</v>
      </c>
      <c r="I4">
        <f t="shared" si="3"/>
        <v>-80000</v>
      </c>
      <c r="O4">
        <v>1</v>
      </c>
      <c r="P4">
        <v>29</v>
      </c>
      <c r="Q4">
        <v>30</v>
      </c>
    </row>
    <row r="5" spans="1:17" x14ac:dyDescent="0.25">
      <c r="A5" s="30" t="s">
        <v>960</v>
      </c>
      <c r="B5" s="18">
        <v>-27000000</v>
      </c>
      <c r="C5" s="18">
        <v>0</v>
      </c>
      <c r="D5" s="3">
        <f t="shared" si="0"/>
        <v>-27000000</v>
      </c>
      <c r="E5" s="20" t="s">
        <v>1060</v>
      </c>
      <c r="F5">
        <v>5</v>
      </c>
      <c r="G5">
        <f t="shared" si="1"/>
        <v>-135000000</v>
      </c>
      <c r="H5">
        <f t="shared" si="2"/>
        <v>0</v>
      </c>
      <c r="I5">
        <f t="shared" si="3"/>
        <v>-135000000</v>
      </c>
      <c r="O5">
        <v>2</v>
      </c>
      <c r="P5">
        <v>28</v>
      </c>
      <c r="Q5">
        <v>29</v>
      </c>
    </row>
    <row r="6" spans="1:17" x14ac:dyDescent="0.25">
      <c r="A6" s="17" t="s">
        <v>780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 x14ac:dyDescent="0.25">
      <c r="A24" s="2" t="s">
        <v>6</v>
      </c>
      <c r="B24" s="3">
        <f>SUM(B2:B22)</f>
        <v>8157987</v>
      </c>
      <c r="C24" s="3">
        <f>SUM(C2:C22)</f>
        <v>7485814</v>
      </c>
      <c r="D24" s="3">
        <f>SUM(D2:D22)</f>
        <v>672173</v>
      </c>
      <c r="E24" s="2"/>
      <c r="O24">
        <v>21</v>
      </c>
      <c r="P24">
        <v>9</v>
      </c>
      <c r="Q24">
        <v>10</v>
      </c>
    </row>
    <row r="25" spans="1:17" x14ac:dyDescent="0.25">
      <c r="G25" s="18">
        <f>SUM(G2:G23)</f>
        <v>938889110</v>
      </c>
      <c r="H25" s="18">
        <f>SUM(H2:H23)</f>
        <v>243653920</v>
      </c>
      <c r="I25" s="18">
        <f>SUM(I2:I23)</f>
        <v>695235190</v>
      </c>
      <c r="O25">
        <v>22</v>
      </c>
      <c r="P25">
        <v>8</v>
      </c>
      <c r="Q25">
        <v>9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 x14ac:dyDescent="0.25">
      <c r="O27">
        <v>24</v>
      </c>
      <c r="P27">
        <v>6</v>
      </c>
      <c r="Q27">
        <v>7</v>
      </c>
    </row>
    <row r="28" spans="1:17" x14ac:dyDescent="0.25">
      <c r="F28" t="s">
        <v>25</v>
      </c>
      <c r="O28">
        <v>25</v>
      </c>
      <c r="P28">
        <v>5</v>
      </c>
      <c r="Q28">
        <v>6</v>
      </c>
    </row>
    <row r="29" spans="1:17" x14ac:dyDescent="0.25">
      <c r="D29" s="41"/>
      <c r="E29" s="41" t="s">
        <v>85</v>
      </c>
      <c r="O29">
        <v>26</v>
      </c>
      <c r="P29">
        <v>4</v>
      </c>
      <c r="Q29">
        <v>5</v>
      </c>
    </row>
    <row r="30" spans="1:17" x14ac:dyDescent="0.25">
      <c r="D30" s="42">
        <v>7081922</v>
      </c>
      <c r="E30" s="41" t="s">
        <v>95</v>
      </c>
      <c r="G30" s="18">
        <f>G25*100000/365000000</f>
        <v>257229.89315068492</v>
      </c>
      <c r="H30" s="18">
        <f>G30*H25/G25</f>
        <v>66754.498630136979</v>
      </c>
      <c r="I30" s="18">
        <f>G30*I25/G25</f>
        <v>190475.39452054794</v>
      </c>
      <c r="O30">
        <v>27</v>
      </c>
      <c r="P30">
        <v>3</v>
      </c>
      <c r="Q30">
        <v>4</v>
      </c>
    </row>
    <row r="31" spans="1:17" x14ac:dyDescent="0.25">
      <c r="D31" s="42">
        <v>-30000</v>
      </c>
      <c r="E31" s="54" t="s">
        <v>94</v>
      </c>
      <c r="G31" s="9" t="s">
        <v>409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 x14ac:dyDescent="0.25">
      <c r="B32" s="7"/>
      <c r="D32" s="42">
        <v>-102000</v>
      </c>
      <c r="E32" s="41" t="s">
        <v>921</v>
      </c>
      <c r="O32">
        <v>29</v>
      </c>
      <c r="P32">
        <v>1</v>
      </c>
      <c r="Q32">
        <v>2</v>
      </c>
    </row>
    <row r="33" spans="4:17" x14ac:dyDescent="0.25">
      <c r="D33" s="42">
        <v>-163000</v>
      </c>
      <c r="E33" s="41" t="s">
        <v>951</v>
      </c>
      <c r="O33">
        <v>30</v>
      </c>
      <c r="P33">
        <v>0</v>
      </c>
      <c r="Q33">
        <v>1</v>
      </c>
    </row>
    <row r="34" spans="4:17" x14ac:dyDescent="0.25">
      <c r="D34" s="42">
        <v>-150000</v>
      </c>
      <c r="E34" s="41" t="s">
        <v>1058</v>
      </c>
      <c r="P34" t="s">
        <v>60</v>
      </c>
      <c r="Q34" t="s">
        <v>61</v>
      </c>
    </row>
    <row r="35" spans="4:17" x14ac:dyDescent="0.25">
      <c r="D35" s="42">
        <v>0</v>
      </c>
      <c r="E35" s="41"/>
    </row>
    <row r="36" spans="4:17" x14ac:dyDescent="0.25">
      <c r="D36" s="42">
        <v>0</v>
      </c>
      <c r="E36" s="41"/>
    </row>
    <row r="37" spans="4:17" x14ac:dyDescent="0.25">
      <c r="D37" s="7">
        <v>0</v>
      </c>
      <c r="E37" s="41"/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6636922</v>
      </c>
      <c r="E42" t="s">
        <v>6</v>
      </c>
    </row>
    <row r="43" spans="4:17" x14ac:dyDescent="0.25">
      <c r="D43" s="7"/>
      <c r="E43" s="4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5"/>
  <sheetViews>
    <sheetView zoomScaleNormal="100" workbookViewId="0">
      <pane ySplit="1" topLeftCell="A131" activePane="bottomLeft" state="frozen"/>
      <selection pane="bottomLeft" activeCell="B148" sqref="B148"/>
    </sheetView>
  </sheetViews>
  <sheetFormatPr defaultRowHeight="15" x14ac:dyDescent="0.25"/>
  <cols>
    <col min="1" max="1" width="10.7109375" bestFit="1" customWidth="1"/>
    <col min="2" max="2" width="16.85546875" bestFit="1" customWidth="1"/>
    <col min="3" max="3" width="15.85546875" customWidth="1"/>
    <col min="4" max="4" width="16.85546875" bestFit="1" customWidth="1"/>
    <col min="5" max="5" width="55.85546875" bestFit="1" customWidth="1"/>
    <col min="6" max="6" width="20.7109375" customWidth="1"/>
    <col min="7" max="7" width="17.85546875" customWidth="1"/>
    <col min="8" max="8" width="23.5703125" customWidth="1"/>
    <col min="9" max="9" width="20.85546875" customWidth="1"/>
    <col min="10" max="11" width="20.7109375" bestFit="1" customWidth="1"/>
    <col min="12" max="13" width="17.85546875" bestFit="1" customWidth="1"/>
    <col min="14" max="14" width="16.140625" bestFit="1" customWidth="1"/>
    <col min="15" max="15" width="15.140625" bestFit="1" customWidth="1"/>
  </cols>
  <sheetData>
    <row r="1" spans="1:11" ht="26.25" customHeight="1" x14ac:dyDescent="0.25">
      <c r="A1" s="11" t="s">
        <v>180</v>
      </c>
      <c r="B1" s="11" t="s">
        <v>267</v>
      </c>
      <c r="C1" s="11" t="s">
        <v>4</v>
      </c>
      <c r="D1" s="11" t="s">
        <v>484</v>
      </c>
      <c r="E1" s="11" t="s">
        <v>25</v>
      </c>
      <c r="F1" s="36" t="s">
        <v>280</v>
      </c>
      <c r="G1" s="36" t="s">
        <v>281</v>
      </c>
      <c r="H1" s="36" t="s">
        <v>285</v>
      </c>
      <c r="I1" s="11" t="s">
        <v>35</v>
      </c>
      <c r="J1" s="53" t="s">
        <v>36</v>
      </c>
      <c r="K1" s="53" t="s">
        <v>485</v>
      </c>
    </row>
    <row r="2" spans="1:11" x14ac:dyDescent="0.25">
      <c r="A2" s="2" t="s">
        <v>0</v>
      </c>
      <c r="B2" s="1">
        <v>16700</v>
      </c>
      <c r="C2" s="1">
        <v>16700</v>
      </c>
      <c r="D2" s="3">
        <f>B2-C2</f>
        <v>0</v>
      </c>
      <c r="E2" s="2" t="s">
        <v>1</v>
      </c>
      <c r="F2" s="36">
        <v>1</v>
      </c>
      <c r="G2" s="36">
        <f>G3+F2</f>
        <v>623</v>
      </c>
      <c r="H2" s="36">
        <f>IF(B2&gt;0,1,0)</f>
        <v>1</v>
      </c>
      <c r="I2" s="11">
        <f>B2*(G2-H2)</f>
        <v>10387400</v>
      </c>
      <c r="J2" s="53">
        <f>C2*(G2-H2)</f>
        <v>10387400</v>
      </c>
      <c r="K2" s="53">
        <f>D2*(G2-H2)</f>
        <v>0</v>
      </c>
    </row>
    <row r="3" spans="1:11" x14ac:dyDescent="0.25">
      <c r="A3" s="2" t="s">
        <v>2</v>
      </c>
      <c r="B3" s="1">
        <v>19900000</v>
      </c>
      <c r="C3" s="1">
        <v>11387000</v>
      </c>
      <c r="D3" s="3">
        <f t="shared" ref="D3:D19" si="0">B3-C3</f>
        <v>8513000</v>
      </c>
      <c r="E3" s="2" t="s">
        <v>9</v>
      </c>
      <c r="F3" s="36">
        <v>0</v>
      </c>
      <c r="G3" s="36">
        <f t="shared" ref="G3:G66" si="1">G4+F3</f>
        <v>622</v>
      </c>
      <c r="H3" s="36">
        <f t="shared" ref="H3:H66" si="2">IF(B3&gt;0,1,0)</f>
        <v>1</v>
      </c>
      <c r="I3" s="11">
        <f t="shared" ref="I3:I66" si="3">B3*(G3-H3)</f>
        <v>12357900000</v>
      </c>
      <c r="J3" s="53">
        <f t="shared" ref="J3:J66" si="4">C3*(G3-H3)</f>
        <v>7071327000</v>
      </c>
      <c r="K3" s="53">
        <f t="shared" ref="K3:K66" si="5">D3*(G3-H3)</f>
        <v>5286573000</v>
      </c>
    </row>
    <row r="4" spans="1:11" x14ac:dyDescent="0.25">
      <c r="A4" s="2" t="s">
        <v>2</v>
      </c>
      <c r="B4" s="1">
        <v>0</v>
      </c>
      <c r="C4" s="1">
        <v>8500</v>
      </c>
      <c r="D4" s="3">
        <f t="shared" si="0"/>
        <v>-8500</v>
      </c>
      <c r="E4" s="2" t="s">
        <v>10</v>
      </c>
      <c r="F4" s="36">
        <v>2</v>
      </c>
      <c r="G4" s="36">
        <f t="shared" si="1"/>
        <v>622</v>
      </c>
      <c r="H4" s="36">
        <f t="shared" si="2"/>
        <v>0</v>
      </c>
      <c r="I4" s="11">
        <f t="shared" si="3"/>
        <v>0</v>
      </c>
      <c r="J4" s="53">
        <f t="shared" si="4"/>
        <v>5287000</v>
      </c>
      <c r="K4" s="53">
        <f t="shared" si="5"/>
        <v>-5287000</v>
      </c>
    </row>
    <row r="5" spans="1:11" x14ac:dyDescent="0.25">
      <c r="A5" s="2" t="s">
        <v>3</v>
      </c>
      <c r="B5" s="1">
        <v>2000000</v>
      </c>
      <c r="C5" s="1">
        <v>0</v>
      </c>
      <c r="D5" s="3">
        <f t="shared" si="0"/>
        <v>2000000</v>
      </c>
      <c r="E5" s="2" t="s">
        <v>11</v>
      </c>
      <c r="F5" s="36">
        <v>7</v>
      </c>
      <c r="G5" s="36">
        <f t="shared" si="1"/>
        <v>620</v>
      </c>
      <c r="H5" s="36">
        <f t="shared" si="2"/>
        <v>1</v>
      </c>
      <c r="I5" s="11">
        <f t="shared" si="3"/>
        <v>1238000000</v>
      </c>
      <c r="J5" s="53">
        <f t="shared" si="4"/>
        <v>0</v>
      </c>
      <c r="K5" s="53">
        <f t="shared" si="5"/>
        <v>1238000000</v>
      </c>
    </row>
    <row r="6" spans="1:11" x14ac:dyDescent="0.25">
      <c r="A6" s="2" t="s">
        <v>7</v>
      </c>
      <c r="B6" s="1">
        <v>-5000</v>
      </c>
      <c r="C6" s="1">
        <v>0</v>
      </c>
      <c r="D6" s="3">
        <f t="shared" si="0"/>
        <v>-5000</v>
      </c>
      <c r="E6" s="2" t="s">
        <v>12</v>
      </c>
      <c r="F6" s="36">
        <v>4</v>
      </c>
      <c r="G6" s="36">
        <f t="shared" si="1"/>
        <v>613</v>
      </c>
      <c r="H6" s="36">
        <f t="shared" si="2"/>
        <v>0</v>
      </c>
      <c r="I6" s="11">
        <f t="shared" si="3"/>
        <v>-3065000</v>
      </c>
      <c r="J6" s="53">
        <f t="shared" si="4"/>
        <v>0</v>
      </c>
      <c r="K6" s="53">
        <f t="shared" si="5"/>
        <v>-3065000</v>
      </c>
    </row>
    <row r="7" spans="1:11" x14ac:dyDescent="0.25">
      <c r="A7" s="4">
        <v>34701</v>
      </c>
      <c r="B7" s="1">
        <v>-1200500</v>
      </c>
      <c r="C7" s="1">
        <v>0</v>
      </c>
      <c r="D7" s="3">
        <f t="shared" si="0"/>
        <v>-1200500</v>
      </c>
      <c r="E7" s="2" t="s">
        <v>13</v>
      </c>
      <c r="F7" s="36">
        <v>1</v>
      </c>
      <c r="G7" s="36">
        <f t="shared" si="1"/>
        <v>609</v>
      </c>
      <c r="H7" s="36">
        <f t="shared" si="2"/>
        <v>0</v>
      </c>
      <c r="I7" s="11">
        <f t="shared" si="3"/>
        <v>-731104500</v>
      </c>
      <c r="J7" s="53">
        <f t="shared" si="4"/>
        <v>0</v>
      </c>
      <c r="K7" s="53">
        <f t="shared" si="5"/>
        <v>-731104500</v>
      </c>
    </row>
    <row r="8" spans="1:11" x14ac:dyDescent="0.25">
      <c r="A8" s="4">
        <v>34732</v>
      </c>
      <c r="B8" s="1">
        <v>-200000</v>
      </c>
      <c r="C8" s="1">
        <v>0</v>
      </c>
      <c r="D8" s="3">
        <f t="shared" si="0"/>
        <v>-200000</v>
      </c>
      <c r="E8" s="2" t="s">
        <v>14</v>
      </c>
      <c r="F8" s="36">
        <v>2</v>
      </c>
      <c r="G8" s="36">
        <f t="shared" si="1"/>
        <v>608</v>
      </c>
      <c r="H8" s="36">
        <f t="shared" si="2"/>
        <v>0</v>
      </c>
      <c r="I8" s="11">
        <f t="shared" si="3"/>
        <v>-121600000</v>
      </c>
      <c r="J8" s="53">
        <f t="shared" si="4"/>
        <v>0</v>
      </c>
      <c r="K8" s="53">
        <f t="shared" si="5"/>
        <v>-121600000</v>
      </c>
    </row>
    <row r="9" spans="1:11" x14ac:dyDescent="0.25">
      <c r="A9" s="4">
        <v>34791</v>
      </c>
      <c r="B9" s="1">
        <v>-705500</v>
      </c>
      <c r="C9" s="1">
        <v>0</v>
      </c>
      <c r="D9" s="3">
        <f t="shared" si="0"/>
        <v>-705500</v>
      </c>
      <c r="E9" s="2" t="s">
        <v>15</v>
      </c>
      <c r="F9" s="36">
        <v>9</v>
      </c>
      <c r="G9" s="36">
        <f t="shared" si="1"/>
        <v>606</v>
      </c>
      <c r="H9" s="36">
        <f t="shared" si="2"/>
        <v>0</v>
      </c>
      <c r="I9" s="11">
        <f t="shared" si="3"/>
        <v>-427533000</v>
      </c>
      <c r="J9" s="53">
        <f t="shared" si="4"/>
        <v>0</v>
      </c>
      <c r="K9" s="53">
        <f t="shared" si="5"/>
        <v>-427533000</v>
      </c>
    </row>
    <row r="10" spans="1:11" x14ac:dyDescent="0.25">
      <c r="A10" s="2" t="s">
        <v>16</v>
      </c>
      <c r="B10" s="1">
        <v>-200000</v>
      </c>
      <c r="C10" s="1">
        <v>0</v>
      </c>
      <c r="D10" s="3">
        <f t="shared" si="0"/>
        <v>-200000</v>
      </c>
      <c r="E10" s="2" t="s">
        <v>18</v>
      </c>
      <c r="F10" s="36">
        <v>0</v>
      </c>
      <c r="G10" s="36">
        <f t="shared" si="1"/>
        <v>597</v>
      </c>
      <c r="H10" s="36">
        <f t="shared" si="2"/>
        <v>0</v>
      </c>
      <c r="I10" s="11">
        <f t="shared" si="3"/>
        <v>-119400000</v>
      </c>
      <c r="J10" s="53">
        <f t="shared" si="4"/>
        <v>0</v>
      </c>
      <c r="K10" s="53">
        <f t="shared" si="5"/>
        <v>-119400000</v>
      </c>
    </row>
    <row r="11" spans="1:11" x14ac:dyDescent="0.25">
      <c r="A11" s="2" t="s">
        <v>16</v>
      </c>
      <c r="B11" s="1">
        <v>1000000</v>
      </c>
      <c r="C11" s="1">
        <v>0</v>
      </c>
      <c r="D11" s="3">
        <f t="shared" si="0"/>
        <v>1000000</v>
      </c>
      <c r="E11" s="2" t="s">
        <v>17</v>
      </c>
      <c r="F11" s="36">
        <v>4</v>
      </c>
      <c r="G11" s="36">
        <f t="shared" si="1"/>
        <v>597</v>
      </c>
      <c r="H11" s="36">
        <f t="shared" si="2"/>
        <v>1</v>
      </c>
      <c r="I11" s="11">
        <f t="shared" si="3"/>
        <v>596000000</v>
      </c>
      <c r="J11" s="53">
        <f t="shared" si="4"/>
        <v>0</v>
      </c>
      <c r="K11" s="53">
        <f t="shared" si="5"/>
        <v>596000000</v>
      </c>
    </row>
    <row r="12" spans="1:11" x14ac:dyDescent="0.25">
      <c r="A12" s="2" t="s">
        <v>19</v>
      </c>
      <c r="B12" s="1">
        <v>-300000</v>
      </c>
      <c r="C12" s="1">
        <v>0</v>
      </c>
      <c r="D12" s="3">
        <f t="shared" si="0"/>
        <v>-300000</v>
      </c>
      <c r="E12" s="2" t="s">
        <v>20</v>
      </c>
      <c r="F12" s="36">
        <v>5</v>
      </c>
      <c r="G12" s="36">
        <f t="shared" si="1"/>
        <v>593</v>
      </c>
      <c r="H12" s="36">
        <f t="shared" si="2"/>
        <v>0</v>
      </c>
      <c r="I12" s="11">
        <f t="shared" si="3"/>
        <v>-177900000</v>
      </c>
      <c r="J12" s="53">
        <f t="shared" si="4"/>
        <v>0</v>
      </c>
      <c r="K12" s="53">
        <f t="shared" si="5"/>
        <v>-177900000</v>
      </c>
    </row>
    <row r="13" spans="1:11" x14ac:dyDescent="0.25">
      <c r="A13" s="2" t="s">
        <v>21</v>
      </c>
      <c r="B13" s="1">
        <v>-62000</v>
      </c>
      <c r="C13" s="1">
        <v>0</v>
      </c>
      <c r="D13" s="3">
        <f t="shared" si="0"/>
        <v>-62000</v>
      </c>
      <c r="E13" s="2" t="s">
        <v>22</v>
      </c>
      <c r="F13" s="36">
        <v>0</v>
      </c>
      <c r="G13" s="36">
        <f t="shared" si="1"/>
        <v>588</v>
      </c>
      <c r="H13" s="36">
        <f t="shared" si="2"/>
        <v>0</v>
      </c>
      <c r="I13" s="11">
        <f t="shared" si="3"/>
        <v>-36456000</v>
      </c>
      <c r="J13" s="53">
        <f t="shared" si="4"/>
        <v>0</v>
      </c>
      <c r="K13" s="53">
        <f t="shared" si="5"/>
        <v>-36456000</v>
      </c>
    </row>
    <row r="14" spans="1:11" x14ac:dyDescent="0.25">
      <c r="A14" s="2" t="s">
        <v>21</v>
      </c>
      <c r="B14" s="1">
        <v>2000000</v>
      </c>
      <c r="C14" s="1">
        <v>0</v>
      </c>
      <c r="D14" s="3">
        <f t="shared" si="0"/>
        <v>2000000</v>
      </c>
      <c r="E14" s="2" t="s">
        <v>24</v>
      </c>
      <c r="F14" s="36">
        <v>1</v>
      </c>
      <c r="G14" s="36">
        <f t="shared" si="1"/>
        <v>588</v>
      </c>
      <c r="H14" s="36">
        <f t="shared" si="2"/>
        <v>1</v>
      </c>
      <c r="I14" s="11">
        <f t="shared" si="3"/>
        <v>1174000000</v>
      </c>
      <c r="J14" s="53">
        <f t="shared" si="4"/>
        <v>0</v>
      </c>
      <c r="K14" s="53">
        <f t="shared" si="5"/>
        <v>1174000000</v>
      </c>
    </row>
    <row r="15" spans="1:11" x14ac:dyDescent="0.25">
      <c r="A15" s="2" t="s">
        <v>23</v>
      </c>
      <c r="B15" s="1">
        <v>1800000</v>
      </c>
      <c r="C15" s="1">
        <v>0</v>
      </c>
      <c r="D15" s="3">
        <f t="shared" si="0"/>
        <v>1800000</v>
      </c>
      <c r="E15" s="2" t="s">
        <v>24</v>
      </c>
      <c r="F15" s="36">
        <v>0</v>
      </c>
      <c r="G15" s="36">
        <f t="shared" si="1"/>
        <v>587</v>
      </c>
      <c r="H15" s="36">
        <f t="shared" si="2"/>
        <v>1</v>
      </c>
      <c r="I15" s="11">
        <f t="shared" si="3"/>
        <v>1054800000</v>
      </c>
      <c r="J15" s="53">
        <f t="shared" si="4"/>
        <v>0</v>
      </c>
      <c r="K15" s="53">
        <f t="shared" si="5"/>
        <v>1054800000</v>
      </c>
    </row>
    <row r="16" spans="1:11" x14ac:dyDescent="0.25">
      <c r="A16" s="2" t="s">
        <v>23</v>
      </c>
      <c r="B16" s="1">
        <v>-200000</v>
      </c>
      <c r="C16" s="1">
        <v>0</v>
      </c>
      <c r="D16" s="3">
        <f t="shared" si="0"/>
        <v>-200000</v>
      </c>
      <c r="E16" s="2" t="s">
        <v>26</v>
      </c>
      <c r="F16" s="36">
        <v>4</v>
      </c>
      <c r="G16" s="36">
        <f t="shared" si="1"/>
        <v>587</v>
      </c>
      <c r="H16" s="36">
        <f t="shared" si="2"/>
        <v>0</v>
      </c>
      <c r="I16" s="11">
        <f t="shared" si="3"/>
        <v>-117400000</v>
      </c>
      <c r="J16" s="53">
        <f t="shared" si="4"/>
        <v>0</v>
      </c>
      <c r="K16" s="53">
        <f t="shared" si="5"/>
        <v>-117400000</v>
      </c>
    </row>
    <row r="17" spans="1:12" x14ac:dyDescent="0.25">
      <c r="A17" s="2" t="s">
        <v>27</v>
      </c>
      <c r="B17" s="1">
        <v>-2000000</v>
      </c>
      <c r="C17" s="1">
        <v>0</v>
      </c>
      <c r="D17" s="3">
        <f t="shared" si="0"/>
        <v>-2000000</v>
      </c>
      <c r="E17" s="2" t="s">
        <v>29</v>
      </c>
      <c r="F17" s="36">
        <v>1</v>
      </c>
      <c r="G17" s="36">
        <f t="shared" si="1"/>
        <v>583</v>
      </c>
      <c r="H17" s="36">
        <f t="shared" si="2"/>
        <v>0</v>
      </c>
      <c r="I17" s="11">
        <f t="shared" si="3"/>
        <v>-1166000000</v>
      </c>
      <c r="J17" s="53">
        <f t="shared" si="4"/>
        <v>0</v>
      </c>
      <c r="K17" s="53">
        <f t="shared" si="5"/>
        <v>-1166000000</v>
      </c>
      <c r="L17" t="s">
        <v>25</v>
      </c>
    </row>
    <row r="18" spans="1:12" x14ac:dyDescent="0.25">
      <c r="A18" s="2" t="s">
        <v>28</v>
      </c>
      <c r="B18" s="1">
        <v>-300000</v>
      </c>
      <c r="C18" s="1">
        <v>0</v>
      </c>
      <c r="D18" s="3">
        <f t="shared" si="0"/>
        <v>-300000</v>
      </c>
      <c r="E18" s="2" t="s">
        <v>29</v>
      </c>
      <c r="F18" s="36">
        <v>1</v>
      </c>
      <c r="G18" s="36">
        <f t="shared" si="1"/>
        <v>582</v>
      </c>
      <c r="H18" s="36">
        <f t="shared" si="2"/>
        <v>0</v>
      </c>
      <c r="I18" s="11">
        <f t="shared" si="3"/>
        <v>-174600000</v>
      </c>
      <c r="J18" s="53">
        <f t="shared" si="4"/>
        <v>0</v>
      </c>
      <c r="K18" s="53">
        <f t="shared" si="5"/>
        <v>-174600000</v>
      </c>
    </row>
    <row r="19" spans="1:12" x14ac:dyDescent="0.25">
      <c r="A19" s="2" t="s">
        <v>30</v>
      </c>
      <c r="B19" s="1">
        <v>-200000</v>
      </c>
      <c r="C19" s="1">
        <v>0</v>
      </c>
      <c r="D19" s="3">
        <f t="shared" si="0"/>
        <v>-200000</v>
      </c>
      <c r="E19" s="2" t="s">
        <v>18</v>
      </c>
      <c r="F19" s="36">
        <v>2</v>
      </c>
      <c r="G19" s="36">
        <f t="shared" si="1"/>
        <v>581</v>
      </c>
      <c r="H19" s="36">
        <f t="shared" si="2"/>
        <v>0</v>
      </c>
      <c r="I19" s="11">
        <f t="shared" si="3"/>
        <v>-116200000</v>
      </c>
      <c r="J19" s="53">
        <f t="shared" si="4"/>
        <v>0</v>
      </c>
      <c r="K19" s="53">
        <f t="shared" si="5"/>
        <v>-116200000</v>
      </c>
    </row>
    <row r="20" spans="1:12" x14ac:dyDescent="0.25">
      <c r="A20" s="4">
        <v>34702</v>
      </c>
      <c r="B20" s="1">
        <v>271089</v>
      </c>
      <c r="C20" s="1">
        <v>147452</v>
      </c>
      <c r="D20" s="3">
        <f>B20-C20</f>
        <v>123637</v>
      </c>
      <c r="E20" s="5" t="s">
        <v>31</v>
      </c>
      <c r="F20" s="36">
        <v>2</v>
      </c>
      <c r="G20" s="36">
        <f t="shared" si="1"/>
        <v>579</v>
      </c>
      <c r="H20" s="36">
        <f t="shared" si="2"/>
        <v>1</v>
      </c>
      <c r="I20" s="11">
        <f t="shared" si="3"/>
        <v>156689442</v>
      </c>
      <c r="J20" s="53">
        <f t="shared" si="4"/>
        <v>85227256</v>
      </c>
      <c r="K20" s="53">
        <f t="shared" si="5"/>
        <v>71462186</v>
      </c>
    </row>
    <row r="21" spans="1:12" x14ac:dyDescent="0.25">
      <c r="A21" s="4">
        <v>34761</v>
      </c>
      <c r="B21" s="1">
        <v>-1505700</v>
      </c>
      <c r="C21" s="1">
        <v>0</v>
      </c>
      <c r="D21" s="3">
        <f t="shared" ref="D21:D84" si="6">B21-C21</f>
        <v>-1505700</v>
      </c>
      <c r="E21" s="2" t="s">
        <v>32</v>
      </c>
      <c r="F21" s="36">
        <v>3</v>
      </c>
      <c r="G21" s="36">
        <f t="shared" si="1"/>
        <v>577</v>
      </c>
      <c r="H21" s="36">
        <f t="shared" si="2"/>
        <v>0</v>
      </c>
      <c r="I21" s="11">
        <f t="shared" si="3"/>
        <v>-868788900</v>
      </c>
      <c r="J21" s="53">
        <f t="shared" si="4"/>
        <v>0</v>
      </c>
      <c r="K21" s="53">
        <f t="shared" si="5"/>
        <v>-868788900</v>
      </c>
    </row>
    <row r="22" spans="1:12" x14ac:dyDescent="0.25">
      <c r="A22" s="4">
        <v>34853</v>
      </c>
      <c r="B22" s="1">
        <v>3000000</v>
      </c>
      <c r="C22" s="1">
        <v>0</v>
      </c>
      <c r="D22" s="3">
        <f t="shared" si="6"/>
        <v>3000000</v>
      </c>
      <c r="E22" s="2" t="s">
        <v>33</v>
      </c>
      <c r="F22" s="36">
        <v>1</v>
      </c>
      <c r="G22" s="36">
        <f t="shared" si="1"/>
        <v>574</v>
      </c>
      <c r="H22" s="36">
        <f t="shared" si="2"/>
        <v>1</v>
      </c>
      <c r="I22" s="11">
        <f t="shared" si="3"/>
        <v>1719000000</v>
      </c>
      <c r="J22" s="53">
        <f t="shared" si="4"/>
        <v>0</v>
      </c>
      <c r="K22" s="53">
        <f t="shared" si="5"/>
        <v>1719000000</v>
      </c>
    </row>
    <row r="23" spans="1:12" x14ac:dyDescent="0.25">
      <c r="A23" s="4">
        <v>34883</v>
      </c>
      <c r="B23" s="1">
        <v>1000000</v>
      </c>
      <c r="C23" s="1">
        <v>0</v>
      </c>
      <c r="D23" s="3">
        <f t="shared" si="6"/>
        <v>1000000</v>
      </c>
      <c r="E23" s="2" t="s">
        <v>34</v>
      </c>
      <c r="F23" s="36">
        <v>1</v>
      </c>
      <c r="G23" s="36">
        <f t="shared" si="1"/>
        <v>573</v>
      </c>
      <c r="H23" s="36">
        <f t="shared" si="2"/>
        <v>1</v>
      </c>
      <c r="I23" s="11">
        <f t="shared" si="3"/>
        <v>572000000</v>
      </c>
      <c r="J23" s="53">
        <f t="shared" si="4"/>
        <v>0</v>
      </c>
      <c r="K23" s="53">
        <f t="shared" si="5"/>
        <v>572000000</v>
      </c>
    </row>
    <row r="24" spans="1:12" x14ac:dyDescent="0.25">
      <c r="A24" s="4">
        <v>34914</v>
      </c>
      <c r="B24" s="1">
        <v>-3000900</v>
      </c>
      <c r="C24" s="1">
        <v>0</v>
      </c>
      <c r="D24" s="3">
        <f t="shared" si="6"/>
        <v>-3000900</v>
      </c>
      <c r="E24" s="2" t="s">
        <v>43</v>
      </c>
      <c r="F24" s="36">
        <v>15</v>
      </c>
      <c r="G24" s="36">
        <f t="shared" si="1"/>
        <v>572</v>
      </c>
      <c r="H24" s="36">
        <f t="shared" si="2"/>
        <v>0</v>
      </c>
      <c r="I24" s="11">
        <f t="shared" si="3"/>
        <v>-1716514800</v>
      </c>
      <c r="J24" s="53">
        <f t="shared" si="4"/>
        <v>0</v>
      </c>
      <c r="K24" s="53">
        <f t="shared" si="5"/>
        <v>-1716514800</v>
      </c>
    </row>
    <row r="25" spans="1:12" x14ac:dyDescent="0.25">
      <c r="A25" s="4" t="s">
        <v>44</v>
      </c>
      <c r="B25" s="1">
        <v>1500000</v>
      </c>
      <c r="C25" s="1">
        <v>0</v>
      </c>
      <c r="D25" s="3">
        <f t="shared" si="6"/>
        <v>1500000</v>
      </c>
      <c r="E25" s="2" t="s">
        <v>45</v>
      </c>
      <c r="F25" s="36">
        <v>8</v>
      </c>
      <c r="G25" s="36">
        <f t="shared" si="1"/>
        <v>557</v>
      </c>
      <c r="H25" s="36">
        <f t="shared" si="2"/>
        <v>1</v>
      </c>
      <c r="I25" s="11">
        <f t="shared" si="3"/>
        <v>834000000</v>
      </c>
      <c r="J25" s="53">
        <f t="shared" si="4"/>
        <v>0</v>
      </c>
      <c r="K25" s="53">
        <f t="shared" si="5"/>
        <v>834000000</v>
      </c>
    </row>
    <row r="26" spans="1:12" x14ac:dyDescent="0.25">
      <c r="A26" s="4" t="s">
        <v>46</v>
      </c>
      <c r="B26" s="1">
        <v>-164000</v>
      </c>
      <c r="C26" s="1">
        <v>0</v>
      </c>
      <c r="D26" s="3">
        <f t="shared" si="6"/>
        <v>-164000</v>
      </c>
      <c r="E26" s="2" t="s">
        <v>47</v>
      </c>
      <c r="F26" s="36">
        <v>1</v>
      </c>
      <c r="G26" s="36">
        <f t="shared" si="1"/>
        <v>549</v>
      </c>
      <c r="H26" s="36">
        <f t="shared" si="2"/>
        <v>0</v>
      </c>
      <c r="I26" s="11">
        <f t="shared" si="3"/>
        <v>-90036000</v>
      </c>
      <c r="J26" s="53">
        <f t="shared" si="4"/>
        <v>0</v>
      </c>
      <c r="K26" s="53">
        <f t="shared" si="5"/>
        <v>-90036000</v>
      </c>
    </row>
    <row r="27" spans="1:12" x14ac:dyDescent="0.25">
      <c r="A27" s="4">
        <v>34703</v>
      </c>
      <c r="B27" s="1">
        <v>199393</v>
      </c>
      <c r="C27" s="1">
        <v>107413</v>
      </c>
      <c r="D27" s="3">
        <f t="shared" si="6"/>
        <v>91980</v>
      </c>
      <c r="E27" s="5" t="s">
        <v>48</v>
      </c>
      <c r="F27" s="36">
        <v>2</v>
      </c>
      <c r="G27" s="36">
        <f t="shared" si="1"/>
        <v>548</v>
      </c>
      <c r="H27" s="36">
        <f t="shared" si="2"/>
        <v>1</v>
      </c>
      <c r="I27" s="11">
        <f t="shared" si="3"/>
        <v>109067971</v>
      </c>
      <c r="J27" s="53">
        <f t="shared" si="4"/>
        <v>58754911</v>
      </c>
      <c r="K27" s="53">
        <f t="shared" si="5"/>
        <v>50313060</v>
      </c>
    </row>
    <row r="28" spans="1:12" x14ac:dyDescent="0.25">
      <c r="A28" s="4">
        <v>34762</v>
      </c>
      <c r="B28" s="1">
        <v>-221000</v>
      </c>
      <c r="C28" s="1">
        <v>-221000</v>
      </c>
      <c r="D28" s="3">
        <f>B28-C28</f>
        <v>0</v>
      </c>
      <c r="E28" s="2" t="s">
        <v>49</v>
      </c>
      <c r="F28" s="36">
        <v>0</v>
      </c>
      <c r="G28" s="36">
        <f t="shared" si="1"/>
        <v>546</v>
      </c>
      <c r="H28" s="36">
        <f t="shared" si="2"/>
        <v>0</v>
      </c>
      <c r="I28" s="11">
        <f t="shared" si="3"/>
        <v>-120666000</v>
      </c>
      <c r="J28" s="53">
        <f t="shared" si="4"/>
        <v>-120666000</v>
      </c>
      <c r="K28" s="53">
        <f t="shared" si="5"/>
        <v>0</v>
      </c>
    </row>
    <row r="29" spans="1:12" x14ac:dyDescent="0.25">
      <c r="A29" s="4">
        <v>34762</v>
      </c>
      <c r="B29" s="1">
        <v>-500500</v>
      </c>
      <c r="C29" s="1">
        <v>0</v>
      </c>
      <c r="D29" s="3">
        <f t="shared" si="6"/>
        <v>-500500</v>
      </c>
      <c r="E29" s="2" t="s">
        <v>50</v>
      </c>
      <c r="F29" s="36">
        <v>0</v>
      </c>
      <c r="G29" s="36">
        <f t="shared" si="1"/>
        <v>546</v>
      </c>
      <c r="H29" s="36">
        <f t="shared" si="2"/>
        <v>0</v>
      </c>
      <c r="I29" s="11">
        <f t="shared" si="3"/>
        <v>-273273000</v>
      </c>
      <c r="J29" s="53">
        <f t="shared" si="4"/>
        <v>0</v>
      </c>
      <c r="K29" s="53">
        <f t="shared" si="5"/>
        <v>-273273000</v>
      </c>
    </row>
    <row r="30" spans="1:12" x14ac:dyDescent="0.25">
      <c r="A30" s="4">
        <v>34762</v>
      </c>
      <c r="B30" s="1">
        <v>-15000000</v>
      </c>
      <c r="C30" s="1">
        <v>-15000000</v>
      </c>
      <c r="D30" s="3">
        <f t="shared" si="6"/>
        <v>0</v>
      </c>
      <c r="E30" s="2" t="s">
        <v>51</v>
      </c>
      <c r="F30" s="36">
        <v>17</v>
      </c>
      <c r="G30" s="36">
        <f t="shared" si="1"/>
        <v>546</v>
      </c>
      <c r="H30" s="36">
        <f t="shared" si="2"/>
        <v>0</v>
      </c>
      <c r="I30" s="11">
        <f t="shared" si="3"/>
        <v>-8190000000</v>
      </c>
      <c r="J30" s="53">
        <f t="shared" si="4"/>
        <v>-8190000000</v>
      </c>
      <c r="K30" s="53">
        <f t="shared" si="5"/>
        <v>0</v>
      </c>
    </row>
    <row r="31" spans="1:12" x14ac:dyDescent="0.25">
      <c r="A31" s="4" t="s">
        <v>52</v>
      </c>
      <c r="B31" s="1">
        <v>-3010900</v>
      </c>
      <c r="C31" s="1">
        <v>0</v>
      </c>
      <c r="D31" s="3">
        <f t="shared" si="6"/>
        <v>-3010900</v>
      </c>
      <c r="E31" s="2" t="s">
        <v>53</v>
      </c>
      <c r="F31" s="36">
        <v>2</v>
      </c>
      <c r="G31" s="36">
        <f t="shared" si="1"/>
        <v>529</v>
      </c>
      <c r="H31" s="36">
        <f t="shared" si="2"/>
        <v>0</v>
      </c>
      <c r="I31" s="11">
        <f t="shared" si="3"/>
        <v>-1592766100</v>
      </c>
      <c r="J31" s="53">
        <f t="shared" si="4"/>
        <v>0</v>
      </c>
      <c r="K31" s="53">
        <f t="shared" si="5"/>
        <v>-1592766100</v>
      </c>
    </row>
    <row r="32" spans="1:12" x14ac:dyDescent="0.25">
      <c r="A32" s="4" t="s">
        <v>54</v>
      </c>
      <c r="B32" s="1">
        <v>-3005900</v>
      </c>
      <c r="C32" s="1">
        <v>0</v>
      </c>
      <c r="D32" s="3">
        <f t="shared" si="6"/>
        <v>-3005900</v>
      </c>
      <c r="E32" s="2" t="s">
        <v>53</v>
      </c>
      <c r="F32" s="36">
        <v>1</v>
      </c>
      <c r="G32" s="36">
        <f t="shared" si="1"/>
        <v>527</v>
      </c>
      <c r="H32" s="36">
        <f t="shared" si="2"/>
        <v>0</v>
      </c>
      <c r="I32" s="11">
        <f t="shared" si="3"/>
        <v>-1584109300</v>
      </c>
      <c r="J32" s="53">
        <f t="shared" si="4"/>
        <v>0</v>
      </c>
      <c r="K32" s="53">
        <f t="shared" si="5"/>
        <v>-1584109300</v>
      </c>
    </row>
    <row r="33" spans="1:11" x14ac:dyDescent="0.25">
      <c r="A33" s="4" t="s">
        <v>55</v>
      </c>
      <c r="B33" s="1">
        <v>-895500</v>
      </c>
      <c r="C33" s="1">
        <v>0</v>
      </c>
      <c r="D33" s="3">
        <f t="shared" si="6"/>
        <v>-895500</v>
      </c>
      <c r="E33" s="2" t="s">
        <v>53</v>
      </c>
      <c r="F33" s="36">
        <v>0</v>
      </c>
      <c r="G33" s="36">
        <f t="shared" si="1"/>
        <v>526</v>
      </c>
      <c r="H33" s="36">
        <f t="shared" si="2"/>
        <v>0</v>
      </c>
      <c r="I33" s="11">
        <f t="shared" si="3"/>
        <v>-471033000</v>
      </c>
      <c r="J33" s="53">
        <f t="shared" si="4"/>
        <v>0</v>
      </c>
      <c r="K33" s="53">
        <f t="shared" si="5"/>
        <v>-471033000</v>
      </c>
    </row>
    <row r="34" spans="1:11" x14ac:dyDescent="0.25">
      <c r="A34" s="4" t="s">
        <v>55</v>
      </c>
      <c r="B34" s="1">
        <v>0</v>
      </c>
      <c r="C34" s="1">
        <v>1000000</v>
      </c>
      <c r="D34" s="3">
        <f t="shared" si="6"/>
        <v>-1000000</v>
      </c>
      <c r="E34" s="2" t="s">
        <v>56</v>
      </c>
      <c r="F34" s="36">
        <v>9</v>
      </c>
      <c r="G34" s="36">
        <f t="shared" si="1"/>
        <v>526</v>
      </c>
      <c r="H34" s="36">
        <f t="shared" si="2"/>
        <v>0</v>
      </c>
      <c r="I34" s="11">
        <f t="shared" si="3"/>
        <v>0</v>
      </c>
      <c r="J34" s="53">
        <f t="shared" si="4"/>
        <v>526000000</v>
      </c>
      <c r="K34" s="53">
        <f t="shared" si="5"/>
        <v>-526000000</v>
      </c>
    </row>
    <row r="35" spans="1:11" x14ac:dyDescent="0.25">
      <c r="A35" s="4" t="s">
        <v>57</v>
      </c>
      <c r="B35" s="1">
        <v>52472</v>
      </c>
      <c r="C35" s="1">
        <v>-21663</v>
      </c>
      <c r="D35" s="3">
        <f t="shared" si="6"/>
        <v>74135</v>
      </c>
      <c r="E35" s="5" t="s">
        <v>68</v>
      </c>
      <c r="F35" s="36">
        <v>0</v>
      </c>
      <c r="G35" s="36">
        <f t="shared" si="1"/>
        <v>517</v>
      </c>
      <c r="H35" s="36">
        <f t="shared" si="2"/>
        <v>1</v>
      </c>
      <c r="I35" s="11">
        <f t="shared" si="3"/>
        <v>27075552</v>
      </c>
      <c r="J35" s="53">
        <f t="shared" si="4"/>
        <v>-11178108</v>
      </c>
      <c r="K35" s="53">
        <f t="shared" si="5"/>
        <v>38253660</v>
      </c>
    </row>
    <row r="36" spans="1:11" x14ac:dyDescent="0.25">
      <c r="A36" s="4" t="s">
        <v>57</v>
      </c>
      <c r="B36" s="1">
        <v>0</v>
      </c>
      <c r="C36" s="1">
        <v>21663</v>
      </c>
      <c r="D36" s="3">
        <f t="shared" si="6"/>
        <v>-21663</v>
      </c>
      <c r="E36" s="2" t="s">
        <v>70</v>
      </c>
      <c r="F36" s="36">
        <v>10</v>
      </c>
      <c r="G36" s="36">
        <f t="shared" si="1"/>
        <v>517</v>
      </c>
      <c r="H36" s="36">
        <f t="shared" si="2"/>
        <v>0</v>
      </c>
      <c r="I36" s="11">
        <f t="shared" si="3"/>
        <v>0</v>
      </c>
      <c r="J36" s="53">
        <f t="shared" si="4"/>
        <v>11199771</v>
      </c>
      <c r="K36" s="53">
        <f t="shared" si="5"/>
        <v>-11199771</v>
      </c>
    </row>
    <row r="37" spans="1:11" x14ac:dyDescent="0.25">
      <c r="A37" s="11" t="s">
        <v>80</v>
      </c>
      <c r="B37" s="1">
        <v>-55000</v>
      </c>
      <c r="C37" s="1">
        <v>0</v>
      </c>
      <c r="D37" s="14">
        <f t="shared" si="6"/>
        <v>-55000</v>
      </c>
      <c r="E37" s="12" t="s">
        <v>81</v>
      </c>
      <c r="F37" s="36">
        <v>1</v>
      </c>
      <c r="G37" s="36">
        <f t="shared" si="1"/>
        <v>507</v>
      </c>
      <c r="H37" s="36">
        <f t="shared" si="2"/>
        <v>0</v>
      </c>
      <c r="I37" s="11">
        <f t="shared" si="3"/>
        <v>-27885000</v>
      </c>
      <c r="J37" s="53">
        <f t="shared" si="4"/>
        <v>0</v>
      </c>
      <c r="K37" s="53">
        <f t="shared" si="5"/>
        <v>-27885000</v>
      </c>
    </row>
    <row r="38" spans="1:11" x14ac:dyDescent="0.25">
      <c r="A38" s="4" t="s">
        <v>71</v>
      </c>
      <c r="B38" s="1">
        <v>3000000</v>
      </c>
      <c r="C38" s="1">
        <v>3000000</v>
      </c>
      <c r="D38" s="3">
        <f t="shared" si="6"/>
        <v>0</v>
      </c>
      <c r="E38" s="2" t="s">
        <v>72</v>
      </c>
      <c r="F38" s="36">
        <v>1</v>
      </c>
      <c r="G38" s="36">
        <f t="shared" si="1"/>
        <v>506</v>
      </c>
      <c r="H38" s="36">
        <f t="shared" si="2"/>
        <v>1</v>
      </c>
      <c r="I38" s="11">
        <f t="shared" si="3"/>
        <v>1515000000</v>
      </c>
      <c r="J38" s="53">
        <f t="shared" si="4"/>
        <v>1515000000</v>
      </c>
      <c r="K38" s="53">
        <f t="shared" si="5"/>
        <v>0</v>
      </c>
    </row>
    <row r="39" spans="1:11" x14ac:dyDescent="0.25">
      <c r="A39" s="4" t="s">
        <v>73</v>
      </c>
      <c r="B39" s="1">
        <v>2500000</v>
      </c>
      <c r="C39" s="1">
        <v>2500000</v>
      </c>
      <c r="D39" s="3">
        <f t="shared" si="6"/>
        <v>0</v>
      </c>
      <c r="E39" s="2" t="s">
        <v>74</v>
      </c>
      <c r="F39" s="36">
        <v>0</v>
      </c>
      <c r="G39" s="36">
        <f t="shared" si="1"/>
        <v>505</v>
      </c>
      <c r="H39" s="36">
        <f t="shared" si="2"/>
        <v>1</v>
      </c>
      <c r="I39" s="11">
        <f t="shared" si="3"/>
        <v>1260000000</v>
      </c>
      <c r="J39" s="53">
        <f t="shared" si="4"/>
        <v>1260000000</v>
      </c>
      <c r="K39" s="53">
        <f t="shared" si="5"/>
        <v>0</v>
      </c>
    </row>
    <row r="40" spans="1:11" x14ac:dyDescent="0.25">
      <c r="A40" s="4" t="s">
        <v>73</v>
      </c>
      <c r="B40" s="1">
        <v>-50000</v>
      </c>
      <c r="C40" s="1">
        <v>0</v>
      </c>
      <c r="D40" s="14">
        <f t="shared" si="6"/>
        <v>-50000</v>
      </c>
      <c r="E40" s="13" t="s">
        <v>75</v>
      </c>
      <c r="F40" s="36">
        <v>0</v>
      </c>
      <c r="G40" s="36">
        <f t="shared" si="1"/>
        <v>505</v>
      </c>
      <c r="H40" s="36">
        <f t="shared" si="2"/>
        <v>0</v>
      </c>
      <c r="I40" s="11">
        <f t="shared" si="3"/>
        <v>-25250000</v>
      </c>
      <c r="J40" s="53">
        <f t="shared" si="4"/>
        <v>0</v>
      </c>
      <c r="K40" s="53">
        <f t="shared" si="5"/>
        <v>-25250000</v>
      </c>
    </row>
    <row r="41" spans="1:11" x14ac:dyDescent="0.25">
      <c r="A41" s="4" t="s">
        <v>73</v>
      </c>
      <c r="B41" s="1">
        <v>3000000</v>
      </c>
      <c r="C41" s="1">
        <v>0</v>
      </c>
      <c r="D41" s="3">
        <f t="shared" si="6"/>
        <v>3000000</v>
      </c>
      <c r="E41" s="2" t="s">
        <v>82</v>
      </c>
      <c r="F41" s="36">
        <v>3</v>
      </c>
      <c r="G41" s="36">
        <f t="shared" si="1"/>
        <v>505</v>
      </c>
      <c r="H41" s="36">
        <f t="shared" si="2"/>
        <v>1</v>
      </c>
      <c r="I41" s="11">
        <f t="shared" si="3"/>
        <v>1512000000</v>
      </c>
      <c r="J41" s="53">
        <f t="shared" si="4"/>
        <v>0</v>
      </c>
      <c r="K41" s="53">
        <f t="shared" si="5"/>
        <v>1512000000</v>
      </c>
    </row>
    <row r="42" spans="1:11" x14ac:dyDescent="0.25">
      <c r="A42" s="4" t="s">
        <v>76</v>
      </c>
      <c r="B42" s="1">
        <v>-89200</v>
      </c>
      <c r="C42" s="1">
        <v>0</v>
      </c>
      <c r="D42" s="14">
        <f t="shared" si="6"/>
        <v>-89200</v>
      </c>
      <c r="E42" s="13" t="s">
        <v>77</v>
      </c>
      <c r="F42" s="36">
        <v>4</v>
      </c>
      <c r="G42" s="36">
        <f t="shared" si="1"/>
        <v>502</v>
      </c>
      <c r="H42" s="36">
        <f t="shared" si="2"/>
        <v>0</v>
      </c>
      <c r="I42" s="11">
        <f t="shared" si="3"/>
        <v>-44778400</v>
      </c>
      <c r="J42" s="53">
        <f t="shared" si="4"/>
        <v>0</v>
      </c>
      <c r="K42" s="53">
        <f t="shared" si="5"/>
        <v>-44778400</v>
      </c>
    </row>
    <row r="43" spans="1:11" x14ac:dyDescent="0.25">
      <c r="A43" s="4" t="s">
        <v>78</v>
      </c>
      <c r="B43" s="1">
        <v>-200000</v>
      </c>
      <c r="C43" s="1">
        <v>0</v>
      </c>
      <c r="D43" s="14">
        <f t="shared" si="6"/>
        <v>-200000</v>
      </c>
      <c r="E43" s="13" t="s">
        <v>79</v>
      </c>
      <c r="F43" s="36">
        <v>2</v>
      </c>
      <c r="G43" s="36">
        <f t="shared" si="1"/>
        <v>498</v>
      </c>
      <c r="H43" s="36">
        <f t="shared" si="2"/>
        <v>0</v>
      </c>
      <c r="I43" s="11">
        <f t="shared" si="3"/>
        <v>-99600000</v>
      </c>
      <c r="J43" s="53">
        <f t="shared" si="4"/>
        <v>0</v>
      </c>
      <c r="K43" s="53">
        <f t="shared" si="5"/>
        <v>-99600000</v>
      </c>
    </row>
    <row r="44" spans="1:11" x14ac:dyDescent="0.25">
      <c r="A44" s="11" t="s">
        <v>83</v>
      </c>
      <c r="B44" s="1">
        <v>-200000</v>
      </c>
      <c r="C44" s="1">
        <v>0</v>
      </c>
      <c r="D44" s="15">
        <f t="shared" si="6"/>
        <v>-200000</v>
      </c>
      <c r="E44" s="12" t="s">
        <v>26</v>
      </c>
      <c r="F44" s="36">
        <v>0</v>
      </c>
      <c r="G44" s="36">
        <f t="shared" si="1"/>
        <v>496</v>
      </c>
      <c r="H44" s="36">
        <f t="shared" si="2"/>
        <v>0</v>
      </c>
      <c r="I44" s="11">
        <f t="shared" si="3"/>
        <v>-99200000</v>
      </c>
      <c r="J44" s="53">
        <f t="shared" si="4"/>
        <v>0</v>
      </c>
      <c r="K44" s="53">
        <f t="shared" si="5"/>
        <v>-99200000</v>
      </c>
    </row>
    <row r="45" spans="1:11" x14ac:dyDescent="0.25">
      <c r="A45" s="11" t="s">
        <v>83</v>
      </c>
      <c r="B45" s="1">
        <v>-560000</v>
      </c>
      <c r="C45" s="1">
        <v>0</v>
      </c>
      <c r="D45" s="1">
        <f t="shared" si="6"/>
        <v>-560000</v>
      </c>
      <c r="E45" s="11" t="s">
        <v>84</v>
      </c>
      <c r="F45" s="36">
        <v>4</v>
      </c>
      <c r="G45" s="36">
        <f t="shared" si="1"/>
        <v>496</v>
      </c>
      <c r="H45" s="36">
        <f t="shared" si="2"/>
        <v>0</v>
      </c>
      <c r="I45" s="11">
        <f t="shared" si="3"/>
        <v>-277760000</v>
      </c>
      <c r="J45" s="53">
        <f t="shared" si="4"/>
        <v>0</v>
      </c>
      <c r="K45" s="53">
        <f t="shared" si="5"/>
        <v>-277760000</v>
      </c>
    </row>
    <row r="46" spans="1:11" x14ac:dyDescent="0.25">
      <c r="A46" s="11" t="s">
        <v>87</v>
      </c>
      <c r="B46" s="1">
        <v>-705500</v>
      </c>
      <c r="C46" s="1">
        <v>0</v>
      </c>
      <c r="D46" s="15">
        <f t="shared" si="6"/>
        <v>-705500</v>
      </c>
      <c r="E46" s="16" t="s">
        <v>88</v>
      </c>
      <c r="F46" s="36">
        <v>6</v>
      </c>
      <c r="G46" s="36">
        <f t="shared" si="1"/>
        <v>492</v>
      </c>
      <c r="H46" s="36">
        <f t="shared" si="2"/>
        <v>0</v>
      </c>
      <c r="I46" s="11">
        <f t="shared" si="3"/>
        <v>-347106000</v>
      </c>
      <c r="J46" s="53">
        <f t="shared" si="4"/>
        <v>0</v>
      </c>
      <c r="K46" s="53">
        <f t="shared" si="5"/>
        <v>-347106000</v>
      </c>
    </row>
    <row r="47" spans="1:11" x14ac:dyDescent="0.25">
      <c r="A47" s="4" t="s">
        <v>91</v>
      </c>
      <c r="B47" s="1">
        <v>41204</v>
      </c>
      <c r="C47" s="1">
        <v>6713</v>
      </c>
      <c r="D47" s="3">
        <f t="shared" si="6"/>
        <v>34491</v>
      </c>
      <c r="E47" s="5" t="s">
        <v>92</v>
      </c>
      <c r="F47" s="36">
        <v>0</v>
      </c>
      <c r="G47" s="36">
        <f t="shared" si="1"/>
        <v>486</v>
      </c>
      <c r="H47" s="36">
        <f t="shared" si="2"/>
        <v>1</v>
      </c>
      <c r="I47" s="11">
        <f t="shared" si="3"/>
        <v>19983940</v>
      </c>
      <c r="J47" s="53">
        <f t="shared" si="4"/>
        <v>3255805</v>
      </c>
      <c r="K47" s="53">
        <f t="shared" si="5"/>
        <v>16728135</v>
      </c>
    </row>
    <row r="48" spans="1:11" x14ac:dyDescent="0.25">
      <c r="A48" s="17" t="s">
        <v>91</v>
      </c>
      <c r="B48" s="18">
        <v>1704700</v>
      </c>
      <c r="C48" s="18">
        <v>0</v>
      </c>
      <c r="D48" s="3">
        <f t="shared" si="6"/>
        <v>1704700</v>
      </c>
      <c r="E48" s="19" t="s">
        <v>93</v>
      </c>
      <c r="F48" s="36">
        <v>9</v>
      </c>
      <c r="G48" s="36">
        <f t="shared" si="1"/>
        <v>486</v>
      </c>
      <c r="H48" s="36">
        <f t="shared" si="2"/>
        <v>1</v>
      </c>
      <c r="I48" s="11">
        <f t="shared" si="3"/>
        <v>826779500</v>
      </c>
      <c r="J48" s="53">
        <f t="shared" si="4"/>
        <v>0</v>
      </c>
      <c r="K48" s="53">
        <f t="shared" si="5"/>
        <v>826779500</v>
      </c>
    </row>
    <row r="49" spans="1:11" x14ac:dyDescent="0.25">
      <c r="A49" s="20" t="s">
        <v>96</v>
      </c>
      <c r="B49" s="18">
        <v>-155000</v>
      </c>
      <c r="C49" s="18">
        <v>0</v>
      </c>
      <c r="D49" s="3">
        <f t="shared" si="6"/>
        <v>-155000</v>
      </c>
      <c r="E49" s="20" t="s">
        <v>97</v>
      </c>
      <c r="F49" s="36">
        <v>0</v>
      </c>
      <c r="G49" s="36">
        <f t="shared" si="1"/>
        <v>477</v>
      </c>
      <c r="H49" s="36">
        <f t="shared" si="2"/>
        <v>0</v>
      </c>
      <c r="I49" s="11">
        <f t="shared" si="3"/>
        <v>-73935000</v>
      </c>
      <c r="J49" s="53">
        <f t="shared" si="4"/>
        <v>0</v>
      </c>
      <c r="K49" s="53">
        <f t="shared" si="5"/>
        <v>-73935000</v>
      </c>
    </row>
    <row r="50" spans="1:11" x14ac:dyDescent="0.25">
      <c r="A50" s="17" t="s">
        <v>96</v>
      </c>
      <c r="B50" s="18">
        <v>-138000</v>
      </c>
      <c r="C50" s="18">
        <v>0</v>
      </c>
      <c r="D50" s="3">
        <f t="shared" si="6"/>
        <v>-138000</v>
      </c>
      <c r="E50" s="19" t="s">
        <v>98</v>
      </c>
      <c r="F50" s="36">
        <v>0</v>
      </c>
      <c r="G50" s="36">
        <f t="shared" si="1"/>
        <v>477</v>
      </c>
      <c r="H50" s="36">
        <f t="shared" si="2"/>
        <v>0</v>
      </c>
      <c r="I50" s="11">
        <f t="shared" si="3"/>
        <v>-65826000</v>
      </c>
      <c r="J50" s="53">
        <f t="shared" si="4"/>
        <v>0</v>
      </c>
      <c r="K50" s="53">
        <f t="shared" si="5"/>
        <v>-65826000</v>
      </c>
    </row>
    <row r="51" spans="1:11" x14ac:dyDescent="0.25">
      <c r="A51" s="17" t="s">
        <v>96</v>
      </c>
      <c r="B51" s="18">
        <v>-740000</v>
      </c>
      <c r="C51" s="18">
        <v>0</v>
      </c>
      <c r="D51" s="3">
        <f t="shared" si="6"/>
        <v>-740000</v>
      </c>
      <c r="E51" s="19" t="s">
        <v>99</v>
      </c>
      <c r="F51" s="36">
        <v>0</v>
      </c>
      <c r="G51" s="36">
        <f t="shared" si="1"/>
        <v>477</v>
      </c>
      <c r="H51" s="36">
        <f t="shared" si="2"/>
        <v>0</v>
      </c>
      <c r="I51" s="11">
        <f t="shared" si="3"/>
        <v>-352980000</v>
      </c>
      <c r="J51" s="53">
        <f t="shared" si="4"/>
        <v>0</v>
      </c>
      <c r="K51" s="53">
        <f t="shared" si="5"/>
        <v>-352980000</v>
      </c>
    </row>
    <row r="52" spans="1:11" x14ac:dyDescent="0.25">
      <c r="A52" s="17" t="s">
        <v>96</v>
      </c>
      <c r="B52" s="18">
        <v>-200000</v>
      </c>
      <c r="C52" s="18">
        <v>0</v>
      </c>
      <c r="D52" s="3">
        <f t="shared" si="6"/>
        <v>-200000</v>
      </c>
      <c r="E52" s="19" t="s">
        <v>100</v>
      </c>
      <c r="F52" s="36">
        <v>1</v>
      </c>
      <c r="G52" s="36">
        <f t="shared" si="1"/>
        <v>477</v>
      </c>
      <c r="H52" s="36">
        <f t="shared" si="2"/>
        <v>0</v>
      </c>
      <c r="I52" s="11">
        <f t="shared" si="3"/>
        <v>-95400000</v>
      </c>
      <c r="J52" s="53">
        <f t="shared" si="4"/>
        <v>0</v>
      </c>
      <c r="K52" s="53">
        <f t="shared" si="5"/>
        <v>-95400000</v>
      </c>
    </row>
    <row r="53" spans="1:11" ht="30" x14ac:dyDescent="0.25">
      <c r="A53" s="17" t="s">
        <v>101</v>
      </c>
      <c r="B53" s="18">
        <v>-1055000</v>
      </c>
      <c r="C53" s="18">
        <v>0</v>
      </c>
      <c r="D53" s="3">
        <f t="shared" si="6"/>
        <v>-1055000</v>
      </c>
      <c r="E53" s="21" t="s">
        <v>102</v>
      </c>
      <c r="F53" s="36">
        <v>0</v>
      </c>
      <c r="G53" s="36">
        <f t="shared" si="1"/>
        <v>476</v>
      </c>
      <c r="H53" s="36">
        <f t="shared" si="2"/>
        <v>0</v>
      </c>
      <c r="I53" s="11">
        <f t="shared" si="3"/>
        <v>-502180000</v>
      </c>
      <c r="J53" s="53">
        <f t="shared" si="4"/>
        <v>0</v>
      </c>
      <c r="K53" s="53">
        <f t="shared" si="5"/>
        <v>-502180000</v>
      </c>
    </row>
    <row r="54" spans="1:11" x14ac:dyDescent="0.25">
      <c r="A54" s="17" t="s">
        <v>101</v>
      </c>
      <c r="B54" s="18">
        <v>-200000</v>
      </c>
      <c r="C54" s="18">
        <v>0</v>
      </c>
      <c r="D54" s="3">
        <f t="shared" si="6"/>
        <v>-200000</v>
      </c>
      <c r="E54" s="19" t="s">
        <v>100</v>
      </c>
      <c r="F54" s="36">
        <v>0</v>
      </c>
      <c r="G54" s="36">
        <f t="shared" si="1"/>
        <v>476</v>
      </c>
      <c r="H54" s="36">
        <f t="shared" si="2"/>
        <v>0</v>
      </c>
      <c r="I54" s="11">
        <f t="shared" si="3"/>
        <v>-95200000</v>
      </c>
      <c r="J54" s="53">
        <f t="shared" si="4"/>
        <v>0</v>
      </c>
      <c r="K54" s="53">
        <f t="shared" si="5"/>
        <v>-95200000</v>
      </c>
    </row>
    <row r="55" spans="1:11" x14ac:dyDescent="0.25">
      <c r="A55" s="17" t="s">
        <v>101</v>
      </c>
      <c r="B55" s="18">
        <v>-1000500</v>
      </c>
      <c r="C55" s="18">
        <v>0</v>
      </c>
      <c r="D55" s="3">
        <f t="shared" si="6"/>
        <v>-1000500</v>
      </c>
      <c r="E55" s="19" t="s">
        <v>103</v>
      </c>
      <c r="F55" s="36">
        <v>0</v>
      </c>
      <c r="G55" s="36">
        <f t="shared" si="1"/>
        <v>476</v>
      </c>
      <c r="H55" s="36">
        <f t="shared" si="2"/>
        <v>0</v>
      </c>
      <c r="I55" s="11">
        <f t="shared" si="3"/>
        <v>-476238000</v>
      </c>
      <c r="J55" s="53">
        <f t="shared" si="4"/>
        <v>0</v>
      </c>
      <c r="K55" s="53">
        <f t="shared" si="5"/>
        <v>-476238000</v>
      </c>
    </row>
    <row r="56" spans="1:11" x14ac:dyDescent="0.25">
      <c r="A56" s="20" t="s">
        <v>101</v>
      </c>
      <c r="B56" s="18">
        <v>-38000</v>
      </c>
      <c r="C56" s="18">
        <v>0</v>
      </c>
      <c r="D56" s="3">
        <f t="shared" si="6"/>
        <v>-38000</v>
      </c>
      <c r="E56" s="20" t="s">
        <v>104</v>
      </c>
      <c r="F56" s="36">
        <v>0</v>
      </c>
      <c r="G56" s="36">
        <f t="shared" si="1"/>
        <v>476</v>
      </c>
      <c r="H56" s="36">
        <f t="shared" si="2"/>
        <v>0</v>
      </c>
      <c r="I56" s="11">
        <f t="shared" si="3"/>
        <v>-18088000</v>
      </c>
      <c r="J56" s="53">
        <f t="shared" si="4"/>
        <v>0</v>
      </c>
      <c r="K56" s="53">
        <f t="shared" si="5"/>
        <v>-18088000</v>
      </c>
    </row>
    <row r="57" spans="1:11" x14ac:dyDescent="0.25">
      <c r="A57" s="20" t="s">
        <v>101</v>
      </c>
      <c r="B57" s="18">
        <v>-105000</v>
      </c>
      <c r="C57" s="18">
        <v>0</v>
      </c>
      <c r="D57" s="3">
        <f t="shared" si="6"/>
        <v>-105000</v>
      </c>
      <c r="E57" s="20" t="s">
        <v>104</v>
      </c>
      <c r="F57" s="36">
        <v>0</v>
      </c>
      <c r="G57" s="36">
        <f t="shared" si="1"/>
        <v>476</v>
      </c>
      <c r="H57" s="36">
        <f t="shared" si="2"/>
        <v>0</v>
      </c>
      <c r="I57" s="11">
        <f t="shared" si="3"/>
        <v>-49980000</v>
      </c>
      <c r="J57" s="53">
        <f t="shared" si="4"/>
        <v>0</v>
      </c>
      <c r="K57" s="53">
        <f t="shared" si="5"/>
        <v>-49980000</v>
      </c>
    </row>
    <row r="58" spans="1:11" x14ac:dyDescent="0.25">
      <c r="A58" s="20" t="s">
        <v>101</v>
      </c>
      <c r="B58" s="18">
        <v>-60000</v>
      </c>
      <c r="C58" s="18">
        <v>0</v>
      </c>
      <c r="D58" s="3">
        <f t="shared" si="6"/>
        <v>-60000</v>
      </c>
      <c r="E58" s="20" t="s">
        <v>104</v>
      </c>
      <c r="F58" s="36">
        <v>3</v>
      </c>
      <c r="G58" s="36">
        <f t="shared" si="1"/>
        <v>476</v>
      </c>
      <c r="H58" s="36">
        <f t="shared" si="2"/>
        <v>0</v>
      </c>
      <c r="I58" s="11">
        <f t="shared" si="3"/>
        <v>-28560000</v>
      </c>
      <c r="J58" s="53">
        <f t="shared" si="4"/>
        <v>0</v>
      </c>
      <c r="K58" s="53">
        <f t="shared" si="5"/>
        <v>-28560000</v>
      </c>
    </row>
    <row r="59" spans="1:11" x14ac:dyDescent="0.25">
      <c r="A59" s="20" t="s">
        <v>105</v>
      </c>
      <c r="B59" s="18">
        <v>1000000</v>
      </c>
      <c r="C59" s="18">
        <v>1000000</v>
      </c>
      <c r="D59" s="3">
        <f t="shared" si="6"/>
        <v>0</v>
      </c>
      <c r="E59" s="20" t="s">
        <v>106</v>
      </c>
      <c r="F59" s="36">
        <v>1</v>
      </c>
      <c r="G59" s="36">
        <f t="shared" si="1"/>
        <v>473</v>
      </c>
      <c r="H59" s="36">
        <f t="shared" si="2"/>
        <v>1</v>
      </c>
      <c r="I59" s="11">
        <f t="shared" si="3"/>
        <v>472000000</v>
      </c>
      <c r="J59" s="53">
        <f t="shared" si="4"/>
        <v>472000000</v>
      </c>
      <c r="K59" s="53">
        <f t="shared" si="5"/>
        <v>0</v>
      </c>
    </row>
    <row r="60" spans="1:11" x14ac:dyDescent="0.25">
      <c r="A60" s="20" t="s">
        <v>107</v>
      </c>
      <c r="B60" s="18">
        <v>3500000</v>
      </c>
      <c r="C60" s="18">
        <v>3500000</v>
      </c>
      <c r="D60" s="3">
        <f t="shared" si="6"/>
        <v>0</v>
      </c>
      <c r="E60" s="20" t="s">
        <v>106</v>
      </c>
      <c r="F60" s="36">
        <v>2</v>
      </c>
      <c r="G60" s="36">
        <f t="shared" si="1"/>
        <v>472</v>
      </c>
      <c r="H60" s="36">
        <f t="shared" si="2"/>
        <v>1</v>
      </c>
      <c r="I60" s="11">
        <f t="shared" si="3"/>
        <v>1648500000</v>
      </c>
      <c r="J60" s="53">
        <f t="shared" si="4"/>
        <v>1648500000</v>
      </c>
      <c r="K60" s="53">
        <f t="shared" si="5"/>
        <v>0</v>
      </c>
    </row>
    <row r="61" spans="1:11" x14ac:dyDescent="0.25">
      <c r="A61" s="20" t="s">
        <v>111</v>
      </c>
      <c r="B61" s="18">
        <v>1000000</v>
      </c>
      <c r="C61" s="18">
        <v>1000000</v>
      </c>
      <c r="D61" s="3">
        <f t="shared" si="6"/>
        <v>0</v>
      </c>
      <c r="E61" s="20" t="s">
        <v>112</v>
      </c>
      <c r="F61" s="36">
        <v>0</v>
      </c>
      <c r="G61" s="36">
        <f t="shared" si="1"/>
        <v>470</v>
      </c>
      <c r="H61" s="36">
        <f t="shared" si="2"/>
        <v>1</v>
      </c>
      <c r="I61" s="11">
        <f t="shared" si="3"/>
        <v>469000000</v>
      </c>
      <c r="J61" s="53">
        <f t="shared" si="4"/>
        <v>469000000</v>
      </c>
      <c r="K61" s="53">
        <f t="shared" si="5"/>
        <v>0</v>
      </c>
    </row>
    <row r="62" spans="1:11" x14ac:dyDescent="0.25">
      <c r="A62" s="20" t="s">
        <v>111</v>
      </c>
      <c r="B62" s="18">
        <v>3000000</v>
      </c>
      <c r="C62" s="18">
        <v>3000000</v>
      </c>
      <c r="D62" s="3">
        <f t="shared" si="6"/>
        <v>0</v>
      </c>
      <c r="E62" s="20" t="s">
        <v>112</v>
      </c>
      <c r="F62" s="36">
        <v>2</v>
      </c>
      <c r="G62" s="36">
        <f t="shared" si="1"/>
        <v>470</v>
      </c>
      <c r="H62" s="36">
        <f t="shared" si="2"/>
        <v>1</v>
      </c>
      <c r="I62" s="11">
        <f t="shared" si="3"/>
        <v>1407000000</v>
      </c>
      <c r="J62" s="53">
        <f t="shared" si="4"/>
        <v>1407000000</v>
      </c>
      <c r="K62" s="53">
        <f t="shared" si="5"/>
        <v>0</v>
      </c>
    </row>
    <row r="63" spans="1:11" x14ac:dyDescent="0.25">
      <c r="A63" s="20" t="s">
        <v>108</v>
      </c>
      <c r="B63" s="18">
        <v>-200000</v>
      </c>
      <c r="C63" s="18">
        <v>0</v>
      </c>
      <c r="D63" s="3">
        <f t="shared" si="6"/>
        <v>-200000</v>
      </c>
      <c r="E63" s="20" t="s">
        <v>26</v>
      </c>
      <c r="F63" s="36">
        <v>5</v>
      </c>
      <c r="G63" s="36">
        <f t="shared" si="1"/>
        <v>468</v>
      </c>
      <c r="H63" s="36">
        <f t="shared" si="2"/>
        <v>0</v>
      </c>
      <c r="I63" s="11">
        <f t="shared" si="3"/>
        <v>-93600000</v>
      </c>
      <c r="J63" s="53">
        <f t="shared" si="4"/>
        <v>0</v>
      </c>
      <c r="K63" s="53">
        <f t="shared" si="5"/>
        <v>-93600000</v>
      </c>
    </row>
    <row r="64" spans="1:11" x14ac:dyDescent="0.25">
      <c r="A64" s="19" t="s">
        <v>114</v>
      </c>
      <c r="B64" s="18">
        <v>-50000</v>
      </c>
      <c r="C64" s="18">
        <v>0</v>
      </c>
      <c r="D64" s="3">
        <f t="shared" si="6"/>
        <v>-50000</v>
      </c>
      <c r="E64" s="19" t="s">
        <v>115</v>
      </c>
      <c r="F64" s="36">
        <v>4</v>
      </c>
      <c r="G64" s="36">
        <f t="shared" si="1"/>
        <v>463</v>
      </c>
      <c r="H64" s="36">
        <f t="shared" si="2"/>
        <v>0</v>
      </c>
      <c r="I64" s="11">
        <f t="shared" si="3"/>
        <v>-23150000</v>
      </c>
      <c r="J64" s="53">
        <f t="shared" si="4"/>
        <v>0</v>
      </c>
      <c r="K64" s="53">
        <f t="shared" si="5"/>
        <v>-23150000</v>
      </c>
    </row>
    <row r="65" spans="1:11" x14ac:dyDescent="0.25">
      <c r="A65" s="19" t="s">
        <v>117</v>
      </c>
      <c r="B65" s="18">
        <v>-200000</v>
      </c>
      <c r="C65" s="18">
        <v>0</v>
      </c>
      <c r="D65" s="3">
        <f t="shared" si="6"/>
        <v>-200000</v>
      </c>
      <c r="E65" s="19" t="s">
        <v>26</v>
      </c>
      <c r="F65" s="36">
        <v>3</v>
      </c>
      <c r="G65" s="36">
        <f t="shared" si="1"/>
        <v>459</v>
      </c>
      <c r="H65" s="36">
        <f t="shared" si="2"/>
        <v>0</v>
      </c>
      <c r="I65" s="11">
        <f t="shared" si="3"/>
        <v>-91800000</v>
      </c>
      <c r="J65" s="53">
        <f t="shared" si="4"/>
        <v>0</v>
      </c>
      <c r="K65" s="53">
        <f t="shared" si="5"/>
        <v>-91800000</v>
      </c>
    </row>
    <row r="66" spans="1:11" x14ac:dyDescent="0.25">
      <c r="A66" s="19" t="s">
        <v>120</v>
      </c>
      <c r="B66" s="18">
        <v>-170000</v>
      </c>
      <c r="C66" s="18">
        <v>0</v>
      </c>
      <c r="D66" s="3">
        <f t="shared" si="6"/>
        <v>-170000</v>
      </c>
      <c r="E66" s="19" t="s">
        <v>121</v>
      </c>
      <c r="F66" s="36">
        <v>1</v>
      </c>
      <c r="G66" s="36">
        <f t="shared" si="1"/>
        <v>456</v>
      </c>
      <c r="H66" s="36">
        <f t="shared" si="2"/>
        <v>0</v>
      </c>
      <c r="I66" s="11">
        <f t="shared" si="3"/>
        <v>-77520000</v>
      </c>
      <c r="J66" s="53">
        <f t="shared" si="4"/>
        <v>0</v>
      </c>
      <c r="K66" s="53">
        <f t="shared" si="5"/>
        <v>-77520000</v>
      </c>
    </row>
    <row r="67" spans="1:11" x14ac:dyDescent="0.25">
      <c r="A67" s="4" t="s">
        <v>123</v>
      </c>
      <c r="B67" s="1">
        <v>91325</v>
      </c>
      <c r="C67" s="1">
        <v>65723</v>
      </c>
      <c r="D67" s="3">
        <f t="shared" si="6"/>
        <v>25602</v>
      </c>
      <c r="E67" s="5" t="s">
        <v>124</v>
      </c>
      <c r="F67" s="36">
        <v>18</v>
      </c>
      <c r="G67" s="36">
        <f t="shared" ref="G67:G138" si="7">G68+F67</f>
        <v>455</v>
      </c>
      <c r="H67" s="36">
        <f t="shared" ref="H67:H131" si="8">IF(B67&gt;0,1,0)</f>
        <v>1</v>
      </c>
      <c r="I67" s="11">
        <f t="shared" ref="I67:I119" si="9">B67*(G67-H67)</f>
        <v>41461550</v>
      </c>
      <c r="J67" s="53">
        <f t="shared" ref="J67:J131" si="10">C67*(G67-H67)</f>
        <v>29838242</v>
      </c>
      <c r="K67" s="53">
        <f t="shared" ref="K67:K131" si="11">D67*(G67-H67)</f>
        <v>11623308</v>
      </c>
    </row>
    <row r="68" spans="1:11" x14ac:dyDescent="0.25">
      <c r="A68" s="17" t="s">
        <v>126</v>
      </c>
      <c r="B68" s="18">
        <v>-145000</v>
      </c>
      <c r="C68" s="18">
        <v>0</v>
      </c>
      <c r="D68" s="3">
        <f t="shared" si="6"/>
        <v>-145000</v>
      </c>
      <c r="E68" s="19" t="s">
        <v>127</v>
      </c>
      <c r="F68" s="36">
        <v>7</v>
      </c>
      <c r="G68" s="36">
        <f t="shared" si="7"/>
        <v>437</v>
      </c>
      <c r="H68" s="36">
        <f t="shared" si="8"/>
        <v>0</v>
      </c>
      <c r="I68" s="11">
        <f t="shared" si="9"/>
        <v>-63365000</v>
      </c>
      <c r="J68" s="53">
        <f t="shared" si="10"/>
        <v>0</v>
      </c>
      <c r="K68" s="53">
        <f t="shared" si="11"/>
        <v>-63365000</v>
      </c>
    </row>
    <row r="69" spans="1:11" x14ac:dyDescent="0.25">
      <c r="A69" s="20" t="s">
        <v>131</v>
      </c>
      <c r="B69" s="18">
        <v>980000</v>
      </c>
      <c r="C69" s="18">
        <v>0</v>
      </c>
      <c r="D69" s="3">
        <f t="shared" si="6"/>
        <v>980000</v>
      </c>
      <c r="E69" s="20" t="s">
        <v>132</v>
      </c>
      <c r="F69" s="36">
        <v>3</v>
      </c>
      <c r="G69" s="36">
        <f t="shared" si="7"/>
        <v>430</v>
      </c>
      <c r="H69" s="36">
        <f t="shared" si="8"/>
        <v>1</v>
      </c>
      <c r="I69" s="11">
        <f t="shared" si="9"/>
        <v>420420000</v>
      </c>
      <c r="J69" s="53">
        <f t="shared" si="10"/>
        <v>0</v>
      </c>
      <c r="K69" s="53">
        <f t="shared" si="11"/>
        <v>420420000</v>
      </c>
    </row>
    <row r="70" spans="1:11" x14ac:dyDescent="0.25">
      <c r="A70" s="17" t="s">
        <v>133</v>
      </c>
      <c r="B70" s="18">
        <v>-46000</v>
      </c>
      <c r="C70" s="18">
        <v>0</v>
      </c>
      <c r="D70" s="3">
        <f t="shared" si="6"/>
        <v>-46000</v>
      </c>
      <c r="E70" s="19" t="s">
        <v>134</v>
      </c>
      <c r="F70" s="36">
        <v>2</v>
      </c>
      <c r="G70" s="36">
        <f t="shared" si="7"/>
        <v>427</v>
      </c>
      <c r="H70" s="36">
        <f t="shared" si="8"/>
        <v>0</v>
      </c>
      <c r="I70" s="11">
        <f t="shared" si="9"/>
        <v>-19642000</v>
      </c>
      <c r="J70" s="53">
        <f t="shared" si="10"/>
        <v>0</v>
      </c>
      <c r="K70" s="53">
        <f t="shared" si="11"/>
        <v>-19642000</v>
      </c>
    </row>
    <row r="71" spans="1:11" x14ac:dyDescent="0.25">
      <c r="A71" s="4" t="s">
        <v>138</v>
      </c>
      <c r="B71" s="1">
        <v>115338</v>
      </c>
      <c r="C71" s="1">
        <v>103812</v>
      </c>
      <c r="D71" s="3">
        <f t="shared" si="6"/>
        <v>11526</v>
      </c>
      <c r="E71" s="5" t="s">
        <v>135</v>
      </c>
      <c r="F71" s="36">
        <v>1</v>
      </c>
      <c r="G71" s="36">
        <f t="shared" si="7"/>
        <v>425</v>
      </c>
      <c r="H71" s="36">
        <f t="shared" si="8"/>
        <v>1</v>
      </c>
      <c r="I71" s="11">
        <f t="shared" si="9"/>
        <v>48903312</v>
      </c>
      <c r="J71" s="53">
        <f t="shared" si="10"/>
        <v>44016288</v>
      </c>
      <c r="K71" s="53">
        <f t="shared" si="11"/>
        <v>4887024</v>
      </c>
    </row>
    <row r="72" spans="1:11" x14ac:dyDescent="0.25">
      <c r="A72" s="17" t="s">
        <v>141</v>
      </c>
      <c r="B72" s="18">
        <v>-151969</v>
      </c>
      <c r="C72" s="18">
        <v>0</v>
      </c>
      <c r="D72" s="3">
        <f t="shared" si="6"/>
        <v>-151969</v>
      </c>
      <c r="E72" s="19" t="s">
        <v>140</v>
      </c>
      <c r="F72" s="36">
        <v>1</v>
      </c>
      <c r="G72" s="36">
        <f t="shared" si="7"/>
        <v>424</v>
      </c>
      <c r="H72" s="36">
        <f t="shared" si="8"/>
        <v>0</v>
      </c>
      <c r="I72" s="11">
        <f t="shared" si="9"/>
        <v>-64434856</v>
      </c>
      <c r="J72" s="53">
        <f t="shared" si="10"/>
        <v>0</v>
      </c>
      <c r="K72" s="53">
        <f t="shared" si="11"/>
        <v>-64434856</v>
      </c>
    </row>
    <row r="73" spans="1:11" x14ac:dyDescent="0.25">
      <c r="A73" s="20" t="s">
        <v>139</v>
      </c>
      <c r="B73" s="18">
        <v>-805500</v>
      </c>
      <c r="C73" s="18">
        <v>0</v>
      </c>
      <c r="D73" s="3">
        <f t="shared" si="6"/>
        <v>-805500</v>
      </c>
      <c r="E73" s="20" t="s">
        <v>136</v>
      </c>
      <c r="F73" s="36">
        <v>7</v>
      </c>
      <c r="G73" s="36">
        <f t="shared" si="7"/>
        <v>423</v>
      </c>
      <c r="H73" s="36">
        <f t="shared" si="8"/>
        <v>0</v>
      </c>
      <c r="I73" s="11">
        <f t="shared" si="9"/>
        <v>-340726500</v>
      </c>
      <c r="J73" s="53">
        <f t="shared" si="10"/>
        <v>0</v>
      </c>
      <c r="K73" s="53">
        <f t="shared" si="11"/>
        <v>-340726500</v>
      </c>
    </row>
    <row r="74" spans="1:11" x14ac:dyDescent="0.25">
      <c r="A74" s="17" t="s">
        <v>143</v>
      </c>
      <c r="B74" s="18">
        <v>6995000</v>
      </c>
      <c r="C74" s="18">
        <v>0</v>
      </c>
      <c r="D74" s="3">
        <f t="shared" si="6"/>
        <v>6995000</v>
      </c>
      <c r="E74" s="19" t="s">
        <v>144</v>
      </c>
      <c r="F74" s="36">
        <v>1</v>
      </c>
      <c r="G74" s="36">
        <f t="shared" si="7"/>
        <v>416</v>
      </c>
      <c r="H74" s="36">
        <f t="shared" si="8"/>
        <v>1</v>
      </c>
      <c r="I74" s="11">
        <f t="shared" si="9"/>
        <v>2902925000</v>
      </c>
      <c r="J74" s="53">
        <f t="shared" si="10"/>
        <v>0</v>
      </c>
      <c r="K74" s="53">
        <f t="shared" si="11"/>
        <v>2902925000</v>
      </c>
    </row>
    <row r="75" spans="1:11" x14ac:dyDescent="0.25">
      <c r="A75" s="17" t="s">
        <v>146</v>
      </c>
      <c r="B75" s="18">
        <v>3000000</v>
      </c>
      <c r="C75" s="18">
        <v>0</v>
      </c>
      <c r="D75" s="3">
        <f t="shared" si="6"/>
        <v>3000000</v>
      </c>
      <c r="E75" s="19" t="s">
        <v>147</v>
      </c>
      <c r="F75" s="36">
        <v>2</v>
      </c>
      <c r="G75" s="36">
        <f t="shared" si="7"/>
        <v>415</v>
      </c>
      <c r="H75" s="36">
        <f t="shared" si="8"/>
        <v>1</v>
      </c>
      <c r="I75" s="11">
        <f t="shared" si="9"/>
        <v>1242000000</v>
      </c>
      <c r="J75" s="53">
        <f t="shared" si="10"/>
        <v>0</v>
      </c>
      <c r="K75" s="53">
        <f t="shared" si="11"/>
        <v>1242000000</v>
      </c>
    </row>
    <row r="76" spans="1:11" x14ac:dyDescent="0.25">
      <c r="A76" s="17" t="s">
        <v>149</v>
      </c>
      <c r="B76" s="18">
        <v>3000000</v>
      </c>
      <c r="C76" s="18">
        <v>0</v>
      </c>
      <c r="D76" s="3">
        <f t="shared" si="6"/>
        <v>3000000</v>
      </c>
      <c r="E76" s="19" t="s">
        <v>147</v>
      </c>
      <c r="F76" s="36">
        <v>1</v>
      </c>
      <c r="G76" s="36">
        <f t="shared" si="7"/>
        <v>413</v>
      </c>
      <c r="H76" s="36">
        <f t="shared" si="8"/>
        <v>1</v>
      </c>
      <c r="I76" s="11">
        <f t="shared" si="9"/>
        <v>1236000000</v>
      </c>
      <c r="J76" s="53">
        <f t="shared" si="10"/>
        <v>0</v>
      </c>
      <c r="K76" s="53">
        <f t="shared" si="11"/>
        <v>1236000000</v>
      </c>
    </row>
    <row r="77" spans="1:11" x14ac:dyDescent="0.25">
      <c r="A77" s="17" t="s">
        <v>151</v>
      </c>
      <c r="B77" s="18">
        <v>3000000</v>
      </c>
      <c r="C77" s="18">
        <v>0</v>
      </c>
      <c r="D77" s="3">
        <f t="shared" si="6"/>
        <v>3000000</v>
      </c>
      <c r="E77" s="21" t="s">
        <v>147</v>
      </c>
      <c r="F77" s="36">
        <v>1</v>
      </c>
      <c r="G77" s="36">
        <f t="shared" si="7"/>
        <v>412</v>
      </c>
      <c r="H77" s="36">
        <f t="shared" si="8"/>
        <v>1</v>
      </c>
      <c r="I77" s="11">
        <f t="shared" si="9"/>
        <v>1233000000</v>
      </c>
      <c r="J77" s="53">
        <f t="shared" si="10"/>
        <v>0</v>
      </c>
      <c r="K77" s="53">
        <f t="shared" si="11"/>
        <v>1233000000</v>
      </c>
    </row>
    <row r="78" spans="1:11" x14ac:dyDescent="0.25">
      <c r="A78" s="17" t="s">
        <v>153</v>
      </c>
      <c r="B78" s="18">
        <v>-3200000</v>
      </c>
      <c r="C78" s="18">
        <v>-3200000</v>
      </c>
      <c r="D78" s="3">
        <f t="shared" si="6"/>
        <v>0</v>
      </c>
      <c r="E78" s="19" t="s">
        <v>154</v>
      </c>
      <c r="F78" s="36">
        <v>1</v>
      </c>
      <c r="G78" s="36">
        <f t="shared" si="7"/>
        <v>411</v>
      </c>
      <c r="H78" s="36">
        <f t="shared" si="8"/>
        <v>0</v>
      </c>
      <c r="I78" s="11">
        <f t="shared" si="9"/>
        <v>-1315200000</v>
      </c>
      <c r="J78" s="53">
        <f t="shared" si="10"/>
        <v>-1315200000</v>
      </c>
      <c r="K78" s="53">
        <f t="shared" si="11"/>
        <v>0</v>
      </c>
    </row>
    <row r="79" spans="1:11" x14ac:dyDescent="0.25">
      <c r="A79" s="17" t="s">
        <v>155</v>
      </c>
      <c r="B79" s="18">
        <v>-800000</v>
      </c>
      <c r="C79" s="18">
        <v>-800000</v>
      </c>
      <c r="D79" s="3">
        <f t="shared" si="6"/>
        <v>0</v>
      </c>
      <c r="E79" s="19" t="s">
        <v>154</v>
      </c>
      <c r="F79" s="36">
        <v>1</v>
      </c>
      <c r="G79" s="36">
        <f t="shared" si="7"/>
        <v>410</v>
      </c>
      <c r="H79" s="36">
        <f t="shared" si="8"/>
        <v>0</v>
      </c>
      <c r="I79" s="11">
        <f t="shared" si="9"/>
        <v>-328000000</v>
      </c>
      <c r="J79" s="53">
        <f t="shared" si="10"/>
        <v>-328000000</v>
      </c>
      <c r="K79" s="53">
        <f t="shared" si="11"/>
        <v>0</v>
      </c>
    </row>
    <row r="80" spans="1:11" x14ac:dyDescent="0.25">
      <c r="A80" s="20" t="s">
        <v>159</v>
      </c>
      <c r="B80" s="18">
        <v>-48393</v>
      </c>
      <c r="C80" s="18">
        <v>0</v>
      </c>
      <c r="D80" s="3">
        <f t="shared" si="6"/>
        <v>-48393</v>
      </c>
      <c r="E80" s="20" t="s">
        <v>160</v>
      </c>
      <c r="F80" s="36">
        <v>1</v>
      </c>
      <c r="G80" s="36">
        <f t="shared" si="7"/>
        <v>409</v>
      </c>
      <c r="H80" s="36">
        <f t="shared" si="8"/>
        <v>0</v>
      </c>
      <c r="I80" s="11">
        <f t="shared" si="9"/>
        <v>-19792737</v>
      </c>
      <c r="J80" s="53">
        <f t="shared" si="10"/>
        <v>0</v>
      </c>
      <c r="K80" s="53">
        <f t="shared" si="11"/>
        <v>-19792737</v>
      </c>
    </row>
    <row r="81" spans="1:11" x14ac:dyDescent="0.25">
      <c r="A81" s="20" t="s">
        <v>157</v>
      </c>
      <c r="B81" s="18">
        <v>-140000</v>
      </c>
      <c r="C81" s="18">
        <v>0</v>
      </c>
      <c r="D81" s="3">
        <f t="shared" si="6"/>
        <v>-140000</v>
      </c>
      <c r="E81" s="20" t="s">
        <v>158</v>
      </c>
      <c r="F81" s="36">
        <v>1</v>
      </c>
      <c r="G81" s="36">
        <f t="shared" si="7"/>
        <v>408</v>
      </c>
      <c r="H81" s="36">
        <f t="shared" si="8"/>
        <v>0</v>
      </c>
      <c r="I81" s="11">
        <f t="shared" si="9"/>
        <v>-57120000</v>
      </c>
      <c r="J81" s="53">
        <f t="shared" si="10"/>
        <v>0</v>
      </c>
      <c r="K81" s="53">
        <f t="shared" si="11"/>
        <v>-57120000</v>
      </c>
    </row>
    <row r="82" spans="1:11" x14ac:dyDescent="0.25">
      <c r="A82" s="20" t="s">
        <v>163</v>
      </c>
      <c r="B82" s="18">
        <v>-250000</v>
      </c>
      <c r="C82" s="18">
        <v>0</v>
      </c>
      <c r="D82" s="3">
        <f t="shared" si="6"/>
        <v>-250000</v>
      </c>
      <c r="E82" s="20" t="s">
        <v>164</v>
      </c>
      <c r="F82" s="36">
        <v>1</v>
      </c>
      <c r="G82" s="36">
        <f t="shared" si="7"/>
        <v>407</v>
      </c>
      <c r="H82" s="36">
        <f t="shared" si="8"/>
        <v>0</v>
      </c>
      <c r="I82" s="11">
        <f t="shared" si="9"/>
        <v>-101750000</v>
      </c>
      <c r="J82" s="53">
        <f t="shared" si="10"/>
        <v>0</v>
      </c>
      <c r="K82" s="53">
        <f t="shared" si="11"/>
        <v>-101750000</v>
      </c>
    </row>
    <row r="83" spans="1:11" x14ac:dyDescent="0.25">
      <c r="A83" s="20" t="s">
        <v>162</v>
      </c>
      <c r="B83" s="18">
        <v>-200000</v>
      </c>
      <c r="C83" s="18">
        <v>0</v>
      </c>
      <c r="D83" s="3">
        <f t="shared" si="6"/>
        <v>-200000</v>
      </c>
      <c r="E83" s="20" t="s">
        <v>26</v>
      </c>
      <c r="F83" s="36">
        <v>3</v>
      </c>
      <c r="G83" s="36">
        <f t="shared" si="7"/>
        <v>406</v>
      </c>
      <c r="H83" s="36">
        <f t="shared" si="8"/>
        <v>0</v>
      </c>
      <c r="I83" s="11">
        <f t="shared" si="9"/>
        <v>-81200000</v>
      </c>
      <c r="J83" s="53">
        <f t="shared" si="10"/>
        <v>0</v>
      </c>
      <c r="K83" s="53">
        <f t="shared" si="11"/>
        <v>-81200000</v>
      </c>
    </row>
    <row r="84" spans="1:11" x14ac:dyDescent="0.25">
      <c r="A84" s="20" t="s">
        <v>168</v>
      </c>
      <c r="B84" s="18">
        <v>1635200</v>
      </c>
      <c r="C84" s="18">
        <v>0</v>
      </c>
      <c r="D84" s="3">
        <f t="shared" si="6"/>
        <v>1635200</v>
      </c>
      <c r="E84" s="20" t="s">
        <v>169</v>
      </c>
      <c r="F84" s="36">
        <v>4</v>
      </c>
      <c r="G84" s="36">
        <f t="shared" si="7"/>
        <v>403</v>
      </c>
      <c r="H84" s="36">
        <f t="shared" si="8"/>
        <v>1</v>
      </c>
      <c r="I84" s="11">
        <f t="shared" si="9"/>
        <v>657350400</v>
      </c>
      <c r="J84" s="53">
        <f t="shared" si="10"/>
        <v>0</v>
      </c>
      <c r="K84" s="53">
        <f t="shared" si="11"/>
        <v>657350400</v>
      </c>
    </row>
    <row r="85" spans="1:11" x14ac:dyDescent="0.25">
      <c r="A85" s="20" t="s">
        <v>172</v>
      </c>
      <c r="B85" s="18">
        <v>2500000</v>
      </c>
      <c r="C85" s="18">
        <v>0</v>
      </c>
      <c r="D85" s="3">
        <f t="shared" ref="D85:D147" si="12">B85-C85</f>
        <v>2500000</v>
      </c>
      <c r="E85" s="20" t="s">
        <v>173</v>
      </c>
      <c r="F85" s="36">
        <v>4</v>
      </c>
      <c r="G85" s="36">
        <f t="shared" si="7"/>
        <v>399</v>
      </c>
      <c r="H85" s="36">
        <f t="shared" si="8"/>
        <v>1</v>
      </c>
      <c r="I85" s="11">
        <f t="shared" si="9"/>
        <v>995000000</v>
      </c>
      <c r="J85" s="53">
        <f t="shared" si="10"/>
        <v>0</v>
      </c>
      <c r="K85" s="53">
        <f t="shared" si="11"/>
        <v>995000000</v>
      </c>
    </row>
    <row r="86" spans="1:11" x14ac:dyDescent="0.25">
      <c r="A86" s="4" t="s">
        <v>175</v>
      </c>
      <c r="B86" s="1">
        <v>186300</v>
      </c>
      <c r="C86" s="1">
        <v>84950</v>
      </c>
      <c r="D86" s="3">
        <f t="shared" si="12"/>
        <v>101350</v>
      </c>
      <c r="E86" s="5" t="s">
        <v>176</v>
      </c>
      <c r="F86" s="36">
        <v>3</v>
      </c>
      <c r="G86" s="36">
        <f t="shared" si="7"/>
        <v>395</v>
      </c>
      <c r="H86" s="36">
        <f t="shared" si="8"/>
        <v>1</v>
      </c>
      <c r="I86" s="11">
        <f t="shared" si="9"/>
        <v>73402200</v>
      </c>
      <c r="J86" s="53">
        <f t="shared" si="10"/>
        <v>33470300</v>
      </c>
      <c r="K86" s="53">
        <f t="shared" si="11"/>
        <v>39931900</v>
      </c>
    </row>
    <row r="87" spans="1:11" x14ac:dyDescent="0.25">
      <c r="A87" s="17" t="s">
        <v>192</v>
      </c>
      <c r="B87" s="18">
        <v>-200000</v>
      </c>
      <c r="C87" s="18">
        <v>0</v>
      </c>
      <c r="D87" s="3">
        <f t="shared" si="12"/>
        <v>-200000</v>
      </c>
      <c r="E87" s="19" t="s">
        <v>193</v>
      </c>
      <c r="F87" s="36">
        <v>1</v>
      </c>
      <c r="G87" s="36">
        <f t="shared" si="7"/>
        <v>392</v>
      </c>
      <c r="H87" s="36">
        <f t="shared" si="8"/>
        <v>0</v>
      </c>
      <c r="I87" s="11">
        <f t="shared" si="9"/>
        <v>-78400000</v>
      </c>
      <c r="J87" s="53">
        <f t="shared" si="10"/>
        <v>0</v>
      </c>
      <c r="K87" s="53">
        <f t="shared" si="11"/>
        <v>-78400000</v>
      </c>
    </row>
    <row r="88" spans="1:11" x14ac:dyDescent="0.25">
      <c r="A88" s="20" t="s">
        <v>184</v>
      </c>
      <c r="B88" s="18">
        <v>-118000</v>
      </c>
      <c r="C88" s="18">
        <v>-69000</v>
      </c>
      <c r="D88" s="3">
        <f t="shared" si="12"/>
        <v>-49000</v>
      </c>
      <c r="E88" s="20" t="s">
        <v>194</v>
      </c>
      <c r="F88" s="36">
        <v>8</v>
      </c>
      <c r="G88" s="36">
        <f t="shared" si="7"/>
        <v>391</v>
      </c>
      <c r="H88" s="36">
        <f t="shared" si="8"/>
        <v>0</v>
      </c>
      <c r="I88" s="11">
        <f t="shared" si="9"/>
        <v>-46138000</v>
      </c>
      <c r="J88" s="53">
        <f t="shared" si="10"/>
        <v>-26979000</v>
      </c>
      <c r="K88" s="53">
        <f t="shared" si="11"/>
        <v>-19159000</v>
      </c>
    </row>
    <row r="89" spans="1:11" x14ac:dyDescent="0.25">
      <c r="A89" s="17" t="s">
        <v>201</v>
      </c>
      <c r="B89" s="18">
        <v>-3200900</v>
      </c>
      <c r="C89" s="18">
        <v>0</v>
      </c>
      <c r="D89" s="3">
        <f t="shared" si="12"/>
        <v>-3200900</v>
      </c>
      <c r="E89" s="19" t="s">
        <v>202</v>
      </c>
      <c r="F89" s="36">
        <v>1</v>
      </c>
      <c r="G89" s="36">
        <f t="shared" si="7"/>
        <v>383</v>
      </c>
      <c r="H89" s="36">
        <f t="shared" si="8"/>
        <v>0</v>
      </c>
      <c r="I89" s="11">
        <f t="shared" si="9"/>
        <v>-1225944700</v>
      </c>
      <c r="J89" s="53">
        <f t="shared" si="10"/>
        <v>0</v>
      </c>
      <c r="K89" s="53">
        <f t="shared" si="11"/>
        <v>-1225944700</v>
      </c>
    </row>
    <row r="90" spans="1:11" x14ac:dyDescent="0.25">
      <c r="A90" s="17" t="s">
        <v>207</v>
      </c>
      <c r="B90" s="18">
        <v>-3200900</v>
      </c>
      <c r="C90" s="18">
        <v>0</v>
      </c>
      <c r="D90" s="3">
        <f t="shared" si="12"/>
        <v>-3200900</v>
      </c>
      <c r="E90" s="19" t="s">
        <v>208</v>
      </c>
      <c r="F90" s="36">
        <v>1</v>
      </c>
      <c r="G90" s="36">
        <f t="shared" si="7"/>
        <v>382</v>
      </c>
      <c r="H90" s="36">
        <f t="shared" si="8"/>
        <v>0</v>
      </c>
      <c r="I90" s="11">
        <f t="shared" si="9"/>
        <v>-1222743800</v>
      </c>
      <c r="J90" s="53">
        <f t="shared" si="10"/>
        <v>0</v>
      </c>
      <c r="K90" s="53">
        <f t="shared" si="11"/>
        <v>-1222743800</v>
      </c>
    </row>
    <row r="91" spans="1:11" x14ac:dyDescent="0.25">
      <c r="A91" s="17" t="s">
        <v>211</v>
      </c>
      <c r="B91" s="18">
        <v>-3200900</v>
      </c>
      <c r="C91" s="18">
        <v>0</v>
      </c>
      <c r="D91" s="3">
        <f t="shared" si="12"/>
        <v>-3200900</v>
      </c>
      <c r="E91" s="19" t="s">
        <v>212</v>
      </c>
      <c r="F91" s="36">
        <v>1</v>
      </c>
      <c r="G91" s="36">
        <f t="shared" si="7"/>
        <v>381</v>
      </c>
      <c r="H91" s="36">
        <f t="shared" si="8"/>
        <v>0</v>
      </c>
      <c r="I91" s="11">
        <f t="shared" si="9"/>
        <v>-1219542900</v>
      </c>
      <c r="J91" s="53">
        <f t="shared" si="10"/>
        <v>0</v>
      </c>
      <c r="K91" s="53">
        <f t="shared" si="11"/>
        <v>-1219542900</v>
      </c>
    </row>
    <row r="92" spans="1:11" x14ac:dyDescent="0.25">
      <c r="A92" s="17" t="s">
        <v>216</v>
      </c>
      <c r="B92" s="18">
        <v>-3200900</v>
      </c>
      <c r="C92" s="18">
        <v>0</v>
      </c>
      <c r="D92" s="3">
        <f t="shared" si="12"/>
        <v>-3200900</v>
      </c>
      <c r="E92" s="21" t="s">
        <v>217</v>
      </c>
      <c r="F92" s="36">
        <v>1</v>
      </c>
      <c r="G92" s="36">
        <f t="shared" si="7"/>
        <v>380</v>
      </c>
      <c r="H92" s="36">
        <f t="shared" si="8"/>
        <v>0</v>
      </c>
      <c r="I92" s="11">
        <f t="shared" si="9"/>
        <v>-1216342000</v>
      </c>
      <c r="J92" s="53">
        <f t="shared" si="10"/>
        <v>0</v>
      </c>
      <c r="K92" s="53">
        <f t="shared" si="11"/>
        <v>-1216342000</v>
      </c>
    </row>
    <row r="93" spans="1:11" x14ac:dyDescent="0.25">
      <c r="A93" s="17" t="s">
        <v>222</v>
      </c>
      <c r="B93" s="18">
        <v>-3200900</v>
      </c>
      <c r="C93" s="18">
        <v>0</v>
      </c>
      <c r="D93" s="3">
        <f t="shared" si="12"/>
        <v>-3200900</v>
      </c>
      <c r="E93" s="19" t="s">
        <v>223</v>
      </c>
      <c r="F93" s="36">
        <v>1</v>
      </c>
      <c r="G93" s="36">
        <f t="shared" si="7"/>
        <v>379</v>
      </c>
      <c r="H93" s="36">
        <f t="shared" si="8"/>
        <v>0</v>
      </c>
      <c r="I93" s="11">
        <f t="shared" si="9"/>
        <v>-1213141100</v>
      </c>
      <c r="J93" s="53">
        <f t="shared" si="10"/>
        <v>0</v>
      </c>
      <c r="K93" s="53">
        <f t="shared" si="11"/>
        <v>-1213141100</v>
      </c>
    </row>
    <row r="94" spans="1:11" x14ac:dyDescent="0.25">
      <c r="A94" s="17" t="s">
        <v>225</v>
      </c>
      <c r="B94" s="18">
        <v>-3200900</v>
      </c>
      <c r="C94" s="18">
        <v>0</v>
      </c>
      <c r="D94" s="3">
        <f t="shared" si="12"/>
        <v>-3200900</v>
      </c>
      <c r="E94" s="19" t="s">
        <v>226</v>
      </c>
      <c r="F94" s="36">
        <v>2</v>
      </c>
      <c r="G94" s="36">
        <f t="shared" si="7"/>
        <v>378</v>
      </c>
      <c r="H94" s="36">
        <f t="shared" si="8"/>
        <v>0</v>
      </c>
      <c r="I94" s="11">
        <f t="shared" si="9"/>
        <v>-1209940200</v>
      </c>
      <c r="J94" s="53">
        <f t="shared" si="10"/>
        <v>0</v>
      </c>
      <c r="K94" s="53">
        <f t="shared" si="11"/>
        <v>-1209940200</v>
      </c>
    </row>
    <row r="95" spans="1:11" x14ac:dyDescent="0.25">
      <c r="A95" s="20" t="s">
        <v>228</v>
      </c>
      <c r="B95" s="18">
        <v>-1196596</v>
      </c>
      <c r="C95" s="18">
        <v>0</v>
      </c>
      <c r="D95" s="3">
        <f t="shared" si="12"/>
        <v>-1196596</v>
      </c>
      <c r="E95" s="20" t="s">
        <v>229</v>
      </c>
      <c r="F95" s="36">
        <v>10</v>
      </c>
      <c r="G95" s="36">
        <f t="shared" si="7"/>
        <v>376</v>
      </c>
      <c r="H95" s="36">
        <f t="shared" si="8"/>
        <v>0</v>
      </c>
      <c r="I95" s="11">
        <f t="shared" si="9"/>
        <v>-449920096</v>
      </c>
      <c r="J95" s="53">
        <f t="shared" si="10"/>
        <v>0</v>
      </c>
      <c r="K95" s="53">
        <f t="shared" si="11"/>
        <v>-449920096</v>
      </c>
    </row>
    <row r="96" spans="1:11" x14ac:dyDescent="0.25">
      <c r="A96" s="20" t="s">
        <v>237</v>
      </c>
      <c r="B96" s="18">
        <v>-200000</v>
      </c>
      <c r="C96" s="18">
        <v>0</v>
      </c>
      <c r="D96" s="3">
        <f t="shared" si="12"/>
        <v>-200000</v>
      </c>
      <c r="E96" s="20" t="s">
        <v>238</v>
      </c>
      <c r="F96" s="36">
        <v>1</v>
      </c>
      <c r="G96" s="36">
        <f t="shared" si="7"/>
        <v>366</v>
      </c>
      <c r="H96" s="36">
        <f t="shared" si="8"/>
        <v>0</v>
      </c>
      <c r="I96" s="11">
        <f t="shared" si="9"/>
        <v>-73200000</v>
      </c>
      <c r="J96" s="53">
        <f t="shared" si="10"/>
        <v>0</v>
      </c>
      <c r="K96" s="53">
        <f t="shared" si="11"/>
        <v>-73200000</v>
      </c>
    </row>
    <row r="97" spans="1:11" x14ac:dyDescent="0.25">
      <c r="A97" s="20" t="s">
        <v>241</v>
      </c>
      <c r="B97" s="18">
        <v>159558</v>
      </c>
      <c r="C97" s="18">
        <v>68926</v>
      </c>
      <c r="D97" s="3">
        <f t="shared" si="12"/>
        <v>90632</v>
      </c>
      <c r="E97" s="23" t="s">
        <v>242</v>
      </c>
      <c r="F97" s="36">
        <v>5</v>
      </c>
      <c r="G97" s="36">
        <f t="shared" si="7"/>
        <v>365</v>
      </c>
      <c r="H97" s="36">
        <f t="shared" si="8"/>
        <v>1</v>
      </c>
      <c r="I97" s="11">
        <f t="shared" si="9"/>
        <v>58079112</v>
      </c>
      <c r="J97" s="53">
        <f t="shared" si="10"/>
        <v>25089064</v>
      </c>
      <c r="K97" s="53">
        <f t="shared" si="11"/>
        <v>32990048</v>
      </c>
    </row>
    <row r="98" spans="1:11" x14ac:dyDescent="0.25">
      <c r="A98" s="20" t="s">
        <v>245</v>
      </c>
      <c r="B98" s="18">
        <v>114368</v>
      </c>
      <c r="C98" s="18">
        <v>0</v>
      </c>
      <c r="D98" s="3">
        <f t="shared" si="12"/>
        <v>114368</v>
      </c>
      <c r="E98" s="20" t="s">
        <v>246</v>
      </c>
      <c r="F98" s="36">
        <v>3</v>
      </c>
      <c r="G98" s="36">
        <f t="shared" si="7"/>
        <v>360</v>
      </c>
      <c r="H98" s="36">
        <f t="shared" si="8"/>
        <v>1</v>
      </c>
      <c r="I98" s="11">
        <f t="shared" si="9"/>
        <v>41058112</v>
      </c>
      <c r="J98" s="53">
        <f t="shared" si="10"/>
        <v>0</v>
      </c>
      <c r="K98" s="53">
        <f t="shared" si="11"/>
        <v>41058112</v>
      </c>
    </row>
    <row r="99" spans="1:11" x14ac:dyDescent="0.25">
      <c r="A99" s="20" t="s">
        <v>248</v>
      </c>
      <c r="B99" s="18">
        <v>-1325000</v>
      </c>
      <c r="C99" s="18">
        <v>0</v>
      </c>
      <c r="D99" s="3">
        <f t="shared" si="12"/>
        <v>-1325000</v>
      </c>
      <c r="E99" s="20" t="s">
        <v>249</v>
      </c>
      <c r="F99" s="36">
        <v>5</v>
      </c>
      <c r="G99" s="36">
        <f t="shared" si="7"/>
        <v>357</v>
      </c>
      <c r="H99" s="36">
        <f t="shared" si="8"/>
        <v>0</v>
      </c>
      <c r="I99" s="11">
        <f t="shared" si="9"/>
        <v>-473025000</v>
      </c>
      <c r="J99" s="53">
        <f t="shared" si="10"/>
        <v>0</v>
      </c>
      <c r="K99" s="53">
        <f t="shared" si="11"/>
        <v>-473025000</v>
      </c>
    </row>
    <row r="100" spans="1:11" x14ac:dyDescent="0.25">
      <c r="A100" s="17" t="s">
        <v>250</v>
      </c>
      <c r="B100" s="18">
        <v>1325000</v>
      </c>
      <c r="C100" s="18">
        <v>0</v>
      </c>
      <c r="D100" s="3">
        <f t="shared" si="12"/>
        <v>1325000</v>
      </c>
      <c r="E100" s="19" t="s">
        <v>251</v>
      </c>
      <c r="F100" s="36">
        <v>17</v>
      </c>
      <c r="G100" s="36">
        <f t="shared" si="7"/>
        <v>352</v>
      </c>
      <c r="H100" s="36">
        <f t="shared" si="8"/>
        <v>1</v>
      </c>
      <c r="I100" s="11">
        <f t="shared" si="9"/>
        <v>465075000</v>
      </c>
      <c r="J100" s="53">
        <f t="shared" si="10"/>
        <v>0</v>
      </c>
      <c r="K100" s="53">
        <f t="shared" si="11"/>
        <v>465075000</v>
      </c>
    </row>
    <row r="101" spans="1:11" x14ac:dyDescent="0.25">
      <c r="A101" s="20" t="s">
        <v>262</v>
      </c>
      <c r="B101" s="18">
        <v>66845</v>
      </c>
      <c r="C101" s="18">
        <v>66845</v>
      </c>
      <c r="D101" s="3">
        <f t="shared" si="12"/>
        <v>0</v>
      </c>
      <c r="E101" s="23" t="s">
        <v>264</v>
      </c>
      <c r="F101" s="36">
        <v>3</v>
      </c>
      <c r="G101" s="36">
        <f t="shared" si="7"/>
        <v>335</v>
      </c>
      <c r="H101" s="36">
        <f t="shared" si="8"/>
        <v>1</v>
      </c>
      <c r="I101" s="11">
        <f t="shared" si="9"/>
        <v>22326230</v>
      </c>
      <c r="J101" s="53">
        <f t="shared" si="10"/>
        <v>22326230</v>
      </c>
      <c r="K101" s="53">
        <f t="shared" si="11"/>
        <v>0</v>
      </c>
    </row>
    <row r="102" spans="1:11" x14ac:dyDescent="0.25">
      <c r="A102" s="20" t="s">
        <v>263</v>
      </c>
      <c r="B102" s="18">
        <v>3000000</v>
      </c>
      <c r="C102" s="18">
        <v>0</v>
      </c>
      <c r="D102" s="3">
        <f t="shared" si="12"/>
        <v>3000000</v>
      </c>
      <c r="E102" s="20" t="s">
        <v>251</v>
      </c>
      <c r="F102" s="36">
        <v>7</v>
      </c>
      <c r="G102" s="36">
        <f t="shared" si="7"/>
        <v>332</v>
      </c>
      <c r="H102" s="36">
        <f t="shared" si="8"/>
        <v>1</v>
      </c>
      <c r="I102" s="11">
        <f t="shared" si="9"/>
        <v>993000000</v>
      </c>
      <c r="J102" s="53">
        <f t="shared" si="10"/>
        <v>0</v>
      </c>
      <c r="K102" s="53">
        <f t="shared" si="11"/>
        <v>993000000</v>
      </c>
    </row>
    <row r="103" spans="1:11" x14ac:dyDescent="0.25">
      <c r="A103" s="30">
        <v>35014</v>
      </c>
      <c r="B103" s="18">
        <v>-1000000</v>
      </c>
      <c r="C103" s="18">
        <v>-1000000</v>
      </c>
      <c r="D103" s="3">
        <f t="shared" si="12"/>
        <v>0</v>
      </c>
      <c r="E103" s="20" t="s">
        <v>414</v>
      </c>
      <c r="F103" s="36">
        <v>10</v>
      </c>
      <c r="G103" s="36">
        <f t="shared" si="7"/>
        <v>325</v>
      </c>
      <c r="H103" s="36">
        <f t="shared" si="8"/>
        <v>0</v>
      </c>
      <c r="I103" s="11">
        <f t="shared" si="9"/>
        <v>-325000000</v>
      </c>
      <c r="J103" s="53">
        <f t="shared" si="10"/>
        <v>-325000000</v>
      </c>
      <c r="K103" s="53">
        <f t="shared" si="11"/>
        <v>0</v>
      </c>
    </row>
    <row r="104" spans="1:11" x14ac:dyDescent="0.25">
      <c r="A104" s="17" t="s">
        <v>415</v>
      </c>
      <c r="B104" s="18">
        <v>3000000</v>
      </c>
      <c r="C104" s="18">
        <v>3000000</v>
      </c>
      <c r="D104" s="3">
        <f t="shared" si="12"/>
        <v>0</v>
      </c>
      <c r="E104" s="19" t="s">
        <v>413</v>
      </c>
      <c r="F104" s="36">
        <v>1</v>
      </c>
      <c r="G104" s="36">
        <f t="shared" si="7"/>
        <v>315</v>
      </c>
      <c r="H104" s="36">
        <f t="shared" si="8"/>
        <v>1</v>
      </c>
      <c r="I104" s="11">
        <f t="shared" si="9"/>
        <v>942000000</v>
      </c>
      <c r="J104" s="53">
        <f t="shared" si="10"/>
        <v>942000000</v>
      </c>
      <c r="K104" s="53">
        <f t="shared" si="11"/>
        <v>0</v>
      </c>
    </row>
    <row r="105" spans="1:11" x14ac:dyDescent="0.25">
      <c r="A105" s="17" t="s">
        <v>344</v>
      </c>
      <c r="B105" s="18">
        <v>1120000</v>
      </c>
      <c r="C105" s="18">
        <v>1120000</v>
      </c>
      <c r="D105" s="3">
        <f t="shared" si="12"/>
        <v>0</v>
      </c>
      <c r="E105" s="19" t="s">
        <v>413</v>
      </c>
      <c r="F105" s="36">
        <v>0</v>
      </c>
      <c r="G105" s="36">
        <f t="shared" si="7"/>
        <v>314</v>
      </c>
      <c r="H105" s="36">
        <f t="shared" si="8"/>
        <v>1</v>
      </c>
      <c r="I105" s="11">
        <f t="shared" si="9"/>
        <v>350560000</v>
      </c>
      <c r="J105" s="53">
        <f t="shared" si="10"/>
        <v>350560000</v>
      </c>
      <c r="K105" s="53">
        <f t="shared" si="11"/>
        <v>0</v>
      </c>
    </row>
    <row r="106" spans="1:11" x14ac:dyDescent="0.25">
      <c r="A106" s="17" t="s">
        <v>344</v>
      </c>
      <c r="B106" s="18">
        <v>-3000000</v>
      </c>
      <c r="C106" s="18">
        <v>0</v>
      </c>
      <c r="D106" s="3">
        <f t="shared" si="12"/>
        <v>-3000000</v>
      </c>
      <c r="E106" s="19" t="s">
        <v>345</v>
      </c>
      <c r="F106" s="36">
        <v>9</v>
      </c>
      <c r="G106" s="36">
        <f t="shared" si="7"/>
        <v>314</v>
      </c>
      <c r="H106" s="36">
        <f t="shared" si="8"/>
        <v>0</v>
      </c>
      <c r="I106" s="11">
        <f t="shared" si="9"/>
        <v>-942000000</v>
      </c>
      <c r="J106" s="53">
        <f t="shared" si="10"/>
        <v>0</v>
      </c>
      <c r="K106" s="53">
        <f t="shared" si="11"/>
        <v>-942000000</v>
      </c>
    </row>
    <row r="107" spans="1:11" x14ac:dyDescent="0.25">
      <c r="A107" s="20" t="s">
        <v>404</v>
      </c>
      <c r="B107" s="18">
        <v>90494</v>
      </c>
      <c r="C107" s="18">
        <v>75115</v>
      </c>
      <c r="D107" s="3">
        <f t="shared" si="12"/>
        <v>15379</v>
      </c>
      <c r="E107" s="23" t="s">
        <v>401</v>
      </c>
      <c r="F107" s="36">
        <v>2</v>
      </c>
      <c r="G107" s="36">
        <f t="shared" si="7"/>
        <v>305</v>
      </c>
      <c r="H107" s="36">
        <f t="shared" si="8"/>
        <v>1</v>
      </c>
      <c r="I107" s="11">
        <f t="shared" si="9"/>
        <v>27510176</v>
      </c>
      <c r="J107" s="53">
        <f t="shared" si="10"/>
        <v>22834960</v>
      </c>
      <c r="K107" s="53">
        <f t="shared" si="11"/>
        <v>4675216</v>
      </c>
    </row>
    <row r="108" spans="1:11" x14ac:dyDescent="0.25">
      <c r="A108" s="20" t="s">
        <v>410</v>
      </c>
      <c r="B108" s="18">
        <v>-1700700</v>
      </c>
      <c r="C108" s="18">
        <v>0</v>
      </c>
      <c r="D108" s="3">
        <f t="shared" si="12"/>
        <v>-1700700</v>
      </c>
      <c r="E108" s="20" t="s">
        <v>416</v>
      </c>
      <c r="F108" s="36">
        <v>4</v>
      </c>
      <c r="G108" s="36">
        <f t="shared" si="7"/>
        <v>303</v>
      </c>
      <c r="H108" s="36">
        <f t="shared" si="8"/>
        <v>0</v>
      </c>
      <c r="I108" s="11">
        <f t="shared" si="9"/>
        <v>-515312100</v>
      </c>
      <c r="J108" s="53">
        <f t="shared" si="10"/>
        <v>0</v>
      </c>
      <c r="K108" s="53">
        <f t="shared" si="11"/>
        <v>-515312100</v>
      </c>
    </row>
    <row r="109" spans="1:11" x14ac:dyDescent="0.25">
      <c r="A109" s="30" t="s">
        <v>428</v>
      </c>
      <c r="B109" s="18">
        <v>-1000500</v>
      </c>
      <c r="C109" s="18">
        <v>0</v>
      </c>
      <c r="D109" s="3">
        <f t="shared" si="12"/>
        <v>-1000500</v>
      </c>
      <c r="E109" s="20" t="s">
        <v>429</v>
      </c>
      <c r="F109" s="36">
        <v>3</v>
      </c>
      <c r="G109" s="36">
        <f t="shared" si="7"/>
        <v>299</v>
      </c>
      <c r="H109" s="36">
        <f t="shared" si="8"/>
        <v>0</v>
      </c>
      <c r="I109" s="11">
        <f t="shared" si="9"/>
        <v>-299149500</v>
      </c>
      <c r="J109" s="53">
        <f t="shared" si="10"/>
        <v>0</v>
      </c>
      <c r="K109" s="53">
        <f t="shared" si="11"/>
        <v>-299149500</v>
      </c>
    </row>
    <row r="110" spans="1:11" x14ac:dyDescent="0.25">
      <c r="A110" s="17" t="s">
        <v>440</v>
      </c>
      <c r="B110" s="18">
        <v>20000000</v>
      </c>
      <c r="C110" s="18">
        <v>0</v>
      </c>
      <c r="D110" s="3">
        <f t="shared" si="12"/>
        <v>20000000</v>
      </c>
      <c r="E110" s="19" t="s">
        <v>441</v>
      </c>
      <c r="F110" s="36">
        <v>20</v>
      </c>
      <c r="G110" s="36">
        <f t="shared" si="7"/>
        <v>296</v>
      </c>
      <c r="H110" s="36">
        <f t="shared" si="8"/>
        <v>1</v>
      </c>
      <c r="I110" s="11">
        <f t="shared" si="9"/>
        <v>5900000000</v>
      </c>
      <c r="J110" s="53">
        <f t="shared" si="10"/>
        <v>0</v>
      </c>
      <c r="K110" s="53">
        <f t="shared" si="11"/>
        <v>5900000000</v>
      </c>
    </row>
    <row r="111" spans="1:11" x14ac:dyDescent="0.25">
      <c r="A111" s="20" t="s">
        <v>491</v>
      </c>
      <c r="B111" s="39">
        <v>174678</v>
      </c>
      <c r="C111" s="39">
        <v>87363</v>
      </c>
      <c r="D111" s="35">
        <f t="shared" si="12"/>
        <v>87315</v>
      </c>
      <c r="E111" s="23" t="s">
        <v>474</v>
      </c>
      <c r="F111" s="36">
        <v>16</v>
      </c>
      <c r="G111" s="36">
        <f t="shared" si="7"/>
        <v>276</v>
      </c>
      <c r="H111" s="36">
        <f t="shared" si="8"/>
        <v>1</v>
      </c>
      <c r="I111" s="11">
        <f t="shared" si="9"/>
        <v>48036450</v>
      </c>
      <c r="J111" s="53">
        <f t="shared" si="10"/>
        <v>24024825</v>
      </c>
      <c r="K111" s="53">
        <f t="shared" si="11"/>
        <v>24011625</v>
      </c>
    </row>
    <row r="112" spans="1:11" x14ac:dyDescent="0.25">
      <c r="A112" s="17" t="s">
        <v>496</v>
      </c>
      <c r="B112" s="18">
        <v>-28400000</v>
      </c>
      <c r="C112" s="18">
        <v>0</v>
      </c>
      <c r="D112" s="3">
        <f t="shared" si="12"/>
        <v>-28400000</v>
      </c>
      <c r="E112" s="20" t="s">
        <v>497</v>
      </c>
      <c r="F112" s="36">
        <v>15</v>
      </c>
      <c r="G112" s="36">
        <f t="shared" si="7"/>
        <v>260</v>
      </c>
      <c r="H112" s="36">
        <f t="shared" si="8"/>
        <v>0</v>
      </c>
      <c r="I112" s="11">
        <f t="shared" si="9"/>
        <v>-7384000000</v>
      </c>
      <c r="J112" s="53">
        <f t="shared" si="10"/>
        <v>0</v>
      </c>
      <c r="K112" s="53">
        <f t="shared" si="11"/>
        <v>-7384000000</v>
      </c>
    </row>
    <row r="113" spans="1:15" x14ac:dyDescent="0.25">
      <c r="A113" s="17" t="s">
        <v>510</v>
      </c>
      <c r="B113" s="39">
        <v>163040</v>
      </c>
      <c r="C113" s="39">
        <v>122511</v>
      </c>
      <c r="D113" s="35">
        <f t="shared" si="12"/>
        <v>40529</v>
      </c>
      <c r="E113" s="5" t="s">
        <v>511</v>
      </c>
      <c r="F113" s="36">
        <v>0</v>
      </c>
      <c r="G113" s="36">
        <f t="shared" si="7"/>
        <v>245</v>
      </c>
      <c r="H113" s="36">
        <f t="shared" si="8"/>
        <v>1</v>
      </c>
      <c r="I113" s="11">
        <f t="shared" si="9"/>
        <v>39781760</v>
      </c>
      <c r="J113" s="53">
        <f t="shared" si="10"/>
        <v>29892684</v>
      </c>
      <c r="K113" s="53">
        <f t="shared" si="11"/>
        <v>9889076</v>
      </c>
    </row>
    <row r="114" spans="1:15" x14ac:dyDescent="0.25">
      <c r="A114" s="17" t="s">
        <v>510</v>
      </c>
      <c r="B114" s="18">
        <v>-5700</v>
      </c>
      <c r="C114" s="18">
        <v>-2500</v>
      </c>
      <c r="D114" s="3">
        <f t="shared" si="12"/>
        <v>-3200</v>
      </c>
      <c r="E114" s="19" t="s">
        <v>513</v>
      </c>
      <c r="F114" s="36">
        <v>13</v>
      </c>
      <c r="G114" s="36">
        <f t="shared" si="7"/>
        <v>245</v>
      </c>
      <c r="H114" s="36">
        <f t="shared" si="8"/>
        <v>0</v>
      </c>
      <c r="I114" s="11">
        <f t="shared" si="9"/>
        <v>-1396500</v>
      </c>
      <c r="J114" s="53">
        <f t="shared" si="10"/>
        <v>-612500</v>
      </c>
      <c r="K114" s="53">
        <f t="shared" si="11"/>
        <v>-784000</v>
      </c>
    </row>
    <row r="115" spans="1:15" x14ac:dyDescent="0.25">
      <c r="A115" s="17" t="s">
        <v>527</v>
      </c>
      <c r="B115" s="18">
        <v>0</v>
      </c>
      <c r="C115" s="18">
        <v>500000</v>
      </c>
      <c r="D115" s="3">
        <f t="shared" si="12"/>
        <v>-500000</v>
      </c>
      <c r="E115" s="19" t="s">
        <v>528</v>
      </c>
      <c r="F115" s="36">
        <v>8</v>
      </c>
      <c r="G115" s="36">
        <f t="shared" si="7"/>
        <v>232</v>
      </c>
      <c r="H115" s="36">
        <f t="shared" si="8"/>
        <v>0</v>
      </c>
      <c r="I115" s="11">
        <f t="shared" si="9"/>
        <v>0</v>
      </c>
      <c r="J115" s="53">
        <f t="shared" si="10"/>
        <v>116000000</v>
      </c>
      <c r="K115" s="53">
        <f t="shared" si="11"/>
        <v>-116000000</v>
      </c>
    </row>
    <row r="116" spans="1:15" x14ac:dyDescent="0.25">
      <c r="A116" s="11" t="s">
        <v>533</v>
      </c>
      <c r="B116" s="18">
        <v>-160000</v>
      </c>
      <c r="C116" s="18">
        <v>0</v>
      </c>
      <c r="D116" s="18">
        <f t="shared" si="12"/>
        <v>-160000</v>
      </c>
      <c r="E116" s="11" t="s">
        <v>534</v>
      </c>
      <c r="F116" s="36">
        <v>9</v>
      </c>
      <c r="G116" s="36">
        <f t="shared" si="7"/>
        <v>224</v>
      </c>
      <c r="H116" s="36">
        <f t="shared" si="8"/>
        <v>0</v>
      </c>
      <c r="I116" s="11">
        <f t="shared" si="9"/>
        <v>-35840000</v>
      </c>
      <c r="J116" s="53">
        <f t="shared" si="10"/>
        <v>0</v>
      </c>
      <c r="K116" s="53">
        <f t="shared" si="11"/>
        <v>-35840000</v>
      </c>
    </row>
    <row r="117" spans="1:15" x14ac:dyDescent="0.25">
      <c r="A117" s="11" t="s">
        <v>551</v>
      </c>
      <c r="B117" s="39">
        <v>1480</v>
      </c>
      <c r="C117" s="39">
        <v>106941</v>
      </c>
      <c r="D117" s="39">
        <f t="shared" si="12"/>
        <v>-105461</v>
      </c>
      <c r="E117" s="23" t="s">
        <v>552</v>
      </c>
      <c r="F117" s="36">
        <v>22</v>
      </c>
      <c r="G117" s="36">
        <f t="shared" si="7"/>
        <v>215</v>
      </c>
      <c r="H117" s="36">
        <f t="shared" si="8"/>
        <v>1</v>
      </c>
      <c r="I117" s="11">
        <f t="shared" si="9"/>
        <v>316720</v>
      </c>
      <c r="J117" s="53">
        <f t="shared" si="10"/>
        <v>22885374</v>
      </c>
      <c r="K117" s="53">
        <f t="shared" si="11"/>
        <v>-22568654</v>
      </c>
      <c r="N117" s="3"/>
    </row>
    <row r="118" spans="1:15" x14ac:dyDescent="0.25">
      <c r="A118" s="11" t="s">
        <v>579</v>
      </c>
      <c r="B118" s="18">
        <v>39399500</v>
      </c>
      <c r="C118" s="18">
        <v>0</v>
      </c>
      <c r="D118" s="18">
        <f t="shared" si="12"/>
        <v>39399500</v>
      </c>
      <c r="E118" s="11" t="s">
        <v>581</v>
      </c>
      <c r="F118" s="36">
        <v>9</v>
      </c>
      <c r="G118" s="36">
        <f t="shared" si="7"/>
        <v>193</v>
      </c>
      <c r="H118" s="36">
        <f t="shared" si="8"/>
        <v>1</v>
      </c>
      <c r="I118" s="11">
        <f t="shared" si="9"/>
        <v>7564704000</v>
      </c>
      <c r="J118" s="53">
        <f t="shared" si="10"/>
        <v>0</v>
      </c>
      <c r="K118" s="53">
        <f t="shared" si="11"/>
        <v>7564704000</v>
      </c>
      <c r="O118" s="7"/>
    </row>
    <row r="119" spans="1:15" x14ac:dyDescent="0.25">
      <c r="A119" s="11" t="s">
        <v>585</v>
      </c>
      <c r="B119" s="39">
        <v>95521</v>
      </c>
      <c r="C119" s="39">
        <v>110054</v>
      </c>
      <c r="D119" s="39">
        <f t="shared" si="12"/>
        <v>-14533</v>
      </c>
      <c r="E119" s="23" t="s">
        <v>590</v>
      </c>
      <c r="F119" s="36">
        <v>4</v>
      </c>
      <c r="G119" s="36">
        <f t="shared" si="7"/>
        <v>184</v>
      </c>
      <c r="H119" s="36">
        <f t="shared" si="8"/>
        <v>1</v>
      </c>
      <c r="I119" s="11">
        <f t="shared" si="9"/>
        <v>17480343</v>
      </c>
      <c r="J119" s="53">
        <f t="shared" si="10"/>
        <v>20139882</v>
      </c>
      <c r="K119" s="53">
        <f t="shared" si="11"/>
        <v>-2659539</v>
      </c>
    </row>
    <row r="120" spans="1:15" x14ac:dyDescent="0.25">
      <c r="A120" s="11" t="s">
        <v>596</v>
      </c>
      <c r="B120" s="18">
        <v>2000000</v>
      </c>
      <c r="C120" s="18">
        <v>0</v>
      </c>
      <c r="D120" s="18">
        <f t="shared" si="12"/>
        <v>2000000</v>
      </c>
      <c r="E120" s="11" t="s">
        <v>597</v>
      </c>
      <c r="F120" s="11">
        <v>26</v>
      </c>
      <c r="G120" s="36">
        <f t="shared" si="7"/>
        <v>180</v>
      </c>
      <c r="H120" s="11">
        <f t="shared" si="8"/>
        <v>1</v>
      </c>
      <c r="I120" s="11">
        <f t="shared" ref="I120:I155" si="13">B120*(G120-H120)</f>
        <v>358000000</v>
      </c>
      <c r="J120" s="11">
        <f t="shared" si="10"/>
        <v>0</v>
      </c>
      <c r="K120" s="11">
        <f t="shared" si="11"/>
        <v>358000000</v>
      </c>
      <c r="N120" s="7"/>
    </row>
    <row r="121" spans="1:15" x14ac:dyDescent="0.25">
      <c r="A121" s="11" t="s">
        <v>624</v>
      </c>
      <c r="B121" s="18">
        <v>2600000</v>
      </c>
      <c r="C121" s="18">
        <v>0</v>
      </c>
      <c r="D121" s="18">
        <f t="shared" si="12"/>
        <v>2600000</v>
      </c>
      <c r="E121" s="11" t="s">
        <v>625</v>
      </c>
      <c r="F121" s="11">
        <v>1</v>
      </c>
      <c r="G121" s="36">
        <f t="shared" si="7"/>
        <v>154</v>
      </c>
      <c r="H121" s="11">
        <f t="shared" si="8"/>
        <v>1</v>
      </c>
      <c r="I121" s="11">
        <f t="shared" si="13"/>
        <v>397800000</v>
      </c>
      <c r="J121" s="11">
        <f t="shared" si="10"/>
        <v>0</v>
      </c>
      <c r="K121" s="11">
        <f t="shared" si="11"/>
        <v>397800000</v>
      </c>
    </row>
    <row r="122" spans="1:15" x14ac:dyDescent="0.25">
      <c r="A122" s="11" t="s">
        <v>628</v>
      </c>
      <c r="B122" s="39">
        <v>384551</v>
      </c>
      <c r="C122" s="39">
        <v>110908</v>
      </c>
      <c r="D122" s="39">
        <f t="shared" si="12"/>
        <v>273643</v>
      </c>
      <c r="E122" s="23" t="s">
        <v>629</v>
      </c>
      <c r="F122" s="11">
        <v>1</v>
      </c>
      <c r="G122" s="36">
        <f t="shared" si="7"/>
        <v>153</v>
      </c>
      <c r="H122" s="11">
        <f t="shared" si="8"/>
        <v>1</v>
      </c>
      <c r="I122" s="11">
        <f t="shared" si="13"/>
        <v>58451752</v>
      </c>
      <c r="J122" s="11">
        <f t="shared" si="10"/>
        <v>16858016</v>
      </c>
      <c r="K122" s="11">
        <f t="shared" si="11"/>
        <v>41593736</v>
      </c>
      <c r="N122" t="s">
        <v>25</v>
      </c>
    </row>
    <row r="123" spans="1:15" x14ac:dyDescent="0.25">
      <c r="A123" s="11" t="s">
        <v>637</v>
      </c>
      <c r="B123" s="18">
        <v>0</v>
      </c>
      <c r="C123" s="18">
        <v>800000</v>
      </c>
      <c r="D123" s="18">
        <f t="shared" si="12"/>
        <v>-800000</v>
      </c>
      <c r="E123" s="11" t="s">
        <v>638</v>
      </c>
      <c r="F123" s="11">
        <v>14</v>
      </c>
      <c r="G123" s="36">
        <f t="shared" si="7"/>
        <v>152</v>
      </c>
      <c r="H123" s="11">
        <f t="shared" si="8"/>
        <v>0</v>
      </c>
      <c r="I123" s="11">
        <f t="shared" si="13"/>
        <v>0</v>
      </c>
      <c r="J123" s="11">
        <f t="shared" si="10"/>
        <v>121600000</v>
      </c>
      <c r="K123" s="11">
        <f t="shared" si="11"/>
        <v>-121600000</v>
      </c>
    </row>
    <row r="124" spans="1:15" x14ac:dyDescent="0.25">
      <c r="A124" s="11" t="s">
        <v>655</v>
      </c>
      <c r="B124" s="18">
        <v>-3000000</v>
      </c>
      <c r="C124" s="18">
        <v>0</v>
      </c>
      <c r="D124" s="18">
        <f t="shared" si="12"/>
        <v>-3000000</v>
      </c>
      <c r="E124" s="11" t="s">
        <v>657</v>
      </c>
      <c r="F124" s="11">
        <v>15</v>
      </c>
      <c r="G124" s="36">
        <f t="shared" si="7"/>
        <v>138</v>
      </c>
      <c r="H124" s="11">
        <f t="shared" si="8"/>
        <v>0</v>
      </c>
      <c r="I124" s="11">
        <f t="shared" si="13"/>
        <v>-414000000</v>
      </c>
      <c r="J124" s="11">
        <f t="shared" si="10"/>
        <v>0</v>
      </c>
      <c r="K124" s="11">
        <f t="shared" si="11"/>
        <v>-414000000</v>
      </c>
    </row>
    <row r="125" spans="1:15" x14ac:dyDescent="0.25">
      <c r="A125" s="11" t="s">
        <v>631</v>
      </c>
      <c r="B125" s="18">
        <v>400710</v>
      </c>
      <c r="C125" s="18">
        <v>118875</v>
      </c>
      <c r="D125" s="18">
        <f t="shared" si="12"/>
        <v>281835</v>
      </c>
      <c r="E125" s="11" t="s">
        <v>670</v>
      </c>
      <c r="F125" s="11">
        <v>0</v>
      </c>
      <c r="G125" s="36">
        <f t="shared" si="7"/>
        <v>123</v>
      </c>
      <c r="H125" s="11">
        <f t="shared" si="8"/>
        <v>1</v>
      </c>
      <c r="I125" s="11">
        <f t="shared" si="13"/>
        <v>48886620</v>
      </c>
      <c r="J125" s="11">
        <f t="shared" si="10"/>
        <v>14502750</v>
      </c>
      <c r="K125" s="11">
        <f t="shared" si="11"/>
        <v>34383870</v>
      </c>
    </row>
    <row r="126" spans="1:15" x14ac:dyDescent="0.25">
      <c r="A126" s="11" t="s">
        <v>631</v>
      </c>
      <c r="B126" s="18">
        <v>42000000</v>
      </c>
      <c r="C126" s="18">
        <v>0</v>
      </c>
      <c r="D126" s="18">
        <f t="shared" si="12"/>
        <v>42000000</v>
      </c>
      <c r="E126" s="11" t="s">
        <v>498</v>
      </c>
      <c r="F126" s="11">
        <v>25</v>
      </c>
      <c r="G126" s="36">
        <f t="shared" si="7"/>
        <v>123</v>
      </c>
      <c r="H126" s="11">
        <f t="shared" si="8"/>
        <v>1</v>
      </c>
      <c r="I126" s="11">
        <f t="shared" si="13"/>
        <v>5124000000</v>
      </c>
      <c r="J126" s="11">
        <f t="shared" si="10"/>
        <v>0</v>
      </c>
      <c r="K126" s="11">
        <f t="shared" si="11"/>
        <v>5124000000</v>
      </c>
    </row>
    <row r="127" spans="1:15" x14ac:dyDescent="0.25">
      <c r="A127" s="11" t="s">
        <v>695</v>
      </c>
      <c r="B127" s="18">
        <v>-5000</v>
      </c>
      <c r="C127" s="18">
        <v>0</v>
      </c>
      <c r="D127" s="18">
        <f t="shared" si="12"/>
        <v>-5000</v>
      </c>
      <c r="E127" s="11" t="s">
        <v>26</v>
      </c>
      <c r="F127" s="11">
        <v>6</v>
      </c>
      <c r="G127" s="36">
        <f t="shared" si="7"/>
        <v>98</v>
      </c>
      <c r="H127" s="11">
        <f t="shared" si="8"/>
        <v>0</v>
      </c>
      <c r="I127" s="11">
        <f t="shared" si="13"/>
        <v>-490000</v>
      </c>
      <c r="J127" s="11">
        <f t="shared" si="10"/>
        <v>0</v>
      </c>
      <c r="K127" s="11">
        <f t="shared" si="11"/>
        <v>-490000</v>
      </c>
    </row>
    <row r="128" spans="1:15" x14ac:dyDescent="0.25">
      <c r="A128" s="11" t="s">
        <v>632</v>
      </c>
      <c r="B128" s="18">
        <v>771374</v>
      </c>
      <c r="C128" s="18">
        <v>120697</v>
      </c>
      <c r="D128" s="18">
        <f t="shared" si="12"/>
        <v>650677</v>
      </c>
      <c r="E128" s="11" t="s">
        <v>697</v>
      </c>
      <c r="F128" s="11">
        <v>3</v>
      </c>
      <c r="G128" s="36">
        <f t="shared" si="7"/>
        <v>92</v>
      </c>
      <c r="H128" s="11">
        <f t="shared" si="8"/>
        <v>1</v>
      </c>
      <c r="I128" s="11">
        <f t="shared" si="13"/>
        <v>70195034</v>
      </c>
      <c r="J128" s="11">
        <f t="shared" si="10"/>
        <v>10983427</v>
      </c>
      <c r="K128" s="11">
        <f t="shared" si="11"/>
        <v>59211607</v>
      </c>
    </row>
    <row r="129" spans="1:13" x14ac:dyDescent="0.25">
      <c r="A129" s="11" t="s">
        <v>707</v>
      </c>
      <c r="B129" s="18">
        <v>2500000</v>
      </c>
      <c r="C129" s="18">
        <v>0</v>
      </c>
      <c r="D129" s="18">
        <f t="shared" si="12"/>
        <v>2500000</v>
      </c>
      <c r="E129" s="11" t="s">
        <v>708</v>
      </c>
      <c r="F129" s="11">
        <v>14</v>
      </c>
      <c r="G129" s="36">
        <f t="shared" si="7"/>
        <v>89</v>
      </c>
      <c r="H129" s="11">
        <f t="shared" si="8"/>
        <v>1</v>
      </c>
      <c r="I129" s="11">
        <f t="shared" si="13"/>
        <v>220000000</v>
      </c>
      <c r="J129" s="11">
        <f t="shared" si="10"/>
        <v>0</v>
      </c>
      <c r="K129" s="11">
        <f t="shared" si="11"/>
        <v>220000000</v>
      </c>
    </row>
    <row r="130" spans="1:13" x14ac:dyDescent="0.25">
      <c r="A130" s="11" t="s">
        <v>723</v>
      </c>
      <c r="B130" s="18">
        <v>-1000000</v>
      </c>
      <c r="C130" s="18">
        <v>-1000000</v>
      </c>
      <c r="D130" s="18">
        <f t="shared" si="12"/>
        <v>0</v>
      </c>
      <c r="E130" s="11" t="s">
        <v>744</v>
      </c>
      <c r="F130" s="11">
        <v>5</v>
      </c>
      <c r="G130" s="36">
        <f t="shared" si="7"/>
        <v>75</v>
      </c>
      <c r="H130" s="11">
        <f t="shared" si="8"/>
        <v>0</v>
      </c>
      <c r="I130" s="11">
        <f t="shared" si="13"/>
        <v>-75000000</v>
      </c>
      <c r="J130" s="11">
        <f t="shared" si="10"/>
        <v>-75000000</v>
      </c>
      <c r="K130" s="11">
        <f t="shared" si="11"/>
        <v>0</v>
      </c>
    </row>
    <row r="131" spans="1:13" x14ac:dyDescent="0.25">
      <c r="A131" s="11" t="s">
        <v>727</v>
      </c>
      <c r="B131" s="18">
        <v>-50000000</v>
      </c>
      <c r="C131" s="18">
        <v>0</v>
      </c>
      <c r="D131" s="18">
        <f t="shared" si="12"/>
        <v>-50000000</v>
      </c>
      <c r="E131" s="11" t="s">
        <v>728</v>
      </c>
      <c r="F131" s="11">
        <v>8</v>
      </c>
      <c r="G131" s="36">
        <f t="shared" si="7"/>
        <v>70</v>
      </c>
      <c r="H131" s="11">
        <f t="shared" si="8"/>
        <v>0</v>
      </c>
      <c r="I131" s="11">
        <f t="shared" si="13"/>
        <v>-3500000000</v>
      </c>
      <c r="J131" s="11">
        <f t="shared" si="10"/>
        <v>0</v>
      </c>
      <c r="K131" s="11">
        <f t="shared" si="11"/>
        <v>-3500000000</v>
      </c>
    </row>
    <row r="132" spans="1:13" x14ac:dyDescent="0.25">
      <c r="A132" s="11" t="s">
        <v>633</v>
      </c>
      <c r="B132" s="18">
        <v>614287</v>
      </c>
      <c r="C132" s="18">
        <v>105971</v>
      </c>
      <c r="D132" s="18">
        <f t="shared" si="12"/>
        <v>508316</v>
      </c>
      <c r="E132" s="11" t="s">
        <v>135</v>
      </c>
      <c r="F132" s="11">
        <v>4</v>
      </c>
      <c r="G132" s="36">
        <f t="shared" si="7"/>
        <v>62</v>
      </c>
      <c r="H132" s="11">
        <f t="shared" ref="H132:H155" si="14">IF(B132&gt;0,1,0)</f>
        <v>1</v>
      </c>
      <c r="I132" s="11">
        <f t="shared" si="13"/>
        <v>37471507</v>
      </c>
      <c r="J132" s="11">
        <f t="shared" ref="J132:J155" si="15">C132*(G132-H132)</f>
        <v>6464231</v>
      </c>
      <c r="K132" s="11">
        <f t="shared" ref="K132:K155" si="16">D132*(G132-H132)</f>
        <v>31007276</v>
      </c>
    </row>
    <row r="133" spans="1:13" x14ac:dyDescent="0.25">
      <c r="A133" s="11" t="s">
        <v>752</v>
      </c>
      <c r="B133" s="18">
        <v>-1210700</v>
      </c>
      <c r="C133" s="18">
        <v>0</v>
      </c>
      <c r="D133" s="18">
        <f t="shared" si="12"/>
        <v>-1210700</v>
      </c>
      <c r="E133" s="11" t="s">
        <v>753</v>
      </c>
      <c r="F133" s="11">
        <v>9</v>
      </c>
      <c r="G133" s="36">
        <f t="shared" si="7"/>
        <v>58</v>
      </c>
      <c r="H133" s="11">
        <f t="shared" si="14"/>
        <v>0</v>
      </c>
      <c r="I133" s="11">
        <f t="shared" si="13"/>
        <v>-70220600</v>
      </c>
      <c r="J133" s="11">
        <f t="shared" si="15"/>
        <v>0</v>
      </c>
      <c r="K133" s="11">
        <f t="shared" si="16"/>
        <v>-70220600</v>
      </c>
    </row>
    <row r="134" spans="1:13" x14ac:dyDescent="0.25">
      <c r="A134" s="11" t="s">
        <v>769</v>
      </c>
      <c r="B134" s="18">
        <v>-65000</v>
      </c>
      <c r="C134" s="18">
        <v>0</v>
      </c>
      <c r="D134" s="18">
        <f t="shared" si="12"/>
        <v>-65000</v>
      </c>
      <c r="E134" s="11" t="s">
        <v>772</v>
      </c>
      <c r="F134" s="11">
        <v>0</v>
      </c>
      <c r="G134" s="36">
        <f t="shared" si="7"/>
        <v>49</v>
      </c>
      <c r="H134" s="11">
        <f t="shared" si="14"/>
        <v>0</v>
      </c>
      <c r="I134" s="11">
        <f t="shared" si="13"/>
        <v>-3185000</v>
      </c>
      <c r="J134" s="11">
        <f t="shared" si="15"/>
        <v>0</v>
      </c>
      <c r="K134" s="11">
        <f t="shared" si="16"/>
        <v>-3185000</v>
      </c>
    </row>
    <row r="135" spans="1:13" x14ac:dyDescent="0.25">
      <c r="A135" s="11" t="s">
        <v>769</v>
      </c>
      <c r="B135" s="18">
        <v>-32300</v>
      </c>
      <c r="C135" s="18">
        <v>0</v>
      </c>
      <c r="D135" s="18">
        <f t="shared" si="12"/>
        <v>-32300</v>
      </c>
      <c r="E135" s="11" t="s">
        <v>773</v>
      </c>
      <c r="F135" s="11">
        <v>8</v>
      </c>
      <c r="G135" s="36">
        <f t="shared" si="7"/>
        <v>49</v>
      </c>
      <c r="H135" s="11">
        <f t="shared" si="14"/>
        <v>0</v>
      </c>
      <c r="I135" s="11">
        <f t="shared" si="13"/>
        <v>-1582700</v>
      </c>
      <c r="J135" s="11">
        <f t="shared" si="15"/>
        <v>0</v>
      </c>
      <c r="K135" s="11">
        <f t="shared" si="16"/>
        <v>-1582700</v>
      </c>
    </row>
    <row r="136" spans="1:13" x14ac:dyDescent="0.25">
      <c r="A136" s="11" t="s">
        <v>780</v>
      </c>
      <c r="B136" s="18">
        <v>-1000000</v>
      </c>
      <c r="C136" s="18">
        <v>-1000000</v>
      </c>
      <c r="D136" s="18">
        <f t="shared" si="12"/>
        <v>0</v>
      </c>
      <c r="E136" s="11" t="s">
        <v>781</v>
      </c>
      <c r="F136" s="11">
        <v>9</v>
      </c>
      <c r="G136" s="36">
        <f t="shared" si="7"/>
        <v>41</v>
      </c>
      <c r="H136" s="11">
        <f t="shared" si="14"/>
        <v>0</v>
      </c>
      <c r="I136" s="11">
        <f t="shared" si="13"/>
        <v>-41000000</v>
      </c>
      <c r="J136" s="11">
        <f t="shared" si="15"/>
        <v>-41000000</v>
      </c>
      <c r="K136" s="11">
        <f t="shared" si="16"/>
        <v>0</v>
      </c>
    </row>
    <row r="137" spans="1:13" x14ac:dyDescent="0.25">
      <c r="A137" s="11" t="s">
        <v>634</v>
      </c>
      <c r="B137" s="18">
        <v>290873</v>
      </c>
      <c r="C137" s="18">
        <v>97359</v>
      </c>
      <c r="D137" s="18">
        <f t="shared" si="12"/>
        <v>193514</v>
      </c>
      <c r="E137" s="11" t="s">
        <v>176</v>
      </c>
      <c r="F137" s="11">
        <v>17</v>
      </c>
      <c r="G137" s="36">
        <f t="shared" si="7"/>
        <v>32</v>
      </c>
      <c r="H137" s="11">
        <f t="shared" si="14"/>
        <v>1</v>
      </c>
      <c r="I137" s="11">
        <f t="shared" si="13"/>
        <v>9017063</v>
      </c>
      <c r="J137" s="11">
        <f t="shared" si="15"/>
        <v>3018129</v>
      </c>
      <c r="K137" s="11">
        <f t="shared" si="16"/>
        <v>5998934</v>
      </c>
    </row>
    <row r="138" spans="1:13" x14ac:dyDescent="0.25">
      <c r="A138" s="11" t="s">
        <v>808</v>
      </c>
      <c r="B138" s="18">
        <v>-1000500</v>
      </c>
      <c r="C138" s="18">
        <v>-1000500</v>
      </c>
      <c r="D138" s="18">
        <f t="shared" si="12"/>
        <v>0</v>
      </c>
      <c r="E138" s="11" t="s">
        <v>809</v>
      </c>
      <c r="F138" s="11">
        <v>12</v>
      </c>
      <c r="G138" s="36">
        <f t="shared" si="7"/>
        <v>15</v>
      </c>
      <c r="H138" s="11">
        <f t="shared" si="14"/>
        <v>0</v>
      </c>
      <c r="I138" s="11">
        <f t="shared" si="13"/>
        <v>-15007500</v>
      </c>
      <c r="J138" s="11">
        <f t="shared" si="15"/>
        <v>-15007500</v>
      </c>
      <c r="K138" s="11">
        <f t="shared" si="16"/>
        <v>0</v>
      </c>
    </row>
    <row r="139" spans="1:13" x14ac:dyDescent="0.25">
      <c r="A139" s="11" t="s">
        <v>829</v>
      </c>
      <c r="B139" s="18">
        <v>282240</v>
      </c>
      <c r="C139" s="18">
        <v>88807</v>
      </c>
      <c r="D139" s="18">
        <f t="shared" si="12"/>
        <v>193433</v>
      </c>
      <c r="E139" s="11" t="s">
        <v>832</v>
      </c>
      <c r="F139" s="11">
        <v>3</v>
      </c>
      <c r="G139" s="36">
        <f>G152+F139</f>
        <v>3</v>
      </c>
      <c r="H139" s="11">
        <f t="shared" si="14"/>
        <v>1</v>
      </c>
      <c r="I139" s="11">
        <f t="shared" si="13"/>
        <v>564480</v>
      </c>
      <c r="J139" s="11">
        <f t="shared" si="15"/>
        <v>177614</v>
      </c>
      <c r="K139" s="11">
        <f t="shared" si="16"/>
        <v>386866</v>
      </c>
    </row>
    <row r="140" spans="1:13" x14ac:dyDescent="0.25">
      <c r="A140" s="11" t="s">
        <v>834</v>
      </c>
      <c r="B140" s="18">
        <v>1500000</v>
      </c>
      <c r="C140" s="18">
        <v>0</v>
      </c>
      <c r="D140" s="18">
        <f t="shared" si="12"/>
        <v>1500000</v>
      </c>
      <c r="E140" s="11" t="s">
        <v>835</v>
      </c>
      <c r="F140" s="11">
        <v>13</v>
      </c>
      <c r="G140" s="36">
        <f t="shared" ref="G140:G155" si="17">G153+F140</f>
        <v>13</v>
      </c>
      <c r="H140" s="11">
        <f t="shared" si="14"/>
        <v>1</v>
      </c>
      <c r="I140" s="11">
        <f t="shared" si="13"/>
        <v>18000000</v>
      </c>
      <c r="J140" s="11">
        <f t="shared" si="15"/>
        <v>0</v>
      </c>
      <c r="K140" s="11">
        <f t="shared" si="16"/>
        <v>18000000</v>
      </c>
    </row>
    <row r="141" spans="1:13" x14ac:dyDescent="0.25">
      <c r="A141" s="11" t="s">
        <v>857</v>
      </c>
      <c r="B141" s="18">
        <v>0</v>
      </c>
      <c r="C141" s="18">
        <v>-1000000</v>
      </c>
      <c r="D141" s="18">
        <f t="shared" si="12"/>
        <v>1000000</v>
      </c>
      <c r="E141" s="11" t="s">
        <v>856</v>
      </c>
      <c r="F141" s="11">
        <v>14</v>
      </c>
      <c r="G141" s="36">
        <f t="shared" si="17"/>
        <v>14</v>
      </c>
      <c r="H141" s="11">
        <f t="shared" si="14"/>
        <v>0</v>
      </c>
      <c r="I141" s="11">
        <f t="shared" si="13"/>
        <v>0</v>
      </c>
      <c r="J141" s="11">
        <f t="shared" si="15"/>
        <v>-14000000</v>
      </c>
      <c r="K141" s="11">
        <f t="shared" si="16"/>
        <v>14000000</v>
      </c>
    </row>
    <row r="142" spans="1:13" x14ac:dyDescent="0.25">
      <c r="A142" s="11" t="s">
        <v>870</v>
      </c>
      <c r="B142" s="18">
        <v>290893</v>
      </c>
      <c r="C142" s="18">
        <v>81022</v>
      </c>
      <c r="D142" s="18">
        <f t="shared" si="12"/>
        <v>209871</v>
      </c>
      <c r="E142" s="11" t="s">
        <v>876</v>
      </c>
      <c r="F142" s="11">
        <v>20</v>
      </c>
      <c r="G142" s="36">
        <f t="shared" si="17"/>
        <v>20</v>
      </c>
      <c r="H142" s="11">
        <f t="shared" si="14"/>
        <v>1</v>
      </c>
      <c r="I142" s="11">
        <f t="shared" si="13"/>
        <v>5526967</v>
      </c>
      <c r="J142" s="11">
        <f t="shared" si="15"/>
        <v>1539418</v>
      </c>
      <c r="K142" s="11">
        <f t="shared" si="16"/>
        <v>3987549</v>
      </c>
    </row>
    <row r="143" spans="1:13" x14ac:dyDescent="0.25">
      <c r="A143" s="11" t="s">
        <v>899</v>
      </c>
      <c r="B143" s="18">
        <v>0</v>
      </c>
      <c r="C143" s="18">
        <v>-1000000</v>
      </c>
      <c r="D143" s="18">
        <f t="shared" si="12"/>
        <v>1000000</v>
      </c>
      <c r="E143" s="11" t="s">
        <v>903</v>
      </c>
      <c r="F143" s="11">
        <v>10</v>
      </c>
      <c r="G143" s="36">
        <f t="shared" si="17"/>
        <v>10</v>
      </c>
      <c r="H143" s="11">
        <f t="shared" si="14"/>
        <v>0</v>
      </c>
      <c r="I143" s="11">
        <f t="shared" si="13"/>
        <v>0</v>
      </c>
      <c r="J143" s="11">
        <f t="shared" si="15"/>
        <v>-10000000</v>
      </c>
      <c r="K143" s="11">
        <f t="shared" si="16"/>
        <v>10000000</v>
      </c>
      <c r="M143" t="s">
        <v>25</v>
      </c>
    </row>
    <row r="144" spans="1:13" x14ac:dyDescent="0.25">
      <c r="A144" s="11" t="s">
        <v>908</v>
      </c>
      <c r="B144" s="18">
        <v>294852</v>
      </c>
      <c r="C144" s="18">
        <v>74657</v>
      </c>
      <c r="D144" s="18">
        <f t="shared" si="12"/>
        <v>220195</v>
      </c>
      <c r="E144" s="11" t="s">
        <v>401</v>
      </c>
      <c r="F144" s="11">
        <v>15</v>
      </c>
      <c r="G144" s="36">
        <f t="shared" si="17"/>
        <v>15</v>
      </c>
      <c r="H144" s="11">
        <f t="shared" si="14"/>
        <v>1</v>
      </c>
      <c r="I144" s="11">
        <f t="shared" si="13"/>
        <v>4127928</v>
      </c>
      <c r="J144" s="11">
        <f t="shared" si="15"/>
        <v>1045198</v>
      </c>
      <c r="K144" s="11">
        <f t="shared" si="16"/>
        <v>3082730</v>
      </c>
    </row>
    <row r="145" spans="1:11" x14ac:dyDescent="0.25">
      <c r="A145" s="11" t="s">
        <v>933</v>
      </c>
      <c r="B145" s="18">
        <v>-10000</v>
      </c>
      <c r="C145" s="18">
        <v>-5000</v>
      </c>
      <c r="D145" s="18">
        <f t="shared" si="12"/>
        <v>-5000</v>
      </c>
      <c r="E145" s="75" t="s">
        <v>939</v>
      </c>
      <c r="F145" s="11">
        <v>5</v>
      </c>
      <c r="G145" s="36">
        <f t="shared" si="17"/>
        <v>5</v>
      </c>
      <c r="H145" s="11">
        <f t="shared" si="14"/>
        <v>0</v>
      </c>
      <c r="I145" s="11">
        <f t="shared" si="13"/>
        <v>-50000</v>
      </c>
      <c r="J145" s="11">
        <f t="shared" si="15"/>
        <v>-25000</v>
      </c>
      <c r="K145" s="11">
        <f t="shared" si="16"/>
        <v>-25000</v>
      </c>
    </row>
    <row r="146" spans="1:11" x14ac:dyDescent="0.25">
      <c r="A146" s="11" t="s">
        <v>919</v>
      </c>
      <c r="B146" s="18">
        <v>-1000500</v>
      </c>
      <c r="C146" s="18">
        <v>-1000500</v>
      </c>
      <c r="D146" s="18">
        <f t="shared" si="12"/>
        <v>0</v>
      </c>
      <c r="E146" s="11" t="s">
        <v>920</v>
      </c>
      <c r="F146" s="11">
        <v>6</v>
      </c>
      <c r="G146" s="36">
        <f t="shared" si="17"/>
        <v>6</v>
      </c>
      <c r="H146" s="11">
        <f t="shared" si="14"/>
        <v>0</v>
      </c>
      <c r="I146" s="11">
        <f t="shared" si="13"/>
        <v>-6003000</v>
      </c>
      <c r="J146" s="11">
        <f t="shared" si="15"/>
        <v>-6003000</v>
      </c>
      <c r="K146" s="11">
        <f t="shared" si="16"/>
        <v>0</v>
      </c>
    </row>
    <row r="147" spans="1:11" x14ac:dyDescent="0.25">
      <c r="A147" s="11" t="s">
        <v>960</v>
      </c>
      <c r="B147" s="18">
        <v>-27000000</v>
      </c>
      <c r="C147" s="18">
        <v>0</v>
      </c>
      <c r="D147" s="18">
        <f t="shared" si="12"/>
        <v>-27000000</v>
      </c>
      <c r="E147" s="11" t="s">
        <v>1059</v>
      </c>
      <c r="F147" s="11">
        <v>1</v>
      </c>
      <c r="G147" s="36">
        <f t="shared" si="17"/>
        <v>1</v>
      </c>
      <c r="H147" s="11">
        <f t="shared" si="14"/>
        <v>0</v>
      </c>
      <c r="I147" s="11">
        <f t="shared" si="13"/>
        <v>-27000000</v>
      </c>
      <c r="J147" s="11">
        <f t="shared" si="15"/>
        <v>0</v>
      </c>
      <c r="K147" s="11">
        <f t="shared" si="16"/>
        <v>-27000000</v>
      </c>
    </row>
    <row r="148" spans="1:11" x14ac:dyDescent="0.25">
      <c r="A148" s="11" t="s">
        <v>25</v>
      </c>
      <c r="B148" s="18"/>
      <c r="C148" s="18"/>
      <c r="D148" s="18"/>
      <c r="E148" s="11"/>
      <c r="F148" s="11"/>
      <c r="G148" s="36">
        <f t="shared" si="17"/>
        <v>0</v>
      </c>
      <c r="H148" s="11">
        <f t="shared" si="14"/>
        <v>0</v>
      </c>
      <c r="I148" s="11">
        <f t="shared" si="13"/>
        <v>0</v>
      </c>
      <c r="J148" s="11">
        <f t="shared" si="15"/>
        <v>0</v>
      </c>
      <c r="K148" s="11">
        <f t="shared" si="16"/>
        <v>0</v>
      </c>
    </row>
    <row r="149" spans="1:11" x14ac:dyDescent="0.25">
      <c r="A149" s="11"/>
      <c r="B149" s="18"/>
      <c r="C149" s="18"/>
      <c r="D149" s="18"/>
      <c r="E149" s="11"/>
      <c r="F149" s="11"/>
      <c r="G149" s="36">
        <f t="shared" si="17"/>
        <v>0</v>
      </c>
      <c r="H149" s="11">
        <f t="shared" si="14"/>
        <v>0</v>
      </c>
      <c r="I149" s="11">
        <f t="shared" si="13"/>
        <v>0</v>
      </c>
      <c r="J149" s="11">
        <f t="shared" si="15"/>
        <v>0</v>
      </c>
      <c r="K149" s="11">
        <f t="shared" si="16"/>
        <v>0</v>
      </c>
    </row>
    <row r="150" spans="1:11" x14ac:dyDescent="0.25">
      <c r="A150" s="11"/>
      <c r="B150" s="18"/>
      <c r="C150" s="18"/>
      <c r="D150" s="18"/>
      <c r="E150" s="11"/>
      <c r="F150" s="11"/>
      <c r="G150" s="36">
        <f t="shared" si="17"/>
        <v>0</v>
      </c>
      <c r="H150" s="11">
        <f t="shared" si="14"/>
        <v>0</v>
      </c>
      <c r="I150" s="11">
        <f t="shared" si="13"/>
        <v>0</v>
      </c>
      <c r="J150" s="11">
        <f t="shared" si="15"/>
        <v>0</v>
      </c>
      <c r="K150" s="11">
        <f t="shared" si="16"/>
        <v>0</v>
      </c>
    </row>
    <row r="151" spans="1:11" x14ac:dyDescent="0.25">
      <c r="A151" s="11"/>
      <c r="B151" s="18"/>
      <c r="C151" s="18"/>
      <c r="D151" s="18"/>
      <c r="E151" s="11"/>
      <c r="F151" s="11"/>
      <c r="G151" s="36">
        <f t="shared" si="17"/>
        <v>0</v>
      </c>
      <c r="H151" s="11">
        <f t="shared" si="14"/>
        <v>0</v>
      </c>
      <c r="I151" s="11">
        <f t="shared" si="13"/>
        <v>0</v>
      </c>
      <c r="J151" s="11">
        <f t="shared" si="15"/>
        <v>0</v>
      </c>
      <c r="K151" s="11">
        <f t="shared" si="16"/>
        <v>0</v>
      </c>
    </row>
    <row r="152" spans="1:11" x14ac:dyDescent="0.25">
      <c r="A152" s="11" t="s">
        <v>25</v>
      </c>
      <c r="B152" s="18"/>
      <c r="C152" s="18"/>
      <c r="D152" s="18"/>
      <c r="E152" s="11"/>
      <c r="F152" s="11"/>
      <c r="G152" s="36">
        <f t="shared" si="17"/>
        <v>0</v>
      </c>
      <c r="H152" s="11">
        <f t="shared" si="14"/>
        <v>0</v>
      </c>
      <c r="I152" s="11">
        <f t="shared" si="13"/>
        <v>0</v>
      </c>
      <c r="J152" s="11">
        <f t="shared" si="15"/>
        <v>0</v>
      </c>
      <c r="K152" s="11">
        <f t="shared" si="16"/>
        <v>0</v>
      </c>
    </row>
    <row r="153" spans="1:11" x14ac:dyDescent="0.25">
      <c r="A153" s="11"/>
      <c r="B153" s="18"/>
      <c r="C153" s="18"/>
      <c r="D153" s="18"/>
      <c r="E153" s="11"/>
      <c r="F153" s="11"/>
      <c r="G153" s="36">
        <f t="shared" si="17"/>
        <v>0</v>
      </c>
      <c r="H153" s="11">
        <f t="shared" si="14"/>
        <v>0</v>
      </c>
      <c r="I153" s="11">
        <f t="shared" si="13"/>
        <v>0</v>
      </c>
      <c r="J153" s="11">
        <f t="shared" si="15"/>
        <v>0</v>
      </c>
      <c r="K153" s="11">
        <f t="shared" si="16"/>
        <v>0</v>
      </c>
    </row>
    <row r="154" spans="1:11" x14ac:dyDescent="0.25">
      <c r="A154" s="11"/>
      <c r="B154" s="18"/>
      <c r="C154" s="18"/>
      <c r="D154" s="18"/>
      <c r="E154" s="11"/>
      <c r="F154" s="11">
        <v>0</v>
      </c>
      <c r="G154" s="36">
        <f t="shared" si="17"/>
        <v>0</v>
      </c>
      <c r="H154" s="11">
        <f t="shared" si="14"/>
        <v>0</v>
      </c>
      <c r="I154" s="11">
        <f t="shared" si="13"/>
        <v>0</v>
      </c>
      <c r="J154" s="11">
        <f t="shared" si="15"/>
        <v>0</v>
      </c>
      <c r="K154" s="11">
        <f t="shared" si="16"/>
        <v>0</v>
      </c>
    </row>
    <row r="155" spans="1:11" x14ac:dyDescent="0.25">
      <c r="A155" s="11"/>
      <c r="B155" s="18"/>
      <c r="C155" s="18"/>
      <c r="D155" s="18"/>
      <c r="E155" s="11"/>
      <c r="F155" s="11">
        <v>0</v>
      </c>
      <c r="G155" s="36">
        <f t="shared" si="17"/>
        <v>0</v>
      </c>
      <c r="H155" s="11">
        <f t="shared" si="14"/>
        <v>0</v>
      </c>
      <c r="I155" s="11">
        <f t="shared" si="13"/>
        <v>0</v>
      </c>
      <c r="J155" s="11">
        <f t="shared" si="15"/>
        <v>0</v>
      </c>
      <c r="K155" s="11">
        <f t="shared" si="16"/>
        <v>0</v>
      </c>
    </row>
    <row r="156" spans="1:11" x14ac:dyDescent="0.25">
      <c r="A156" s="11"/>
      <c r="B156" s="29">
        <f>SUM(B2:B155)</f>
        <v>8157627</v>
      </c>
      <c r="C156" s="29">
        <f>SUM(C2:C154)</f>
        <v>7485814</v>
      </c>
      <c r="D156" s="29">
        <f>SUM(D2:D154)</f>
        <v>671813</v>
      </c>
      <c r="E156" s="11"/>
      <c r="F156" s="11"/>
      <c r="G156" s="11"/>
      <c r="H156" s="11"/>
      <c r="I156" s="29">
        <f>SUM(I2:I155)</f>
        <v>15111327732</v>
      </c>
      <c r="J156" s="29">
        <f>SUM(J2:J155)</f>
        <v>5923534667</v>
      </c>
      <c r="K156" s="29">
        <f>SUM(K2:K155)</f>
        <v>9187793065</v>
      </c>
    </row>
    <row r="157" spans="1:11" x14ac:dyDescent="0.25">
      <c r="A157" s="11"/>
      <c r="B157" s="11" t="s">
        <v>283</v>
      </c>
      <c r="C157" s="11" t="s">
        <v>489</v>
      </c>
      <c r="D157" s="11" t="s">
        <v>490</v>
      </c>
      <c r="E157" s="11"/>
      <c r="F157" s="11"/>
      <c r="G157" s="11"/>
      <c r="H157" s="11"/>
      <c r="I157" s="11" t="s">
        <v>486</v>
      </c>
      <c r="J157" s="11" t="s">
        <v>487</v>
      </c>
      <c r="K157" s="11" t="s">
        <v>488</v>
      </c>
    </row>
    <row r="158" spans="1:11" x14ac:dyDescent="0.25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</row>
    <row r="159" spans="1:11" x14ac:dyDescent="0.25">
      <c r="A159" s="11"/>
      <c r="B159" s="11"/>
      <c r="C159" s="11"/>
      <c r="D159" s="11"/>
      <c r="E159" s="11"/>
      <c r="F159" s="11"/>
      <c r="G159" s="11"/>
      <c r="H159" s="11"/>
      <c r="I159" s="3">
        <f>I156/G2</f>
        <v>24255742.747993581</v>
      </c>
      <c r="J159" s="29">
        <f>J156/G2</f>
        <v>9508081.3274478335</v>
      </c>
      <c r="K159" s="29">
        <f>K156/G2</f>
        <v>14747661.420545746</v>
      </c>
    </row>
    <row r="160" spans="1:11" x14ac:dyDescent="0.25">
      <c r="A160" s="11"/>
      <c r="B160" s="11"/>
      <c r="C160" s="11"/>
      <c r="D160" s="11"/>
      <c r="E160" s="11"/>
      <c r="F160" s="11"/>
      <c r="G160" s="11"/>
      <c r="H160" s="11"/>
      <c r="I160" s="11" t="s">
        <v>492</v>
      </c>
      <c r="J160" s="11" t="s">
        <v>493</v>
      </c>
      <c r="K160" s="11" t="s">
        <v>494</v>
      </c>
    </row>
    <row r="163" spans="2:11" ht="30" x14ac:dyDescent="0.25">
      <c r="B163" s="22" t="s">
        <v>875</v>
      </c>
      <c r="J163">
        <f>J156/I156*1448696</f>
        <v>567878.68876486039</v>
      </c>
      <c r="K163">
        <f>K156/I156*1448696</f>
        <v>880817.31123513961</v>
      </c>
    </row>
    <row r="164" spans="2:11" x14ac:dyDescent="0.25">
      <c r="B164" s="7"/>
    </row>
    <row r="165" spans="2:11" x14ac:dyDescent="0.25">
      <c r="B165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39"/>
  <sheetViews>
    <sheetView zoomScaleNormal="100" workbookViewId="0">
      <pane ySplit="1" topLeftCell="A96" activePane="bottomLeft" state="frozen"/>
      <selection pane="bottomLeft" activeCell="D104" sqref="D104"/>
    </sheetView>
  </sheetViews>
  <sheetFormatPr defaultRowHeight="15" x14ac:dyDescent="0.25"/>
  <cols>
    <col min="1" max="1" width="10.7109375" bestFit="1" customWidth="1"/>
    <col min="2" max="2" width="18.140625" bestFit="1" customWidth="1"/>
    <col min="3" max="3" width="35" bestFit="1" customWidth="1"/>
    <col min="4" max="4" width="12" customWidth="1"/>
    <col min="5" max="6" width="14.28515625" customWidth="1"/>
    <col min="7" max="7" width="19.5703125" customWidth="1"/>
    <col min="10" max="10" width="31.85546875" bestFit="1" customWidth="1"/>
    <col min="11" max="11" width="20.28515625" bestFit="1" customWidth="1"/>
    <col min="12" max="12" width="22.42578125" bestFit="1" customWidth="1"/>
    <col min="13" max="13" width="39.28515625" bestFit="1" customWidth="1"/>
    <col min="14" max="14" width="30.28515625" customWidth="1"/>
    <col min="15" max="15" width="14" bestFit="1" customWidth="1"/>
    <col min="17" max="17" width="15.140625" bestFit="1" customWidth="1"/>
    <col min="18" max="18" width="16.140625" bestFit="1" customWidth="1"/>
  </cols>
  <sheetData>
    <row r="1" spans="1:27" ht="45" x14ac:dyDescent="0.25">
      <c r="A1" s="11" t="s">
        <v>180</v>
      </c>
      <c r="B1" s="11" t="s">
        <v>267</v>
      </c>
      <c r="C1" s="11" t="s">
        <v>8</v>
      </c>
      <c r="D1" s="36" t="s">
        <v>280</v>
      </c>
      <c r="E1" s="36" t="s">
        <v>281</v>
      </c>
      <c r="F1" s="36" t="s">
        <v>285</v>
      </c>
      <c r="G1" s="11" t="s">
        <v>282</v>
      </c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</row>
    <row r="2" spans="1:27" x14ac:dyDescent="0.25">
      <c r="A2" s="11" t="s">
        <v>279</v>
      </c>
      <c r="B2" s="3">
        <v>50000</v>
      </c>
      <c r="C2" s="11" t="s">
        <v>1</v>
      </c>
      <c r="D2" s="11">
        <v>4</v>
      </c>
      <c r="E2" s="11">
        <f>D2+E3</f>
        <v>473</v>
      </c>
      <c r="F2" s="11">
        <f>IF(B2&gt;0,1,0)</f>
        <v>1</v>
      </c>
      <c r="G2" s="11">
        <f>B2*(E2-F2)</f>
        <v>23600000</v>
      </c>
      <c r="J2" s="25"/>
      <c r="K2" s="25"/>
      <c r="L2" s="25"/>
      <c r="M2" s="27"/>
      <c r="N2" s="27"/>
      <c r="O2" s="27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</row>
    <row r="3" spans="1:27" x14ac:dyDescent="0.25">
      <c r="A3" s="11" t="s">
        <v>278</v>
      </c>
      <c r="B3" s="3">
        <v>3000000</v>
      </c>
      <c r="C3" s="11"/>
      <c r="D3" s="11">
        <v>1</v>
      </c>
      <c r="E3" s="11">
        <f t="shared" ref="E3:E66" si="0">D3+E4</f>
        <v>469</v>
      </c>
      <c r="F3" s="11">
        <f t="shared" ref="F3:F38" si="1">IF(B3&gt;0,1,0)</f>
        <v>1</v>
      </c>
      <c r="G3" s="11">
        <f t="shared" ref="G3:G23" si="2">B3*(E3-F3)</f>
        <v>1404000000</v>
      </c>
      <c r="J3" s="25"/>
      <c r="K3" s="26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7"/>
      <c r="Y3" s="27"/>
      <c r="Z3" s="27"/>
      <c r="AA3" s="25"/>
    </row>
    <row r="4" spans="1:27" x14ac:dyDescent="0.25">
      <c r="A4" s="11" t="s">
        <v>277</v>
      </c>
      <c r="B4" s="3">
        <v>3000000</v>
      </c>
      <c r="C4" s="11"/>
      <c r="D4" s="11">
        <v>0</v>
      </c>
      <c r="E4" s="11">
        <f t="shared" si="0"/>
        <v>468</v>
      </c>
      <c r="F4" s="11">
        <f t="shared" si="1"/>
        <v>1</v>
      </c>
      <c r="G4" s="11">
        <f t="shared" si="2"/>
        <v>1401000000</v>
      </c>
      <c r="Q4" s="25"/>
      <c r="R4" s="25"/>
      <c r="S4" s="25"/>
      <c r="T4" s="25"/>
      <c r="U4" s="25"/>
      <c r="V4" s="26"/>
      <c r="W4" s="25"/>
      <c r="X4" s="25"/>
      <c r="Y4" s="25"/>
      <c r="Z4" s="25"/>
      <c r="AA4" s="25"/>
    </row>
    <row r="5" spans="1:27" x14ac:dyDescent="0.25">
      <c r="A5" s="11" t="s">
        <v>277</v>
      </c>
      <c r="B5" s="3">
        <v>15000000</v>
      </c>
      <c r="C5" s="11"/>
      <c r="D5" s="11">
        <v>1</v>
      </c>
      <c r="E5" s="11">
        <f t="shared" si="0"/>
        <v>468</v>
      </c>
      <c r="F5" s="11">
        <f t="shared" si="1"/>
        <v>1</v>
      </c>
      <c r="G5" s="11">
        <f t="shared" si="2"/>
        <v>7005000000</v>
      </c>
      <c r="L5" t="s">
        <v>129</v>
      </c>
      <c r="M5" t="s">
        <v>128</v>
      </c>
      <c r="N5" t="s">
        <v>130</v>
      </c>
      <c r="O5" t="s">
        <v>287</v>
      </c>
      <c r="Q5" s="25"/>
      <c r="R5" s="25"/>
      <c r="S5" s="25"/>
      <c r="T5" s="25"/>
      <c r="U5" s="25"/>
      <c r="V5" s="26"/>
      <c r="W5" s="25"/>
      <c r="X5" s="25"/>
      <c r="Y5" s="25"/>
      <c r="Z5" s="25"/>
      <c r="AA5" s="25"/>
    </row>
    <row r="6" spans="1:27" x14ac:dyDescent="0.25">
      <c r="A6" s="11" t="s">
        <v>276</v>
      </c>
      <c r="B6" s="3">
        <v>3000000</v>
      </c>
      <c r="C6" s="11"/>
      <c r="D6" s="11">
        <v>1</v>
      </c>
      <c r="E6" s="11">
        <f t="shared" si="0"/>
        <v>467</v>
      </c>
      <c r="F6" s="11">
        <f t="shared" si="1"/>
        <v>1</v>
      </c>
      <c r="G6" s="11">
        <f t="shared" si="2"/>
        <v>1398000000</v>
      </c>
      <c r="K6" t="s">
        <v>288</v>
      </c>
      <c r="L6" s="34">
        <v>410023079974</v>
      </c>
      <c r="M6" s="33" t="s">
        <v>873</v>
      </c>
      <c r="O6" t="s">
        <v>279</v>
      </c>
      <c r="Q6" s="25"/>
      <c r="R6" s="25"/>
      <c r="S6" s="25"/>
      <c r="T6" s="25"/>
      <c r="U6" s="25"/>
      <c r="V6" s="26"/>
      <c r="W6" s="25"/>
      <c r="X6" s="25"/>
      <c r="Y6" s="25"/>
      <c r="Z6" s="25"/>
      <c r="AA6" s="25"/>
    </row>
    <row r="7" spans="1:27" x14ac:dyDescent="0.25">
      <c r="A7" s="11" t="s">
        <v>275</v>
      </c>
      <c r="B7" s="3">
        <v>-3000000</v>
      </c>
      <c r="C7" s="11"/>
      <c r="D7" s="11">
        <v>0</v>
      </c>
      <c r="E7" s="11">
        <f t="shared" si="0"/>
        <v>466</v>
      </c>
      <c r="F7" s="11">
        <f t="shared" si="1"/>
        <v>0</v>
      </c>
      <c r="G7" s="11">
        <f t="shared" si="2"/>
        <v>-1398000000</v>
      </c>
      <c r="K7" t="s">
        <v>289</v>
      </c>
      <c r="L7" s="34">
        <v>410023384051</v>
      </c>
      <c r="M7" s="33" t="s">
        <v>327</v>
      </c>
      <c r="N7" t="s">
        <v>293</v>
      </c>
      <c r="O7" t="s">
        <v>292</v>
      </c>
      <c r="Q7" s="25"/>
      <c r="R7" s="25"/>
      <c r="S7" s="25"/>
      <c r="T7" s="25"/>
      <c r="U7" s="25"/>
      <c r="V7" s="26"/>
      <c r="W7" s="25"/>
      <c r="X7" s="25"/>
      <c r="Y7" s="25"/>
      <c r="Z7" s="25"/>
      <c r="AA7" s="25"/>
    </row>
    <row r="8" spans="1:27" x14ac:dyDescent="0.25">
      <c r="A8" s="11" t="s">
        <v>275</v>
      </c>
      <c r="B8" s="3">
        <v>-200000</v>
      </c>
      <c r="C8" s="11"/>
      <c r="D8" s="11">
        <v>0</v>
      </c>
      <c r="E8" s="11">
        <f t="shared" si="0"/>
        <v>466</v>
      </c>
      <c r="F8" s="11">
        <f t="shared" si="1"/>
        <v>0</v>
      </c>
      <c r="G8" s="11">
        <f t="shared" si="2"/>
        <v>-93200000</v>
      </c>
      <c r="K8" t="s">
        <v>290</v>
      </c>
      <c r="L8" s="34">
        <v>410023383764</v>
      </c>
      <c r="M8" s="33" t="s">
        <v>326</v>
      </c>
      <c r="N8" t="s">
        <v>294</v>
      </c>
      <c r="O8" t="s">
        <v>292</v>
      </c>
      <c r="Q8" s="25"/>
      <c r="R8" s="25"/>
      <c r="S8" s="25"/>
      <c r="T8" s="25"/>
      <c r="U8" s="25"/>
      <c r="V8" s="26"/>
      <c r="W8" s="25"/>
      <c r="X8" s="25"/>
      <c r="Y8" s="25"/>
      <c r="Z8" s="25"/>
      <c r="AA8" s="25"/>
    </row>
    <row r="9" spans="1:27" x14ac:dyDescent="0.25">
      <c r="A9" s="11" t="s">
        <v>275</v>
      </c>
      <c r="B9" s="3">
        <v>3000000</v>
      </c>
      <c r="C9" s="11"/>
      <c r="D9" s="11">
        <v>1</v>
      </c>
      <c r="E9" s="11">
        <f t="shared" si="0"/>
        <v>466</v>
      </c>
      <c r="F9" s="11">
        <f t="shared" si="1"/>
        <v>1</v>
      </c>
      <c r="G9" s="11">
        <f>B9*(E9-F9)</f>
        <v>1395000000</v>
      </c>
      <c r="K9" t="s">
        <v>291</v>
      </c>
      <c r="L9" s="34">
        <v>410021971552</v>
      </c>
      <c r="M9" s="33" t="s">
        <v>699</v>
      </c>
      <c r="N9" t="s">
        <v>700</v>
      </c>
      <c r="O9" t="s">
        <v>295</v>
      </c>
      <c r="Q9" s="25"/>
      <c r="R9" s="25"/>
      <c r="S9" s="25"/>
      <c r="T9" s="25"/>
      <c r="U9" s="25"/>
      <c r="V9" s="26"/>
      <c r="W9" s="25"/>
      <c r="X9" s="25"/>
      <c r="Y9" s="25"/>
      <c r="Z9" s="25"/>
      <c r="AA9" s="25"/>
    </row>
    <row r="10" spans="1:27" x14ac:dyDescent="0.25">
      <c r="A10" s="11" t="s">
        <v>222</v>
      </c>
      <c r="B10" s="3">
        <v>3000000</v>
      </c>
      <c r="C10" s="11"/>
      <c r="D10" s="11">
        <v>0</v>
      </c>
      <c r="E10" s="11">
        <f t="shared" si="0"/>
        <v>465</v>
      </c>
      <c r="F10" s="11">
        <f t="shared" si="1"/>
        <v>1</v>
      </c>
      <c r="G10" s="11">
        <f t="shared" si="2"/>
        <v>1392000000</v>
      </c>
      <c r="Q10" s="25"/>
      <c r="R10" s="25"/>
      <c r="S10" s="25"/>
      <c r="T10" s="25"/>
      <c r="U10" s="25"/>
      <c r="V10" s="26"/>
      <c r="W10" s="25"/>
      <c r="X10" s="25"/>
      <c r="Y10" s="25"/>
      <c r="Z10" s="25"/>
      <c r="AA10" s="25"/>
    </row>
    <row r="11" spans="1:27" x14ac:dyDescent="0.25">
      <c r="A11" s="11" t="s">
        <v>222</v>
      </c>
      <c r="B11" s="3">
        <v>25000000</v>
      </c>
      <c r="C11" s="11"/>
      <c r="D11" s="11">
        <v>3</v>
      </c>
      <c r="E11" s="11">
        <f t="shared" si="0"/>
        <v>465</v>
      </c>
      <c r="F11" s="11">
        <f t="shared" si="1"/>
        <v>1</v>
      </c>
      <c r="G11" s="11">
        <f t="shared" si="2"/>
        <v>11600000000</v>
      </c>
      <c r="K11" t="s">
        <v>296</v>
      </c>
      <c r="L11" s="24" t="s">
        <v>298</v>
      </c>
      <c r="Q11" s="25"/>
      <c r="R11" s="25"/>
      <c r="S11" s="25"/>
      <c r="T11" s="25"/>
      <c r="U11" s="25"/>
      <c r="V11" s="26"/>
      <c r="W11" s="25"/>
      <c r="X11" s="25"/>
      <c r="Y11" s="25"/>
      <c r="Z11" s="25"/>
      <c r="AA11" s="25"/>
    </row>
    <row r="12" spans="1:27" x14ac:dyDescent="0.25">
      <c r="A12" s="11" t="s">
        <v>228</v>
      </c>
      <c r="B12" s="3">
        <v>998330</v>
      </c>
      <c r="C12" s="11"/>
      <c r="D12" s="11">
        <v>0</v>
      </c>
      <c r="E12" s="11">
        <f t="shared" si="0"/>
        <v>462</v>
      </c>
      <c r="F12" s="11">
        <f t="shared" si="1"/>
        <v>1</v>
      </c>
      <c r="G12" s="11">
        <f t="shared" si="2"/>
        <v>460230130</v>
      </c>
      <c r="K12" t="s">
        <v>297</v>
      </c>
      <c r="L12" t="s">
        <v>299</v>
      </c>
      <c r="Q12" s="25"/>
      <c r="R12" s="25"/>
      <c r="S12" s="25"/>
      <c r="T12" s="25"/>
      <c r="U12" s="25"/>
      <c r="V12" s="26"/>
      <c r="W12" s="25"/>
      <c r="X12" s="25"/>
      <c r="Y12" s="25"/>
      <c r="Z12" s="25"/>
      <c r="AA12" s="25"/>
    </row>
    <row r="13" spans="1:27" x14ac:dyDescent="0.25">
      <c r="A13" s="11" t="s">
        <v>228</v>
      </c>
      <c r="B13" s="3">
        <v>3000000</v>
      </c>
      <c r="C13" s="11"/>
      <c r="D13" s="11">
        <v>0</v>
      </c>
      <c r="E13" s="11">
        <f t="shared" si="0"/>
        <v>462</v>
      </c>
      <c r="F13" s="11">
        <f t="shared" si="1"/>
        <v>1</v>
      </c>
      <c r="G13" s="11">
        <f t="shared" si="2"/>
        <v>1383000000</v>
      </c>
      <c r="Q13" s="25"/>
      <c r="R13" s="25"/>
      <c r="S13" s="25"/>
      <c r="T13" s="25"/>
      <c r="U13" s="25"/>
      <c r="V13" s="26"/>
      <c r="W13" s="25"/>
      <c r="X13" s="25"/>
      <c r="Y13" s="25"/>
      <c r="Z13" s="25"/>
      <c r="AA13" s="25"/>
    </row>
    <row r="14" spans="1:27" x14ac:dyDescent="0.25">
      <c r="A14" s="11" t="s">
        <v>228</v>
      </c>
      <c r="B14" s="3">
        <v>1191096</v>
      </c>
      <c r="C14" s="11"/>
      <c r="D14" s="11">
        <v>12</v>
      </c>
      <c r="E14" s="11">
        <f t="shared" si="0"/>
        <v>462</v>
      </c>
      <c r="F14" s="11">
        <f t="shared" si="1"/>
        <v>1</v>
      </c>
      <c r="G14" s="11">
        <f t="shared" si="2"/>
        <v>549095256</v>
      </c>
      <c r="Q14" s="25"/>
      <c r="R14" s="25"/>
      <c r="S14" s="25"/>
      <c r="T14" s="25"/>
      <c r="U14" s="25"/>
      <c r="V14" s="26"/>
      <c r="W14" s="25"/>
      <c r="X14" s="25"/>
      <c r="Y14" s="25"/>
      <c r="Z14" s="25"/>
      <c r="AA14" s="25"/>
    </row>
    <row r="15" spans="1:27" x14ac:dyDescent="0.25">
      <c r="A15" s="11" t="s">
        <v>274</v>
      </c>
      <c r="B15" s="3">
        <v>2000000</v>
      </c>
      <c r="C15" s="11"/>
      <c r="D15" s="11">
        <v>12</v>
      </c>
      <c r="E15" s="11">
        <f t="shared" si="0"/>
        <v>450</v>
      </c>
      <c r="F15" s="11">
        <f t="shared" si="1"/>
        <v>1</v>
      </c>
      <c r="G15" s="11">
        <f t="shared" si="2"/>
        <v>898000000</v>
      </c>
      <c r="U15" s="25"/>
      <c r="V15" s="26"/>
      <c r="W15" s="25"/>
      <c r="X15" s="25"/>
      <c r="Y15" s="25"/>
      <c r="Z15" s="25"/>
      <c r="AA15" s="25"/>
    </row>
    <row r="16" spans="1:27" x14ac:dyDescent="0.25">
      <c r="A16" s="11" t="s">
        <v>250</v>
      </c>
      <c r="B16" s="3">
        <v>3000000</v>
      </c>
      <c r="C16" s="11"/>
      <c r="D16" s="11">
        <v>1</v>
      </c>
      <c r="E16" s="11">
        <f t="shared" si="0"/>
        <v>438</v>
      </c>
      <c r="F16" s="11">
        <f t="shared" si="1"/>
        <v>1</v>
      </c>
      <c r="G16" s="11">
        <f t="shared" si="2"/>
        <v>1311000000</v>
      </c>
      <c r="U16" s="25"/>
      <c r="V16" s="26"/>
      <c r="W16" s="25"/>
      <c r="X16" s="25"/>
      <c r="Y16" s="25"/>
      <c r="Z16" s="25"/>
      <c r="AA16" s="25"/>
    </row>
    <row r="17" spans="1:27" x14ac:dyDescent="0.25">
      <c r="A17" s="11" t="s">
        <v>273</v>
      </c>
      <c r="B17" s="3">
        <v>3000000</v>
      </c>
      <c r="C17" s="11"/>
      <c r="D17" s="11">
        <v>1</v>
      </c>
      <c r="E17" s="11">
        <f t="shared" si="0"/>
        <v>437</v>
      </c>
      <c r="F17" s="11">
        <f t="shared" si="1"/>
        <v>1</v>
      </c>
      <c r="G17" s="11">
        <f t="shared" si="2"/>
        <v>1308000000</v>
      </c>
      <c r="U17" s="25"/>
      <c r="V17" s="26"/>
      <c r="W17" s="25"/>
      <c r="X17" s="25"/>
      <c r="Y17" s="25"/>
      <c r="Z17" s="25"/>
      <c r="AA17" s="25"/>
    </row>
    <row r="18" spans="1:27" x14ac:dyDescent="0.25">
      <c r="A18" s="11" t="s">
        <v>272</v>
      </c>
      <c r="B18" s="3">
        <v>1900000</v>
      </c>
      <c r="C18" s="11"/>
      <c r="D18" s="11">
        <v>15</v>
      </c>
      <c r="E18" s="11">
        <f t="shared" si="0"/>
        <v>436</v>
      </c>
      <c r="F18" s="11">
        <f t="shared" si="1"/>
        <v>1</v>
      </c>
      <c r="G18" s="11">
        <f t="shared" si="2"/>
        <v>826500000</v>
      </c>
      <c r="U18" s="25"/>
      <c r="V18" s="26"/>
      <c r="W18" s="25"/>
      <c r="X18" s="25"/>
      <c r="Y18" s="25"/>
      <c r="Z18" s="25"/>
      <c r="AA18" s="25"/>
    </row>
    <row r="19" spans="1:27" x14ac:dyDescent="0.25">
      <c r="A19" s="11" t="s">
        <v>262</v>
      </c>
      <c r="B19" s="3">
        <v>804513</v>
      </c>
      <c r="C19" s="11" t="s">
        <v>271</v>
      </c>
      <c r="D19" s="11">
        <v>1</v>
      </c>
      <c r="E19" s="11">
        <f t="shared" si="0"/>
        <v>421</v>
      </c>
      <c r="F19" s="11">
        <f t="shared" si="1"/>
        <v>1</v>
      </c>
      <c r="G19" s="11">
        <f t="shared" si="2"/>
        <v>337895460</v>
      </c>
      <c r="U19" s="25"/>
      <c r="V19" s="26"/>
      <c r="W19" s="25"/>
      <c r="X19" s="25"/>
      <c r="Y19" s="25"/>
      <c r="Z19" s="25"/>
      <c r="AA19" s="25"/>
    </row>
    <row r="20" spans="1:27" x14ac:dyDescent="0.25">
      <c r="A20" s="11" t="s">
        <v>270</v>
      </c>
      <c r="B20" s="3">
        <v>3000000</v>
      </c>
      <c r="C20" s="11" t="s">
        <v>269</v>
      </c>
      <c r="D20" s="11">
        <v>6</v>
      </c>
      <c r="E20" s="11">
        <f t="shared" si="0"/>
        <v>420</v>
      </c>
      <c r="F20" s="11">
        <f t="shared" si="1"/>
        <v>1</v>
      </c>
      <c r="G20" s="11">
        <f t="shared" si="2"/>
        <v>1257000000</v>
      </c>
      <c r="U20" s="25"/>
      <c r="V20" s="26"/>
      <c r="W20" s="25"/>
      <c r="X20" s="25"/>
      <c r="Y20" s="25"/>
      <c r="Z20" s="25"/>
      <c r="AA20" s="25"/>
    </row>
    <row r="21" spans="1:27" x14ac:dyDescent="0.25">
      <c r="A21" s="11" t="s">
        <v>268</v>
      </c>
      <c r="B21" s="3">
        <v>500000</v>
      </c>
      <c r="C21" s="11" t="s">
        <v>269</v>
      </c>
      <c r="D21" s="11">
        <v>14</v>
      </c>
      <c r="E21" s="11">
        <f>D21+E22</f>
        <v>414</v>
      </c>
      <c r="F21" s="11">
        <f t="shared" si="1"/>
        <v>1</v>
      </c>
      <c r="G21" s="11">
        <f t="shared" si="2"/>
        <v>206500000</v>
      </c>
      <c r="U21" s="25"/>
      <c r="V21" s="26"/>
      <c r="W21" s="25"/>
      <c r="X21" s="25"/>
      <c r="Y21" s="25"/>
      <c r="Z21" s="25"/>
      <c r="AA21" s="25"/>
    </row>
    <row r="22" spans="1:27" x14ac:dyDescent="0.25">
      <c r="A22" s="11" t="s">
        <v>344</v>
      </c>
      <c r="B22" s="38">
        <v>-3000000</v>
      </c>
      <c r="C22" s="11" t="s">
        <v>345</v>
      </c>
      <c r="D22" s="11">
        <v>8</v>
      </c>
      <c r="E22" s="11">
        <f t="shared" si="0"/>
        <v>400</v>
      </c>
      <c r="F22" s="11">
        <f t="shared" si="1"/>
        <v>0</v>
      </c>
      <c r="G22" s="11">
        <f t="shared" si="2"/>
        <v>-1200000000</v>
      </c>
      <c r="U22" s="25"/>
      <c r="V22" s="26"/>
      <c r="W22" s="25"/>
      <c r="X22" s="25"/>
      <c r="Y22" s="25"/>
      <c r="Z22" s="25"/>
      <c r="AA22" s="25"/>
    </row>
    <row r="23" spans="1:27" x14ac:dyDescent="0.25">
      <c r="A23" s="11" t="s">
        <v>404</v>
      </c>
      <c r="B23" s="38">
        <v>3000000</v>
      </c>
      <c r="C23" s="11" t="s">
        <v>405</v>
      </c>
      <c r="D23" s="11">
        <v>0</v>
      </c>
      <c r="E23" s="11">
        <f t="shared" si="0"/>
        <v>392</v>
      </c>
      <c r="F23" s="11">
        <f t="shared" si="1"/>
        <v>1</v>
      </c>
      <c r="G23" s="11">
        <f t="shared" si="2"/>
        <v>1173000000</v>
      </c>
      <c r="U23" s="25"/>
      <c r="V23" s="26"/>
      <c r="W23" s="25"/>
      <c r="X23" s="25"/>
      <c r="Y23" s="25"/>
      <c r="Z23" s="25"/>
      <c r="AA23" s="25"/>
    </row>
    <row r="24" spans="1:27" x14ac:dyDescent="0.25">
      <c r="A24" s="11" t="s">
        <v>404</v>
      </c>
      <c r="B24" s="38">
        <v>630843</v>
      </c>
      <c r="C24" s="11" t="s">
        <v>401</v>
      </c>
      <c r="D24" s="11">
        <v>2</v>
      </c>
      <c r="E24" s="11">
        <f t="shared" si="0"/>
        <v>392</v>
      </c>
      <c r="F24" s="11">
        <f t="shared" si="1"/>
        <v>1</v>
      </c>
      <c r="G24" s="11">
        <f>B24*(E24-F24)</f>
        <v>246659613</v>
      </c>
      <c r="U24" s="25"/>
      <c r="V24" s="25"/>
      <c r="W24" s="25"/>
      <c r="X24" s="25"/>
      <c r="Y24" s="25"/>
      <c r="Z24" s="25"/>
      <c r="AA24" s="25"/>
    </row>
    <row r="25" spans="1:27" x14ac:dyDescent="0.25">
      <c r="A25" s="11" t="s">
        <v>410</v>
      </c>
      <c r="B25" s="38">
        <v>-3200900</v>
      </c>
      <c r="C25" s="11" t="s">
        <v>412</v>
      </c>
      <c r="D25" s="11">
        <v>2</v>
      </c>
      <c r="E25" s="11">
        <f t="shared" si="0"/>
        <v>390</v>
      </c>
      <c r="F25" s="11">
        <f t="shared" si="1"/>
        <v>0</v>
      </c>
      <c r="G25" s="11">
        <f t="shared" ref="G25:G30" si="3">B25*(E25-F25)</f>
        <v>-1248351000</v>
      </c>
      <c r="U25" s="25"/>
      <c r="V25" s="25"/>
      <c r="W25" s="25"/>
      <c r="X25" s="25"/>
      <c r="Y25" s="25"/>
      <c r="Z25" s="25"/>
      <c r="AA25" s="25"/>
    </row>
    <row r="26" spans="1:27" x14ac:dyDescent="0.25">
      <c r="A26" s="11" t="s">
        <v>422</v>
      </c>
      <c r="B26" s="38">
        <v>-3000900</v>
      </c>
      <c r="C26" s="11" t="s">
        <v>423</v>
      </c>
      <c r="D26" s="11">
        <v>2</v>
      </c>
      <c r="E26" s="11">
        <f t="shared" si="0"/>
        <v>388</v>
      </c>
      <c r="F26" s="11">
        <f t="shared" si="1"/>
        <v>0</v>
      </c>
      <c r="G26" s="11">
        <f t="shared" si="3"/>
        <v>-1164349200</v>
      </c>
      <c r="U26" s="25"/>
      <c r="V26" s="25"/>
      <c r="W26" s="25"/>
      <c r="X26" s="25"/>
      <c r="Y26" s="25"/>
      <c r="Z26" s="25"/>
      <c r="AA26" s="25"/>
    </row>
    <row r="27" spans="1:27" x14ac:dyDescent="0.25">
      <c r="A27" s="11" t="s">
        <v>428</v>
      </c>
      <c r="B27" s="38">
        <v>1000000</v>
      </c>
      <c r="C27" s="11" t="s">
        <v>430</v>
      </c>
      <c r="D27" s="11">
        <v>0</v>
      </c>
      <c r="E27" s="11">
        <f t="shared" si="0"/>
        <v>386</v>
      </c>
      <c r="F27" s="11">
        <f t="shared" si="1"/>
        <v>1</v>
      </c>
      <c r="G27" s="11">
        <f t="shared" si="3"/>
        <v>385000000</v>
      </c>
      <c r="U27" s="25"/>
      <c r="V27" s="25"/>
      <c r="W27" s="25"/>
      <c r="X27" s="25"/>
      <c r="Y27" s="25"/>
      <c r="Z27" s="25"/>
      <c r="AA27" s="25"/>
    </row>
    <row r="28" spans="1:27" x14ac:dyDescent="0.25">
      <c r="A28" s="11" t="s">
        <v>428</v>
      </c>
      <c r="B28" s="38">
        <v>6000000</v>
      </c>
      <c r="C28" s="11" t="s">
        <v>431</v>
      </c>
      <c r="D28" s="11">
        <v>0</v>
      </c>
      <c r="E28" s="11">
        <f t="shared" si="0"/>
        <v>386</v>
      </c>
      <c r="F28" s="11">
        <f t="shared" si="1"/>
        <v>1</v>
      </c>
      <c r="G28" s="11">
        <f t="shared" si="3"/>
        <v>2310000000</v>
      </c>
      <c r="U28" s="25"/>
      <c r="V28" s="25"/>
      <c r="W28" s="25"/>
      <c r="X28" s="25"/>
      <c r="Y28" s="25"/>
      <c r="Z28" s="25"/>
      <c r="AA28" s="25"/>
    </row>
    <row r="29" spans="1:27" x14ac:dyDescent="0.25">
      <c r="A29" s="11" t="s">
        <v>428</v>
      </c>
      <c r="B29" s="38">
        <v>5800000</v>
      </c>
      <c r="C29" s="11" t="s">
        <v>432</v>
      </c>
      <c r="D29" s="11">
        <v>0</v>
      </c>
      <c r="E29" s="11">
        <f t="shared" si="0"/>
        <v>386</v>
      </c>
      <c r="F29" s="11">
        <f t="shared" si="1"/>
        <v>1</v>
      </c>
      <c r="G29" s="11">
        <f t="shared" si="3"/>
        <v>2233000000</v>
      </c>
      <c r="U29" s="25"/>
      <c r="V29" s="28"/>
      <c r="W29" s="25"/>
      <c r="X29" s="25"/>
      <c r="Y29" s="25"/>
      <c r="Z29" s="25"/>
      <c r="AA29" s="28"/>
    </row>
    <row r="30" spans="1:27" x14ac:dyDescent="0.25">
      <c r="A30" s="11" t="s">
        <v>428</v>
      </c>
      <c r="B30" s="38">
        <v>-5000</v>
      </c>
      <c r="C30" s="11" t="s">
        <v>433</v>
      </c>
      <c r="D30" s="11">
        <v>1</v>
      </c>
      <c r="E30" s="11">
        <f t="shared" si="0"/>
        <v>386</v>
      </c>
      <c r="F30" s="11">
        <f t="shared" si="1"/>
        <v>0</v>
      </c>
      <c r="G30" s="11">
        <f t="shared" si="3"/>
        <v>-1930000</v>
      </c>
      <c r="U30" s="25"/>
      <c r="V30" s="25"/>
      <c r="W30" s="25"/>
      <c r="X30" s="25"/>
      <c r="Y30" s="25"/>
      <c r="Z30" s="25"/>
      <c r="AA30" s="25"/>
    </row>
    <row r="31" spans="1:27" x14ac:dyDescent="0.25">
      <c r="A31" s="11" t="s">
        <v>443</v>
      </c>
      <c r="B31" s="38">
        <v>-26000000</v>
      </c>
      <c r="C31" s="11" t="s">
        <v>444</v>
      </c>
      <c r="D31" s="11">
        <v>2</v>
      </c>
      <c r="E31" s="11">
        <f t="shared" si="0"/>
        <v>385</v>
      </c>
      <c r="F31" s="11">
        <f t="shared" si="1"/>
        <v>0</v>
      </c>
      <c r="G31" s="11">
        <f>B31*(E31-F31)</f>
        <v>-10010000000</v>
      </c>
      <c r="U31" s="25"/>
      <c r="V31" s="25"/>
      <c r="W31" s="25"/>
      <c r="X31" s="25"/>
      <c r="Y31" s="25"/>
      <c r="Z31" s="25"/>
      <c r="AA31" s="25"/>
    </row>
    <row r="32" spans="1:27" x14ac:dyDescent="0.25">
      <c r="A32" s="11" t="s">
        <v>440</v>
      </c>
      <c r="B32" s="38">
        <v>-26200000</v>
      </c>
      <c r="C32" s="11" t="s">
        <v>442</v>
      </c>
      <c r="D32" s="11">
        <v>19</v>
      </c>
      <c r="E32" s="11">
        <f t="shared" si="0"/>
        <v>383</v>
      </c>
      <c r="F32" s="11">
        <f t="shared" si="1"/>
        <v>0</v>
      </c>
      <c r="G32" s="11">
        <f>B32*(E32-F32)</f>
        <v>-10034600000</v>
      </c>
      <c r="U32" s="25"/>
      <c r="V32" s="25"/>
      <c r="W32" s="25"/>
      <c r="X32" s="25"/>
      <c r="Y32" s="25"/>
      <c r="Z32" s="25"/>
      <c r="AA32" s="26"/>
    </row>
    <row r="33" spans="1:27" x14ac:dyDescent="0.25">
      <c r="A33" s="11" t="s">
        <v>472</v>
      </c>
      <c r="B33" s="38">
        <v>327005</v>
      </c>
      <c r="C33" s="11" t="s">
        <v>483</v>
      </c>
      <c r="D33" s="11">
        <v>18</v>
      </c>
      <c r="E33" s="11">
        <f t="shared" si="0"/>
        <v>364</v>
      </c>
      <c r="F33" s="11">
        <f t="shared" si="1"/>
        <v>1</v>
      </c>
      <c r="G33" s="11">
        <f>B33*(E33-F33)</f>
        <v>118702815</v>
      </c>
      <c r="U33" s="25"/>
      <c r="V33" s="25"/>
      <c r="W33" s="25"/>
      <c r="X33" s="25"/>
      <c r="Y33" s="25"/>
      <c r="Z33" s="25"/>
      <c r="AA33" s="25"/>
    </row>
    <row r="34" spans="1:27" x14ac:dyDescent="0.25">
      <c r="A34" s="11" t="s">
        <v>496</v>
      </c>
      <c r="B34" s="38">
        <v>28400000</v>
      </c>
      <c r="C34" s="11" t="s">
        <v>553</v>
      </c>
      <c r="D34" s="11">
        <v>0</v>
      </c>
      <c r="E34" s="11">
        <f t="shared" si="0"/>
        <v>346</v>
      </c>
      <c r="F34" s="11">
        <f t="shared" si="1"/>
        <v>1</v>
      </c>
      <c r="G34" s="11">
        <f t="shared" ref="G34:G126" si="4">B34*(E34-F34)</f>
        <v>9798000000</v>
      </c>
      <c r="V34" s="25"/>
      <c r="W34" s="26"/>
      <c r="X34" s="25"/>
    </row>
    <row r="35" spans="1:27" x14ac:dyDescent="0.25">
      <c r="A35" s="12" t="s">
        <v>496</v>
      </c>
      <c r="B35" s="57">
        <v>11000000</v>
      </c>
      <c r="C35" s="12" t="s">
        <v>498</v>
      </c>
      <c r="D35" s="11">
        <v>15</v>
      </c>
      <c r="E35" s="11">
        <f t="shared" si="0"/>
        <v>346</v>
      </c>
      <c r="F35" s="11">
        <f t="shared" si="1"/>
        <v>1</v>
      </c>
      <c r="G35" s="12">
        <f t="shared" si="4"/>
        <v>3795000000</v>
      </c>
    </row>
    <row r="36" spans="1:27" x14ac:dyDescent="0.25">
      <c r="A36" s="11" t="s">
        <v>510</v>
      </c>
      <c r="B36" s="38">
        <v>418701</v>
      </c>
      <c r="C36" s="11" t="s">
        <v>511</v>
      </c>
      <c r="D36" s="11">
        <v>0</v>
      </c>
      <c r="E36" s="11">
        <f t="shared" si="0"/>
        <v>331</v>
      </c>
      <c r="F36" s="11">
        <f t="shared" si="1"/>
        <v>1</v>
      </c>
      <c r="G36" s="11">
        <f t="shared" si="4"/>
        <v>138171330</v>
      </c>
    </row>
    <row r="37" spans="1:27" x14ac:dyDescent="0.25">
      <c r="A37" s="11" t="s">
        <v>510</v>
      </c>
      <c r="B37" s="38">
        <v>-900</v>
      </c>
      <c r="C37" s="11" t="s">
        <v>512</v>
      </c>
      <c r="D37" s="11">
        <v>1</v>
      </c>
      <c r="E37" s="11">
        <f t="shared" si="0"/>
        <v>331</v>
      </c>
      <c r="F37" s="11">
        <f t="shared" si="1"/>
        <v>0</v>
      </c>
      <c r="G37" s="11">
        <f t="shared" si="4"/>
        <v>-297900</v>
      </c>
      <c r="J37" s="58"/>
    </row>
    <row r="38" spans="1:27" x14ac:dyDescent="0.25">
      <c r="A38" s="12" t="s">
        <v>516</v>
      </c>
      <c r="B38" s="57">
        <v>2000000</v>
      </c>
      <c r="C38" s="12" t="s">
        <v>517</v>
      </c>
      <c r="D38" s="11">
        <v>0</v>
      </c>
      <c r="E38" s="11">
        <f t="shared" si="0"/>
        <v>330</v>
      </c>
      <c r="F38" s="11">
        <f t="shared" si="1"/>
        <v>1</v>
      </c>
      <c r="G38" s="12">
        <f t="shared" si="4"/>
        <v>658000000</v>
      </c>
      <c r="J38" s="7"/>
      <c r="K38" s="7"/>
    </row>
    <row r="39" spans="1:27" x14ac:dyDescent="0.25">
      <c r="A39" s="11" t="s">
        <v>516</v>
      </c>
      <c r="B39" s="38">
        <v>2000000</v>
      </c>
      <c r="C39" s="11" t="s">
        <v>518</v>
      </c>
      <c r="D39" s="11">
        <v>14</v>
      </c>
      <c r="E39" s="11">
        <f t="shared" si="0"/>
        <v>330</v>
      </c>
      <c r="F39" s="11">
        <f>IF(B39&gt;0,1,0)</f>
        <v>1</v>
      </c>
      <c r="G39" s="11">
        <f t="shared" si="4"/>
        <v>658000000</v>
      </c>
    </row>
    <row r="40" spans="1:27" x14ac:dyDescent="0.25">
      <c r="A40" s="11" t="s">
        <v>520</v>
      </c>
      <c r="B40" s="38">
        <v>-200000</v>
      </c>
      <c r="C40" s="11" t="s">
        <v>521</v>
      </c>
      <c r="D40" s="11">
        <v>0</v>
      </c>
      <c r="E40" s="11">
        <f t="shared" si="0"/>
        <v>316</v>
      </c>
      <c r="F40" s="11">
        <f>IF(B40&gt;0,1,0)</f>
        <v>0</v>
      </c>
      <c r="G40" s="11">
        <f t="shared" si="4"/>
        <v>-63200000</v>
      </c>
    </row>
    <row r="41" spans="1:27" x14ac:dyDescent="0.25">
      <c r="A41" s="11" t="s">
        <v>520</v>
      </c>
      <c r="B41" s="38">
        <v>-620000</v>
      </c>
      <c r="C41" s="11" t="s">
        <v>522</v>
      </c>
      <c r="D41" s="11">
        <v>0</v>
      </c>
      <c r="E41" s="11">
        <f t="shared" si="0"/>
        <v>316</v>
      </c>
      <c r="F41" s="11">
        <f>IF(B41&gt;0,1,0)</f>
        <v>0</v>
      </c>
      <c r="G41" s="11">
        <f t="shared" si="4"/>
        <v>-195920000</v>
      </c>
    </row>
    <row r="42" spans="1:27" x14ac:dyDescent="0.25">
      <c r="A42" s="11" t="s">
        <v>520</v>
      </c>
      <c r="B42" s="38">
        <v>-120000</v>
      </c>
      <c r="C42" s="11" t="s">
        <v>523</v>
      </c>
      <c r="D42" s="11">
        <v>2</v>
      </c>
      <c r="E42" s="11">
        <f t="shared" si="0"/>
        <v>316</v>
      </c>
      <c r="F42" s="11">
        <f t="shared" ref="F42:F126" si="5">IF(B42&gt;0,1,0)</f>
        <v>0</v>
      </c>
      <c r="G42" s="11">
        <f t="shared" si="4"/>
        <v>-37920000</v>
      </c>
      <c r="J42" s="7"/>
    </row>
    <row r="43" spans="1:27" x14ac:dyDescent="0.25">
      <c r="A43" s="11" t="s">
        <v>524</v>
      </c>
      <c r="B43" s="38">
        <v>650000</v>
      </c>
      <c r="C43" s="11" t="s">
        <v>525</v>
      </c>
      <c r="D43" s="11">
        <v>0</v>
      </c>
      <c r="E43" s="11">
        <f t="shared" si="0"/>
        <v>314</v>
      </c>
      <c r="F43" s="11">
        <f t="shared" si="5"/>
        <v>1</v>
      </c>
      <c r="G43" s="11">
        <f t="shared" si="4"/>
        <v>203450000</v>
      </c>
    </row>
    <row r="44" spans="1:27" x14ac:dyDescent="0.25">
      <c r="A44" s="11" t="s">
        <v>524</v>
      </c>
      <c r="B44" s="38">
        <v>-5000</v>
      </c>
      <c r="C44" s="11" t="s">
        <v>26</v>
      </c>
      <c r="D44" s="11">
        <v>0</v>
      </c>
      <c r="E44" s="11">
        <f t="shared" si="0"/>
        <v>314</v>
      </c>
      <c r="F44" s="11">
        <f t="shared" si="5"/>
        <v>0</v>
      </c>
      <c r="G44" s="11">
        <f t="shared" si="4"/>
        <v>-1570000</v>
      </c>
    </row>
    <row r="45" spans="1:27" x14ac:dyDescent="0.25">
      <c r="A45" s="11" t="s">
        <v>524</v>
      </c>
      <c r="B45" s="38">
        <v>29000000</v>
      </c>
      <c r="C45" s="11" t="s">
        <v>526</v>
      </c>
      <c r="D45" s="11">
        <v>4</v>
      </c>
      <c r="E45" s="11">
        <f t="shared" si="0"/>
        <v>314</v>
      </c>
      <c r="F45" s="11">
        <f t="shared" si="5"/>
        <v>1</v>
      </c>
      <c r="G45" s="11">
        <f t="shared" si="4"/>
        <v>9077000000</v>
      </c>
    </row>
    <row r="46" spans="1:27" x14ac:dyDescent="0.25">
      <c r="A46" s="11" t="s">
        <v>533</v>
      </c>
      <c r="B46" s="38">
        <v>-200000</v>
      </c>
      <c r="C46" s="11" t="s">
        <v>538</v>
      </c>
      <c r="D46" s="11">
        <v>3</v>
      </c>
      <c r="E46" s="11">
        <f t="shared" si="0"/>
        <v>310</v>
      </c>
      <c r="F46" s="11">
        <f t="shared" si="5"/>
        <v>0</v>
      </c>
      <c r="G46" s="11">
        <f t="shared" si="4"/>
        <v>-62000000</v>
      </c>
    </row>
    <row r="47" spans="1:27" x14ac:dyDescent="0.25">
      <c r="A47" s="11" t="s">
        <v>539</v>
      </c>
      <c r="B47" s="38">
        <v>-200000</v>
      </c>
      <c r="C47" s="11" t="s">
        <v>541</v>
      </c>
      <c r="D47" s="11">
        <v>1</v>
      </c>
      <c r="E47" s="11">
        <f t="shared" si="0"/>
        <v>307</v>
      </c>
      <c r="F47" s="11">
        <f t="shared" si="5"/>
        <v>0</v>
      </c>
      <c r="G47" s="11">
        <f t="shared" si="4"/>
        <v>-61400000</v>
      </c>
    </row>
    <row r="48" spans="1:27" x14ac:dyDescent="0.25">
      <c r="A48" s="11" t="s">
        <v>540</v>
      </c>
      <c r="B48" s="38">
        <v>-200000</v>
      </c>
      <c r="C48" s="11" t="s">
        <v>158</v>
      </c>
      <c r="D48" s="11">
        <v>5</v>
      </c>
      <c r="E48" s="11">
        <f t="shared" si="0"/>
        <v>306</v>
      </c>
      <c r="F48" s="11">
        <f t="shared" si="5"/>
        <v>0</v>
      </c>
      <c r="G48" s="11">
        <f t="shared" si="4"/>
        <v>-61200000</v>
      </c>
    </row>
    <row r="49" spans="1:7" x14ac:dyDescent="0.25">
      <c r="A49" s="11" t="s">
        <v>544</v>
      </c>
      <c r="B49" s="38">
        <v>3000000</v>
      </c>
      <c r="C49" s="11" t="s">
        <v>545</v>
      </c>
      <c r="D49" s="11">
        <v>0</v>
      </c>
      <c r="E49" s="11">
        <f t="shared" si="0"/>
        <v>301</v>
      </c>
      <c r="F49" s="11">
        <f t="shared" si="5"/>
        <v>1</v>
      </c>
      <c r="G49" s="11">
        <f t="shared" si="4"/>
        <v>900000000</v>
      </c>
    </row>
    <row r="50" spans="1:7" x14ac:dyDescent="0.25">
      <c r="A50" s="12" t="s">
        <v>544</v>
      </c>
      <c r="B50" s="57">
        <v>3000000</v>
      </c>
      <c r="C50" s="12" t="s">
        <v>546</v>
      </c>
      <c r="D50" s="11">
        <v>1</v>
      </c>
      <c r="E50" s="11">
        <f t="shared" si="0"/>
        <v>301</v>
      </c>
      <c r="F50" s="11">
        <f t="shared" si="5"/>
        <v>1</v>
      </c>
      <c r="G50" s="12">
        <f t="shared" si="4"/>
        <v>900000000</v>
      </c>
    </row>
    <row r="51" spans="1:7" x14ac:dyDescent="0.25">
      <c r="A51" s="11" t="s">
        <v>549</v>
      </c>
      <c r="B51" s="38">
        <v>765797</v>
      </c>
      <c r="C51" s="11" t="s">
        <v>550</v>
      </c>
      <c r="D51" s="11">
        <v>0</v>
      </c>
      <c r="E51" s="11">
        <f t="shared" si="0"/>
        <v>300</v>
      </c>
      <c r="F51" s="11">
        <f t="shared" si="5"/>
        <v>1</v>
      </c>
      <c r="G51" s="11">
        <f t="shared" si="4"/>
        <v>228973303</v>
      </c>
    </row>
    <row r="52" spans="1:7" x14ac:dyDescent="0.25">
      <c r="A52" s="11" t="s">
        <v>549</v>
      </c>
      <c r="B52" s="38">
        <v>-200000</v>
      </c>
      <c r="C52" s="11" t="s">
        <v>158</v>
      </c>
      <c r="D52" s="11">
        <v>7</v>
      </c>
      <c r="E52" s="11">
        <f t="shared" si="0"/>
        <v>300</v>
      </c>
      <c r="F52" s="11">
        <f t="shared" si="5"/>
        <v>0</v>
      </c>
      <c r="G52" s="11">
        <f t="shared" si="4"/>
        <v>-60000000</v>
      </c>
    </row>
    <row r="53" spans="1:7" x14ac:dyDescent="0.25">
      <c r="A53" s="11" t="s">
        <v>561</v>
      </c>
      <c r="B53" s="38">
        <v>-400500</v>
      </c>
      <c r="C53" s="11" t="s">
        <v>562</v>
      </c>
      <c r="D53" s="11">
        <v>9</v>
      </c>
      <c r="E53" s="11">
        <f t="shared" si="0"/>
        <v>293</v>
      </c>
      <c r="F53" s="11">
        <f t="shared" si="5"/>
        <v>0</v>
      </c>
      <c r="G53" s="11">
        <f t="shared" si="4"/>
        <v>-117346500</v>
      </c>
    </row>
    <row r="54" spans="1:7" x14ac:dyDescent="0.25">
      <c r="A54" s="11" t="s">
        <v>576</v>
      </c>
      <c r="B54" s="38">
        <v>-1000396</v>
      </c>
      <c r="C54" s="11" t="s">
        <v>630</v>
      </c>
      <c r="D54" s="11">
        <v>6</v>
      </c>
      <c r="E54" s="11">
        <f t="shared" si="0"/>
        <v>284</v>
      </c>
      <c r="F54" s="11">
        <f t="shared" si="5"/>
        <v>0</v>
      </c>
      <c r="G54" s="11">
        <f t="shared" si="4"/>
        <v>-284112464</v>
      </c>
    </row>
    <row r="55" spans="1:7" x14ac:dyDescent="0.25">
      <c r="A55" s="11" t="s">
        <v>579</v>
      </c>
      <c r="B55" s="38">
        <v>-40000000</v>
      </c>
      <c r="C55" s="11" t="s">
        <v>580</v>
      </c>
      <c r="D55" s="11">
        <v>9</v>
      </c>
      <c r="E55" s="11">
        <f t="shared" si="0"/>
        <v>278</v>
      </c>
      <c r="F55" s="11">
        <f t="shared" si="5"/>
        <v>0</v>
      </c>
      <c r="G55" s="11">
        <f t="shared" si="4"/>
        <v>-11120000000</v>
      </c>
    </row>
    <row r="56" spans="1:7" x14ac:dyDescent="0.25">
      <c r="A56" s="11" t="s">
        <v>585</v>
      </c>
      <c r="B56" s="38">
        <v>865652</v>
      </c>
      <c r="C56" s="11" t="s">
        <v>586</v>
      </c>
      <c r="D56" s="11">
        <v>27</v>
      </c>
      <c r="E56" s="11">
        <f t="shared" si="0"/>
        <v>269</v>
      </c>
      <c r="F56" s="11">
        <f t="shared" si="5"/>
        <v>1</v>
      </c>
      <c r="G56" s="11">
        <f t="shared" si="4"/>
        <v>231994736</v>
      </c>
    </row>
    <row r="57" spans="1:7" x14ac:dyDescent="0.25">
      <c r="A57" s="11" t="s">
        <v>616</v>
      </c>
      <c r="B57" s="38">
        <v>-50200000</v>
      </c>
      <c r="C57" s="11" t="s">
        <v>618</v>
      </c>
      <c r="D57" s="11">
        <v>1</v>
      </c>
      <c r="E57" s="11">
        <f t="shared" si="0"/>
        <v>242</v>
      </c>
      <c r="F57" s="11">
        <f t="shared" si="5"/>
        <v>0</v>
      </c>
      <c r="G57" s="11">
        <f t="shared" si="4"/>
        <v>-12148400000</v>
      </c>
    </row>
    <row r="58" spans="1:7" x14ac:dyDescent="0.25">
      <c r="A58" s="11" t="s">
        <v>622</v>
      </c>
      <c r="B58" s="38">
        <v>-12200500</v>
      </c>
      <c r="C58" s="11" t="s">
        <v>623</v>
      </c>
      <c r="D58" s="11">
        <v>3</v>
      </c>
      <c r="E58" s="11">
        <f t="shared" si="0"/>
        <v>241</v>
      </c>
      <c r="F58" s="11">
        <f t="shared" si="5"/>
        <v>0</v>
      </c>
      <c r="G58" s="11">
        <f t="shared" si="4"/>
        <v>-2940320500</v>
      </c>
    </row>
    <row r="59" spans="1:7" x14ac:dyDescent="0.25">
      <c r="A59" s="11" t="s">
        <v>628</v>
      </c>
      <c r="B59" s="38">
        <v>534906</v>
      </c>
      <c r="C59" s="11" t="s">
        <v>629</v>
      </c>
      <c r="D59" s="11">
        <v>1</v>
      </c>
      <c r="E59" s="11">
        <f t="shared" si="0"/>
        <v>238</v>
      </c>
      <c r="F59" s="11">
        <f t="shared" si="5"/>
        <v>1</v>
      </c>
      <c r="G59" s="11">
        <f t="shared" si="4"/>
        <v>126772722</v>
      </c>
    </row>
    <row r="60" spans="1:7" x14ac:dyDescent="0.25">
      <c r="A60" s="11" t="s">
        <v>637</v>
      </c>
      <c r="B60" s="38">
        <v>-338000</v>
      </c>
      <c r="C60" s="11" t="s">
        <v>639</v>
      </c>
      <c r="D60" s="11">
        <v>2</v>
      </c>
      <c r="E60" s="11">
        <f t="shared" si="0"/>
        <v>237</v>
      </c>
      <c r="F60" s="11">
        <f t="shared" si="5"/>
        <v>0</v>
      </c>
      <c r="G60" s="11">
        <f t="shared" si="4"/>
        <v>-80106000</v>
      </c>
    </row>
    <row r="61" spans="1:7" x14ac:dyDescent="0.25">
      <c r="A61" s="11" t="s">
        <v>640</v>
      </c>
      <c r="B61" s="38">
        <v>-150000</v>
      </c>
      <c r="C61" s="11" t="s">
        <v>641</v>
      </c>
      <c r="D61" s="11">
        <v>4</v>
      </c>
      <c r="E61" s="11">
        <f t="shared" si="0"/>
        <v>235</v>
      </c>
      <c r="F61" s="11">
        <f t="shared" si="5"/>
        <v>0</v>
      </c>
      <c r="G61" s="11">
        <f t="shared" si="4"/>
        <v>-35250000</v>
      </c>
    </row>
    <row r="62" spans="1:7" x14ac:dyDescent="0.25">
      <c r="A62" s="11" t="s">
        <v>646</v>
      </c>
      <c r="B62" s="38">
        <v>-100000</v>
      </c>
      <c r="C62" s="11" t="s">
        <v>26</v>
      </c>
      <c r="D62" s="11">
        <v>4</v>
      </c>
      <c r="E62" s="11">
        <f t="shared" si="0"/>
        <v>231</v>
      </c>
      <c r="F62" s="11">
        <f t="shared" si="5"/>
        <v>0</v>
      </c>
      <c r="G62" s="11">
        <f t="shared" si="4"/>
        <v>-23100000</v>
      </c>
    </row>
    <row r="63" spans="1:7" x14ac:dyDescent="0.25">
      <c r="A63" s="11" t="s">
        <v>648</v>
      </c>
      <c r="B63" s="38">
        <v>-200000</v>
      </c>
      <c r="C63" s="11" t="s">
        <v>158</v>
      </c>
      <c r="D63" s="11">
        <v>0</v>
      </c>
      <c r="E63" s="11">
        <f t="shared" si="0"/>
        <v>227</v>
      </c>
      <c r="F63" s="11">
        <f t="shared" si="5"/>
        <v>0</v>
      </c>
      <c r="G63" s="11">
        <f t="shared" si="4"/>
        <v>-45400000</v>
      </c>
    </row>
    <row r="64" spans="1:7" x14ac:dyDescent="0.25">
      <c r="A64" s="11" t="s">
        <v>71</v>
      </c>
      <c r="B64" s="38">
        <v>-87000</v>
      </c>
      <c r="C64" s="11" t="s">
        <v>649</v>
      </c>
      <c r="D64" s="11">
        <v>4</v>
      </c>
      <c r="E64" s="11">
        <f t="shared" si="0"/>
        <v>227</v>
      </c>
      <c r="F64" s="11">
        <f t="shared" si="5"/>
        <v>0</v>
      </c>
      <c r="G64" s="11">
        <f t="shared" si="4"/>
        <v>-19749000</v>
      </c>
    </row>
    <row r="65" spans="1:10" x14ac:dyDescent="0.25">
      <c r="A65" s="11" t="s">
        <v>655</v>
      </c>
      <c r="B65" s="38">
        <v>-27470</v>
      </c>
      <c r="C65" s="11" t="s">
        <v>656</v>
      </c>
      <c r="D65" s="11">
        <v>1</v>
      </c>
      <c r="E65" s="11">
        <f t="shared" si="0"/>
        <v>223</v>
      </c>
      <c r="F65" s="11">
        <f t="shared" si="5"/>
        <v>0</v>
      </c>
      <c r="G65" s="11">
        <f t="shared" si="4"/>
        <v>-6125810</v>
      </c>
    </row>
    <row r="66" spans="1:10" x14ac:dyDescent="0.25">
      <c r="A66" s="11" t="s">
        <v>659</v>
      </c>
      <c r="B66" s="38">
        <v>-334000</v>
      </c>
      <c r="C66" s="11" t="s">
        <v>660</v>
      </c>
      <c r="D66" s="11">
        <v>5</v>
      </c>
      <c r="E66" s="11">
        <f t="shared" si="0"/>
        <v>222</v>
      </c>
      <c r="F66" s="11">
        <f t="shared" si="5"/>
        <v>0</v>
      </c>
      <c r="G66" s="11">
        <f t="shared" si="4"/>
        <v>-74148000</v>
      </c>
    </row>
    <row r="67" spans="1:10" x14ac:dyDescent="0.25">
      <c r="A67" s="11" t="s">
        <v>663</v>
      </c>
      <c r="B67" s="38">
        <v>-20000</v>
      </c>
      <c r="C67" s="11" t="s">
        <v>664</v>
      </c>
      <c r="D67" s="11">
        <v>1</v>
      </c>
      <c r="E67" s="11">
        <f t="shared" ref="E67:E126" si="6">D67+E68</f>
        <v>217</v>
      </c>
      <c r="F67" s="11">
        <f t="shared" si="5"/>
        <v>0</v>
      </c>
      <c r="G67" s="11">
        <f t="shared" si="4"/>
        <v>-4340000</v>
      </c>
    </row>
    <row r="68" spans="1:10" x14ac:dyDescent="0.25">
      <c r="A68" s="11" t="s">
        <v>662</v>
      </c>
      <c r="B68" s="38">
        <v>-300500</v>
      </c>
      <c r="C68" s="11" t="s">
        <v>665</v>
      </c>
      <c r="D68" s="11">
        <v>0</v>
      </c>
      <c r="E68" s="11">
        <f t="shared" si="6"/>
        <v>216</v>
      </c>
      <c r="F68" s="11">
        <f t="shared" si="5"/>
        <v>0</v>
      </c>
      <c r="G68" s="11">
        <f t="shared" si="4"/>
        <v>-64908000</v>
      </c>
    </row>
    <row r="69" spans="1:10" x14ac:dyDescent="0.25">
      <c r="A69" s="11" t="s">
        <v>662</v>
      </c>
      <c r="B69" s="38">
        <v>-100000</v>
      </c>
      <c r="C69" s="11" t="s">
        <v>666</v>
      </c>
      <c r="D69" s="11">
        <v>5</v>
      </c>
      <c r="E69" s="11">
        <f t="shared" si="6"/>
        <v>216</v>
      </c>
      <c r="F69" s="11">
        <f t="shared" si="5"/>
        <v>0</v>
      </c>
      <c r="G69" s="11">
        <f t="shared" si="4"/>
        <v>-21600000</v>
      </c>
    </row>
    <row r="70" spans="1:10" x14ac:dyDescent="0.25">
      <c r="A70" s="11" t="s">
        <v>669</v>
      </c>
      <c r="B70" s="38">
        <v>-200000</v>
      </c>
      <c r="C70" s="11" t="s">
        <v>26</v>
      </c>
      <c r="D70" s="11">
        <v>4</v>
      </c>
      <c r="E70" s="11">
        <f t="shared" si="6"/>
        <v>211</v>
      </c>
      <c r="F70" s="11">
        <f t="shared" si="5"/>
        <v>0</v>
      </c>
      <c r="G70" s="11">
        <f t="shared" si="4"/>
        <v>-42200000</v>
      </c>
    </row>
    <row r="71" spans="1:10" x14ac:dyDescent="0.25">
      <c r="A71" s="11" t="s">
        <v>631</v>
      </c>
      <c r="B71" s="38">
        <v>15389</v>
      </c>
      <c r="C71" s="11" t="s">
        <v>670</v>
      </c>
      <c r="D71" s="11">
        <v>0</v>
      </c>
      <c r="E71" s="11">
        <f t="shared" si="6"/>
        <v>207</v>
      </c>
      <c r="F71" s="11">
        <f t="shared" si="5"/>
        <v>1</v>
      </c>
      <c r="G71" s="11">
        <f t="shared" si="4"/>
        <v>3170134</v>
      </c>
    </row>
    <row r="72" spans="1:10" x14ac:dyDescent="0.25">
      <c r="A72" s="11" t="s">
        <v>631</v>
      </c>
      <c r="B72" s="38">
        <v>4000000</v>
      </c>
      <c r="C72" s="11" t="s">
        <v>676</v>
      </c>
      <c r="D72" s="11">
        <v>0</v>
      </c>
      <c r="E72" s="11">
        <f t="shared" si="6"/>
        <v>207</v>
      </c>
      <c r="F72" s="11">
        <f t="shared" si="5"/>
        <v>1</v>
      </c>
      <c r="G72" s="11">
        <f t="shared" si="4"/>
        <v>824000000</v>
      </c>
    </row>
    <row r="73" spans="1:10" x14ac:dyDescent="0.25">
      <c r="A73" s="11" t="s">
        <v>631</v>
      </c>
      <c r="B73" s="38">
        <v>2600000</v>
      </c>
      <c r="C73" s="11" t="s">
        <v>677</v>
      </c>
      <c r="D73" s="11">
        <v>0</v>
      </c>
      <c r="E73" s="11">
        <f t="shared" si="6"/>
        <v>207</v>
      </c>
      <c r="F73" s="11">
        <f t="shared" si="5"/>
        <v>1</v>
      </c>
      <c r="G73" s="11">
        <f t="shared" si="4"/>
        <v>535600000</v>
      </c>
      <c r="J73" t="s">
        <v>25</v>
      </c>
    </row>
    <row r="74" spans="1:10" x14ac:dyDescent="0.25">
      <c r="A74" s="11" t="s">
        <v>631</v>
      </c>
      <c r="B74" s="38">
        <v>3000000</v>
      </c>
      <c r="C74" s="11" t="s">
        <v>678</v>
      </c>
      <c r="D74" s="11">
        <v>3</v>
      </c>
      <c r="E74" s="11">
        <f t="shared" si="6"/>
        <v>207</v>
      </c>
      <c r="F74" s="11">
        <f t="shared" si="5"/>
        <v>1</v>
      </c>
      <c r="G74" s="11">
        <f t="shared" si="4"/>
        <v>618000000</v>
      </c>
    </row>
    <row r="75" spans="1:10" x14ac:dyDescent="0.25">
      <c r="A75" s="11" t="s">
        <v>680</v>
      </c>
      <c r="B75" s="38">
        <v>-200000</v>
      </c>
      <c r="C75" s="11" t="s">
        <v>158</v>
      </c>
      <c r="D75" s="11">
        <v>3</v>
      </c>
      <c r="E75" s="11">
        <f t="shared" si="6"/>
        <v>204</v>
      </c>
      <c r="F75" s="11">
        <f t="shared" si="5"/>
        <v>0</v>
      </c>
      <c r="G75" s="11">
        <f t="shared" si="4"/>
        <v>-40800000</v>
      </c>
    </row>
    <row r="76" spans="1:10" x14ac:dyDescent="0.25">
      <c r="A76" s="11" t="s">
        <v>681</v>
      </c>
      <c r="B76" s="38">
        <v>-2000700</v>
      </c>
      <c r="C76" s="11" t="s">
        <v>682</v>
      </c>
      <c r="D76" s="11">
        <v>0</v>
      </c>
      <c r="E76" s="11">
        <f t="shared" si="6"/>
        <v>201</v>
      </c>
      <c r="F76" s="11">
        <f t="shared" si="5"/>
        <v>0</v>
      </c>
      <c r="G76" s="11">
        <f t="shared" si="4"/>
        <v>-402140700</v>
      </c>
    </row>
    <row r="77" spans="1:10" x14ac:dyDescent="0.25">
      <c r="A77" s="11" t="s">
        <v>681</v>
      </c>
      <c r="B77" s="38">
        <v>-200000</v>
      </c>
      <c r="C77" s="11" t="s">
        <v>158</v>
      </c>
      <c r="D77" s="11">
        <v>4</v>
      </c>
      <c r="E77" s="11">
        <f t="shared" si="6"/>
        <v>201</v>
      </c>
      <c r="F77" s="11">
        <f t="shared" si="5"/>
        <v>0</v>
      </c>
      <c r="G77" s="11">
        <f t="shared" si="4"/>
        <v>-40200000</v>
      </c>
    </row>
    <row r="78" spans="1:10" x14ac:dyDescent="0.25">
      <c r="A78" s="11" t="s">
        <v>685</v>
      </c>
      <c r="B78" s="38">
        <v>2000000</v>
      </c>
      <c r="C78" s="11" t="s">
        <v>686</v>
      </c>
      <c r="D78" s="11">
        <v>8</v>
      </c>
      <c r="E78" s="11">
        <f t="shared" si="6"/>
        <v>197</v>
      </c>
      <c r="F78" s="11">
        <f t="shared" si="5"/>
        <v>1</v>
      </c>
      <c r="G78" s="11">
        <f t="shared" si="4"/>
        <v>392000000</v>
      </c>
      <c r="J78" t="s">
        <v>25</v>
      </c>
    </row>
    <row r="79" spans="1:10" x14ac:dyDescent="0.25">
      <c r="A79" s="11" t="s">
        <v>687</v>
      </c>
      <c r="B79" s="38">
        <v>-1000500</v>
      </c>
      <c r="C79" s="11" t="s">
        <v>688</v>
      </c>
      <c r="D79" s="11">
        <v>0</v>
      </c>
      <c r="E79" s="11">
        <f t="shared" si="6"/>
        <v>189</v>
      </c>
      <c r="F79" s="11">
        <f t="shared" si="5"/>
        <v>0</v>
      </c>
      <c r="G79" s="11">
        <f t="shared" si="4"/>
        <v>-189094500</v>
      </c>
    </row>
    <row r="80" spans="1:10" x14ac:dyDescent="0.25">
      <c r="A80" s="11" t="s">
        <v>687</v>
      </c>
      <c r="B80" s="38">
        <v>-141950</v>
      </c>
      <c r="C80" s="11" t="s">
        <v>689</v>
      </c>
      <c r="D80" s="11">
        <v>3</v>
      </c>
      <c r="E80" s="11">
        <f t="shared" si="6"/>
        <v>189</v>
      </c>
      <c r="F80" s="11">
        <f t="shared" si="5"/>
        <v>0</v>
      </c>
      <c r="G80" s="11">
        <f t="shared" si="4"/>
        <v>-26828550</v>
      </c>
    </row>
    <row r="81" spans="1:7" x14ac:dyDescent="0.25">
      <c r="A81" s="11" t="s">
        <v>692</v>
      </c>
      <c r="B81" s="38">
        <v>-900500</v>
      </c>
      <c r="C81" s="11" t="s">
        <v>693</v>
      </c>
      <c r="D81" s="11">
        <v>10</v>
      </c>
      <c r="E81" s="11">
        <f t="shared" si="6"/>
        <v>186</v>
      </c>
      <c r="F81" s="11">
        <f t="shared" si="5"/>
        <v>0</v>
      </c>
      <c r="G81" s="11">
        <f t="shared" si="4"/>
        <v>-167493000</v>
      </c>
    </row>
    <row r="82" spans="1:7" x14ac:dyDescent="0.25">
      <c r="A82" s="11" t="s">
        <v>632</v>
      </c>
      <c r="B82" s="38">
        <v>81251</v>
      </c>
      <c r="C82" s="11" t="s">
        <v>696</v>
      </c>
      <c r="D82" s="11">
        <v>22</v>
      </c>
      <c r="E82" s="11">
        <f t="shared" si="6"/>
        <v>176</v>
      </c>
      <c r="F82" s="11">
        <f t="shared" si="5"/>
        <v>1</v>
      </c>
      <c r="G82" s="11">
        <f t="shared" si="4"/>
        <v>14218925</v>
      </c>
    </row>
    <row r="83" spans="1:7" x14ac:dyDescent="0.25">
      <c r="A83" s="11" t="s">
        <v>727</v>
      </c>
      <c r="B83" s="38">
        <v>50000000</v>
      </c>
      <c r="C83" s="11" t="s">
        <v>730</v>
      </c>
      <c r="D83" s="11">
        <v>1</v>
      </c>
      <c r="E83" s="11">
        <f t="shared" si="6"/>
        <v>154</v>
      </c>
      <c r="F83" s="11">
        <f t="shared" si="5"/>
        <v>1</v>
      </c>
      <c r="G83" s="11">
        <f t="shared" si="4"/>
        <v>7650000000</v>
      </c>
    </row>
    <row r="84" spans="1:7" x14ac:dyDescent="0.25">
      <c r="A84" s="11" t="s">
        <v>725</v>
      </c>
      <c r="B84" s="38">
        <v>30000000</v>
      </c>
      <c r="C84" s="11" t="s">
        <v>731</v>
      </c>
      <c r="D84" s="11">
        <v>0</v>
      </c>
      <c r="E84" s="11">
        <f t="shared" si="6"/>
        <v>153</v>
      </c>
      <c r="F84" s="11">
        <f t="shared" si="5"/>
        <v>1</v>
      </c>
      <c r="G84" s="11">
        <f t="shared" si="4"/>
        <v>4560000000</v>
      </c>
    </row>
    <row r="85" spans="1:7" x14ac:dyDescent="0.25">
      <c r="A85" s="11" t="s">
        <v>725</v>
      </c>
      <c r="B85" s="38">
        <v>-72500000</v>
      </c>
      <c r="C85" s="11" t="s">
        <v>732</v>
      </c>
      <c r="D85" s="11">
        <v>1</v>
      </c>
      <c r="E85" s="11">
        <f t="shared" si="6"/>
        <v>153</v>
      </c>
      <c r="F85" s="11">
        <f t="shared" si="5"/>
        <v>0</v>
      </c>
      <c r="G85" s="11">
        <f t="shared" si="4"/>
        <v>-11092500000</v>
      </c>
    </row>
    <row r="86" spans="1:7" x14ac:dyDescent="0.25">
      <c r="A86" s="11" t="s">
        <v>733</v>
      </c>
      <c r="B86" s="38">
        <v>-281000</v>
      </c>
      <c r="C86" s="11" t="s">
        <v>745</v>
      </c>
      <c r="D86" s="11">
        <v>5</v>
      </c>
      <c r="E86" s="11">
        <f t="shared" si="6"/>
        <v>152</v>
      </c>
      <c r="F86" s="11">
        <f t="shared" si="5"/>
        <v>0</v>
      </c>
      <c r="G86" s="11">
        <f t="shared" si="4"/>
        <v>-42712000</v>
      </c>
    </row>
    <row r="87" spans="1:7" x14ac:dyDescent="0.25">
      <c r="A87" s="11" t="s">
        <v>738</v>
      </c>
      <c r="B87" s="38">
        <v>2500000</v>
      </c>
      <c r="C87" s="11" t="s">
        <v>742</v>
      </c>
      <c r="D87" s="11">
        <v>1</v>
      </c>
      <c r="E87" s="11">
        <f t="shared" si="6"/>
        <v>147</v>
      </c>
      <c r="F87" s="11">
        <f t="shared" si="5"/>
        <v>1</v>
      </c>
      <c r="G87" s="11">
        <f t="shared" si="4"/>
        <v>365000000</v>
      </c>
    </row>
    <row r="88" spans="1:7" x14ac:dyDescent="0.25">
      <c r="A88" s="11" t="s">
        <v>633</v>
      </c>
      <c r="B88" s="38">
        <v>78340</v>
      </c>
      <c r="C88" s="11" t="s">
        <v>743</v>
      </c>
      <c r="D88" s="11">
        <v>5</v>
      </c>
      <c r="E88" s="11">
        <f t="shared" si="6"/>
        <v>146</v>
      </c>
      <c r="F88" s="11">
        <f t="shared" si="5"/>
        <v>1</v>
      </c>
      <c r="G88" s="11">
        <f t="shared" si="4"/>
        <v>11359300</v>
      </c>
    </row>
    <row r="89" spans="1:7" x14ac:dyDescent="0.25">
      <c r="A89" s="11" t="s">
        <v>750</v>
      </c>
      <c r="B89" s="38">
        <v>15000000</v>
      </c>
      <c r="C89" s="11" t="s">
        <v>751</v>
      </c>
      <c r="D89" s="11">
        <v>25</v>
      </c>
      <c r="E89" s="11">
        <f t="shared" si="6"/>
        <v>141</v>
      </c>
      <c r="F89" s="11">
        <f t="shared" si="5"/>
        <v>1</v>
      </c>
      <c r="G89" s="11">
        <f t="shared" si="4"/>
        <v>2100000000</v>
      </c>
    </row>
    <row r="90" spans="1:7" x14ac:dyDescent="0.25">
      <c r="A90" s="11" t="s">
        <v>634</v>
      </c>
      <c r="B90" s="38">
        <v>244846</v>
      </c>
      <c r="C90" s="11" t="s">
        <v>785</v>
      </c>
      <c r="D90" s="11">
        <v>29</v>
      </c>
      <c r="E90" s="11">
        <f t="shared" si="6"/>
        <v>116</v>
      </c>
      <c r="F90" s="11">
        <f t="shared" si="5"/>
        <v>1</v>
      </c>
      <c r="G90" s="11">
        <f t="shared" si="4"/>
        <v>28157290</v>
      </c>
    </row>
    <row r="91" spans="1:7" x14ac:dyDescent="0.25">
      <c r="A91" s="11" t="s">
        <v>829</v>
      </c>
      <c r="B91" s="38">
        <v>272155</v>
      </c>
      <c r="C91" s="11" t="s">
        <v>831</v>
      </c>
      <c r="D91" s="11">
        <v>30</v>
      </c>
      <c r="E91" s="11">
        <f t="shared" si="6"/>
        <v>87</v>
      </c>
      <c r="F91" s="11">
        <f t="shared" si="5"/>
        <v>1</v>
      </c>
      <c r="G91" s="11">
        <f t="shared" si="4"/>
        <v>23405330</v>
      </c>
    </row>
    <row r="92" spans="1:7" x14ac:dyDescent="0.25">
      <c r="A92" s="11" t="s">
        <v>870</v>
      </c>
      <c r="B92" s="38">
        <v>3000000</v>
      </c>
      <c r="C92" s="11" t="s">
        <v>872</v>
      </c>
      <c r="D92" s="11">
        <v>0</v>
      </c>
      <c r="E92" s="11">
        <f t="shared" si="6"/>
        <v>57</v>
      </c>
      <c r="F92" s="11">
        <f t="shared" si="5"/>
        <v>1</v>
      </c>
      <c r="G92" s="11">
        <f t="shared" si="4"/>
        <v>168000000</v>
      </c>
    </row>
    <row r="93" spans="1:7" x14ac:dyDescent="0.25">
      <c r="A93" s="11" t="s">
        <v>870</v>
      </c>
      <c r="B93" s="35">
        <v>274385</v>
      </c>
      <c r="C93" s="11" t="s">
        <v>264</v>
      </c>
      <c r="D93" s="11">
        <v>1</v>
      </c>
      <c r="E93" s="11">
        <f t="shared" si="6"/>
        <v>57</v>
      </c>
      <c r="F93" s="11">
        <f t="shared" si="5"/>
        <v>1</v>
      </c>
      <c r="G93" s="11">
        <f t="shared" si="4"/>
        <v>15365560</v>
      </c>
    </row>
    <row r="94" spans="1:7" x14ac:dyDescent="0.25">
      <c r="A94" s="11" t="s">
        <v>879</v>
      </c>
      <c r="B94" s="38">
        <v>5500000</v>
      </c>
      <c r="C94" s="11" t="s">
        <v>880</v>
      </c>
      <c r="D94" s="11">
        <v>1</v>
      </c>
      <c r="E94" s="11">
        <f t="shared" si="6"/>
        <v>56</v>
      </c>
      <c r="F94" s="11">
        <f t="shared" si="5"/>
        <v>1</v>
      </c>
      <c r="G94" s="11">
        <f t="shared" si="4"/>
        <v>302500000</v>
      </c>
    </row>
    <row r="95" spans="1:7" x14ac:dyDescent="0.25">
      <c r="A95" s="11" t="s">
        <v>881</v>
      </c>
      <c r="B95" s="38">
        <v>3000000</v>
      </c>
      <c r="C95" s="11" t="s">
        <v>882</v>
      </c>
      <c r="D95" s="11">
        <v>1</v>
      </c>
      <c r="E95" s="11">
        <f t="shared" si="6"/>
        <v>55</v>
      </c>
      <c r="F95" s="11">
        <f t="shared" si="5"/>
        <v>1</v>
      </c>
      <c r="G95" s="11">
        <f t="shared" si="4"/>
        <v>162000000</v>
      </c>
    </row>
    <row r="96" spans="1:7" x14ac:dyDescent="0.25">
      <c r="A96" s="11" t="s">
        <v>883</v>
      </c>
      <c r="B96" s="38">
        <v>3000000</v>
      </c>
      <c r="C96" s="11" t="s">
        <v>884</v>
      </c>
      <c r="D96" s="11">
        <v>1</v>
      </c>
      <c r="E96" s="11">
        <f t="shared" si="6"/>
        <v>54</v>
      </c>
      <c r="F96" s="11">
        <f t="shared" si="5"/>
        <v>1</v>
      </c>
      <c r="G96" s="11">
        <f t="shared" si="4"/>
        <v>159000000</v>
      </c>
    </row>
    <row r="97" spans="1:7" x14ac:dyDescent="0.25">
      <c r="A97" s="11" t="s">
        <v>885</v>
      </c>
      <c r="B97" s="38">
        <v>3000000</v>
      </c>
      <c r="C97" s="11" t="s">
        <v>886</v>
      </c>
      <c r="D97" s="11">
        <v>1</v>
      </c>
      <c r="E97" s="11">
        <f t="shared" si="6"/>
        <v>53</v>
      </c>
      <c r="F97" s="11">
        <f t="shared" si="5"/>
        <v>1</v>
      </c>
      <c r="G97" s="11">
        <f t="shared" si="4"/>
        <v>156000000</v>
      </c>
    </row>
    <row r="98" spans="1:7" x14ac:dyDescent="0.25">
      <c r="A98" s="11" t="s">
        <v>887</v>
      </c>
      <c r="B98" s="38">
        <v>3000000</v>
      </c>
      <c r="C98" s="11" t="s">
        <v>888</v>
      </c>
      <c r="D98" s="11">
        <v>1</v>
      </c>
      <c r="E98" s="11">
        <f t="shared" si="6"/>
        <v>52</v>
      </c>
      <c r="F98" s="11">
        <f t="shared" si="5"/>
        <v>1</v>
      </c>
      <c r="G98" s="11">
        <f t="shared" si="4"/>
        <v>153000000</v>
      </c>
    </row>
    <row r="99" spans="1:7" x14ac:dyDescent="0.25">
      <c r="A99" s="11" t="s">
        <v>889</v>
      </c>
      <c r="B99" s="38">
        <v>3000000</v>
      </c>
      <c r="C99" s="11" t="s">
        <v>890</v>
      </c>
      <c r="D99" s="11">
        <v>2</v>
      </c>
      <c r="E99" s="11">
        <f t="shared" si="6"/>
        <v>51</v>
      </c>
      <c r="F99" s="11">
        <f t="shared" si="5"/>
        <v>1</v>
      </c>
      <c r="G99" s="11">
        <f t="shared" si="4"/>
        <v>150000000</v>
      </c>
    </row>
    <row r="100" spans="1:7" x14ac:dyDescent="0.25">
      <c r="A100" s="11" t="s">
        <v>891</v>
      </c>
      <c r="B100" s="38">
        <v>999500</v>
      </c>
      <c r="C100" s="11" t="s">
        <v>905</v>
      </c>
      <c r="D100" s="11">
        <v>1</v>
      </c>
      <c r="E100" s="11">
        <f t="shared" si="6"/>
        <v>49</v>
      </c>
      <c r="F100" s="11">
        <f t="shared" si="5"/>
        <v>1</v>
      </c>
      <c r="G100" s="11">
        <f t="shared" si="4"/>
        <v>47976000</v>
      </c>
    </row>
    <row r="101" spans="1:7" ht="30" x14ac:dyDescent="0.25">
      <c r="A101" s="11" t="s">
        <v>904</v>
      </c>
      <c r="B101" s="38">
        <v>-1986700</v>
      </c>
      <c r="C101" s="74" t="s">
        <v>906</v>
      </c>
      <c r="D101" s="11">
        <v>21</v>
      </c>
      <c r="E101" s="11">
        <f t="shared" si="6"/>
        <v>48</v>
      </c>
      <c r="F101" s="11">
        <f t="shared" si="5"/>
        <v>0</v>
      </c>
      <c r="G101" s="11">
        <f t="shared" si="4"/>
        <v>-95361600</v>
      </c>
    </row>
    <row r="102" spans="1:7" ht="30" x14ac:dyDescent="0.25">
      <c r="A102" s="11" t="s">
        <v>908</v>
      </c>
      <c r="B102" s="38">
        <v>3000000</v>
      </c>
      <c r="C102" s="74" t="s">
        <v>909</v>
      </c>
      <c r="D102" s="11">
        <v>0</v>
      </c>
      <c r="E102" s="11">
        <f t="shared" si="6"/>
        <v>27</v>
      </c>
      <c r="F102" s="11">
        <f t="shared" si="5"/>
        <v>1</v>
      </c>
      <c r="G102" s="11">
        <f t="shared" si="4"/>
        <v>78000000</v>
      </c>
    </row>
    <row r="103" spans="1:7" x14ac:dyDescent="0.25">
      <c r="A103" s="11" t="s">
        <v>1065</v>
      </c>
      <c r="B103" s="38">
        <v>295500</v>
      </c>
      <c r="C103" s="74" t="s">
        <v>1066</v>
      </c>
      <c r="D103" s="11">
        <v>15</v>
      </c>
      <c r="E103" s="11">
        <f t="shared" si="6"/>
        <v>27</v>
      </c>
      <c r="F103" s="11">
        <f t="shared" si="5"/>
        <v>1</v>
      </c>
      <c r="G103" s="11">
        <f t="shared" si="4"/>
        <v>7683000</v>
      </c>
    </row>
    <row r="104" spans="1:7" x14ac:dyDescent="0.25">
      <c r="A104" s="11" t="s">
        <v>933</v>
      </c>
      <c r="B104" s="38">
        <v>-10000</v>
      </c>
      <c r="C104" s="74" t="s">
        <v>939</v>
      </c>
      <c r="D104" s="11">
        <v>6</v>
      </c>
      <c r="E104" s="11">
        <f t="shared" si="6"/>
        <v>12</v>
      </c>
      <c r="F104" s="11">
        <f t="shared" si="5"/>
        <v>0</v>
      </c>
      <c r="G104" s="11">
        <f t="shared" si="4"/>
        <v>-120000</v>
      </c>
    </row>
    <row r="105" spans="1:7" x14ac:dyDescent="0.25">
      <c r="A105" s="11" t="s">
        <v>941</v>
      </c>
      <c r="B105" s="38">
        <v>1999000</v>
      </c>
      <c r="C105" s="74" t="s">
        <v>942</v>
      </c>
      <c r="D105" s="11">
        <v>5</v>
      </c>
      <c r="E105" s="11">
        <f t="shared" si="6"/>
        <v>6</v>
      </c>
      <c r="F105" s="11">
        <f t="shared" si="5"/>
        <v>1</v>
      </c>
      <c r="G105" s="11">
        <f t="shared" si="4"/>
        <v>9995000</v>
      </c>
    </row>
    <row r="106" spans="1:7" x14ac:dyDescent="0.25">
      <c r="A106" s="11" t="s">
        <v>960</v>
      </c>
      <c r="B106" s="38">
        <v>-60000000</v>
      </c>
      <c r="C106" s="74" t="s">
        <v>1059</v>
      </c>
      <c r="D106" s="11">
        <v>0</v>
      </c>
      <c r="E106" s="11">
        <f t="shared" si="6"/>
        <v>1</v>
      </c>
      <c r="F106" s="11">
        <f t="shared" si="5"/>
        <v>0</v>
      </c>
      <c r="G106" s="11">
        <f t="shared" si="4"/>
        <v>-60000000</v>
      </c>
    </row>
    <row r="107" spans="1:7" x14ac:dyDescent="0.25">
      <c r="A107" s="11" t="s">
        <v>960</v>
      </c>
      <c r="B107" s="38">
        <v>5850000</v>
      </c>
      <c r="C107" s="74" t="s">
        <v>1063</v>
      </c>
      <c r="D107" s="11">
        <v>1</v>
      </c>
      <c r="E107" s="11">
        <f t="shared" si="6"/>
        <v>1</v>
      </c>
      <c r="F107" s="11">
        <f t="shared" si="5"/>
        <v>1</v>
      </c>
      <c r="G107" s="11">
        <f t="shared" si="4"/>
        <v>0</v>
      </c>
    </row>
    <row r="108" spans="1:7" x14ac:dyDescent="0.25">
      <c r="A108" s="11"/>
      <c r="B108" s="38"/>
      <c r="C108" s="74"/>
      <c r="D108" s="11">
        <v>0</v>
      </c>
      <c r="E108" s="11">
        <f t="shared" si="6"/>
        <v>0</v>
      </c>
      <c r="F108" s="11">
        <f t="shared" si="5"/>
        <v>0</v>
      </c>
      <c r="G108" s="11">
        <f t="shared" si="4"/>
        <v>0</v>
      </c>
    </row>
    <row r="109" spans="1:7" x14ac:dyDescent="0.25">
      <c r="A109" s="11"/>
      <c r="B109" s="38"/>
      <c r="C109" s="74"/>
      <c r="D109" s="11">
        <v>0</v>
      </c>
      <c r="E109" s="11">
        <f t="shared" si="6"/>
        <v>0</v>
      </c>
      <c r="F109" s="11">
        <f t="shared" si="5"/>
        <v>0</v>
      </c>
      <c r="G109" s="11">
        <f t="shared" si="4"/>
        <v>0</v>
      </c>
    </row>
    <row r="110" spans="1:7" x14ac:dyDescent="0.25">
      <c r="A110" s="11"/>
      <c r="B110" s="38"/>
      <c r="C110" s="74"/>
      <c r="D110" s="11">
        <v>0</v>
      </c>
      <c r="E110" s="11">
        <f t="shared" si="6"/>
        <v>0</v>
      </c>
      <c r="F110" s="11">
        <f t="shared" si="5"/>
        <v>0</v>
      </c>
      <c r="G110" s="11">
        <f t="shared" si="4"/>
        <v>0</v>
      </c>
    </row>
    <row r="111" spans="1:7" x14ac:dyDescent="0.25">
      <c r="A111" s="11"/>
      <c r="B111" s="38"/>
      <c r="C111" s="74"/>
      <c r="D111" s="11">
        <v>0</v>
      </c>
      <c r="E111" s="11">
        <f t="shared" si="6"/>
        <v>0</v>
      </c>
      <c r="F111" s="11">
        <f t="shared" si="5"/>
        <v>0</v>
      </c>
      <c r="G111" s="11">
        <f t="shared" si="4"/>
        <v>0</v>
      </c>
    </row>
    <row r="112" spans="1:7" x14ac:dyDescent="0.25">
      <c r="A112" s="11"/>
      <c r="B112" s="38"/>
      <c r="C112" s="74"/>
      <c r="D112" s="11">
        <v>0</v>
      </c>
      <c r="E112" s="11">
        <f t="shared" si="6"/>
        <v>0</v>
      </c>
      <c r="F112" s="11">
        <f t="shared" si="5"/>
        <v>0</v>
      </c>
      <c r="G112" s="11">
        <f t="shared" si="4"/>
        <v>0</v>
      </c>
    </row>
    <row r="113" spans="1:7" x14ac:dyDescent="0.25">
      <c r="A113" s="11"/>
      <c r="B113" s="38"/>
      <c r="C113" s="74"/>
      <c r="D113" s="11">
        <v>0</v>
      </c>
      <c r="E113" s="11">
        <f t="shared" si="6"/>
        <v>0</v>
      </c>
      <c r="F113" s="11">
        <f t="shared" si="5"/>
        <v>0</v>
      </c>
      <c r="G113" s="11">
        <f t="shared" si="4"/>
        <v>0</v>
      </c>
    </row>
    <row r="114" spans="1:7" x14ac:dyDescent="0.25">
      <c r="A114" s="11"/>
      <c r="B114" s="38"/>
      <c r="C114" s="74"/>
      <c r="D114" s="11">
        <v>0</v>
      </c>
      <c r="E114" s="11">
        <f t="shared" si="6"/>
        <v>0</v>
      </c>
      <c r="F114" s="11">
        <f t="shared" si="5"/>
        <v>0</v>
      </c>
      <c r="G114" s="11">
        <f t="shared" si="4"/>
        <v>0</v>
      </c>
    </row>
    <row r="115" spans="1:7" x14ac:dyDescent="0.25">
      <c r="A115" s="11" t="s">
        <v>25</v>
      </c>
      <c r="B115" s="38"/>
      <c r="C115" s="74"/>
      <c r="D115" s="11">
        <v>0</v>
      </c>
      <c r="E115" s="11">
        <f t="shared" si="6"/>
        <v>0</v>
      </c>
      <c r="F115" s="11">
        <f t="shared" si="5"/>
        <v>0</v>
      </c>
      <c r="G115" s="11">
        <f t="shared" si="4"/>
        <v>0</v>
      </c>
    </row>
    <row r="116" spans="1:7" x14ac:dyDescent="0.25">
      <c r="A116" s="11"/>
      <c r="B116" s="38"/>
      <c r="C116" s="74"/>
      <c r="D116" s="11">
        <v>0</v>
      </c>
      <c r="E116" s="11">
        <f t="shared" si="6"/>
        <v>0</v>
      </c>
      <c r="F116" s="11">
        <f t="shared" si="5"/>
        <v>0</v>
      </c>
      <c r="G116" s="11">
        <f t="shared" si="4"/>
        <v>0</v>
      </c>
    </row>
    <row r="117" spans="1:7" x14ac:dyDescent="0.25">
      <c r="A117" s="11"/>
      <c r="B117" s="38"/>
      <c r="C117" s="74"/>
      <c r="D117" s="11">
        <v>0</v>
      </c>
      <c r="E117" s="11">
        <f t="shared" si="6"/>
        <v>0</v>
      </c>
      <c r="F117" s="11">
        <f t="shared" si="5"/>
        <v>0</v>
      </c>
      <c r="G117" s="11">
        <f t="shared" si="4"/>
        <v>0</v>
      </c>
    </row>
    <row r="118" spans="1:7" x14ac:dyDescent="0.25">
      <c r="A118" s="11"/>
      <c r="B118" s="38"/>
      <c r="C118" s="74"/>
      <c r="D118" s="11">
        <v>0</v>
      </c>
      <c r="E118" s="11">
        <f t="shared" si="6"/>
        <v>0</v>
      </c>
      <c r="F118" s="11">
        <f t="shared" si="5"/>
        <v>0</v>
      </c>
      <c r="G118" s="11">
        <f t="shared" si="4"/>
        <v>0</v>
      </c>
    </row>
    <row r="119" spans="1:7" x14ac:dyDescent="0.25">
      <c r="A119" s="11"/>
      <c r="B119" s="38"/>
      <c r="C119" s="74"/>
      <c r="D119" s="11">
        <v>0</v>
      </c>
      <c r="E119" s="11">
        <f t="shared" si="6"/>
        <v>0</v>
      </c>
      <c r="F119" s="11">
        <f t="shared" si="5"/>
        <v>0</v>
      </c>
      <c r="G119" s="11">
        <f t="shared" si="4"/>
        <v>0</v>
      </c>
    </row>
    <row r="120" spans="1:7" x14ac:dyDescent="0.25">
      <c r="A120" s="11"/>
      <c r="B120" s="38"/>
      <c r="C120" s="74"/>
      <c r="D120" s="11">
        <v>0</v>
      </c>
      <c r="E120" s="11">
        <f t="shared" si="6"/>
        <v>0</v>
      </c>
      <c r="F120" s="11">
        <f t="shared" si="5"/>
        <v>0</v>
      </c>
      <c r="G120" s="11">
        <f t="shared" si="4"/>
        <v>0</v>
      </c>
    </row>
    <row r="121" spans="1:7" x14ac:dyDescent="0.25">
      <c r="A121" s="11" t="s">
        <v>25</v>
      </c>
      <c r="B121" s="38"/>
      <c r="C121" s="74"/>
      <c r="D121" s="11">
        <v>0</v>
      </c>
      <c r="E121" s="11">
        <f t="shared" si="6"/>
        <v>0</v>
      </c>
      <c r="F121" s="11">
        <f t="shared" si="5"/>
        <v>0</v>
      </c>
      <c r="G121" s="11">
        <f t="shared" si="4"/>
        <v>0</v>
      </c>
    </row>
    <row r="122" spans="1:7" x14ac:dyDescent="0.25">
      <c r="A122" s="11"/>
      <c r="B122" s="38"/>
      <c r="C122" s="74"/>
      <c r="D122" s="11">
        <v>0</v>
      </c>
      <c r="E122" s="11">
        <f t="shared" si="6"/>
        <v>0</v>
      </c>
      <c r="F122" s="11">
        <f t="shared" si="5"/>
        <v>0</v>
      </c>
      <c r="G122" s="11">
        <f t="shared" si="4"/>
        <v>0</v>
      </c>
    </row>
    <row r="123" spans="1:7" x14ac:dyDescent="0.25">
      <c r="A123" s="11"/>
      <c r="B123" s="38"/>
      <c r="C123" s="74"/>
      <c r="D123" s="11">
        <v>0</v>
      </c>
      <c r="E123" s="11">
        <f t="shared" si="6"/>
        <v>0</v>
      </c>
      <c r="F123" s="11">
        <f t="shared" si="5"/>
        <v>0</v>
      </c>
      <c r="G123" s="11">
        <f t="shared" si="4"/>
        <v>0</v>
      </c>
    </row>
    <row r="124" spans="1:7" x14ac:dyDescent="0.25">
      <c r="A124" s="11"/>
      <c r="B124" s="38"/>
      <c r="C124" s="11"/>
      <c r="D124" s="11">
        <v>0</v>
      </c>
      <c r="E124" s="11">
        <f t="shared" si="6"/>
        <v>0</v>
      </c>
      <c r="F124" s="11">
        <f t="shared" si="5"/>
        <v>0</v>
      </c>
      <c r="G124" s="11">
        <f t="shared" si="4"/>
        <v>0</v>
      </c>
    </row>
    <row r="125" spans="1:7" x14ac:dyDescent="0.25">
      <c r="A125" s="11"/>
      <c r="B125" s="11"/>
      <c r="C125" s="11"/>
      <c r="D125" s="11">
        <v>0</v>
      </c>
      <c r="E125" s="11">
        <f t="shared" si="6"/>
        <v>0</v>
      </c>
      <c r="F125" s="11">
        <f t="shared" si="5"/>
        <v>0</v>
      </c>
      <c r="G125" s="11">
        <f t="shared" si="4"/>
        <v>0</v>
      </c>
    </row>
    <row r="126" spans="1:7" x14ac:dyDescent="0.25">
      <c r="A126" s="11"/>
      <c r="B126" s="11"/>
      <c r="C126" s="11"/>
      <c r="D126" s="11">
        <v>0</v>
      </c>
      <c r="E126" s="11">
        <f t="shared" si="6"/>
        <v>0</v>
      </c>
      <c r="F126" s="11">
        <f t="shared" si="5"/>
        <v>0</v>
      </c>
      <c r="G126" s="11">
        <f t="shared" si="4"/>
        <v>0</v>
      </c>
    </row>
    <row r="127" spans="1:7" x14ac:dyDescent="0.25">
      <c r="A127" s="11"/>
      <c r="B127" s="29">
        <f>SUM(B2:B126)</f>
        <v>7314793</v>
      </c>
      <c r="C127" s="11"/>
      <c r="D127" s="11"/>
      <c r="E127" s="11"/>
      <c r="F127" s="11"/>
      <c r="G127" s="29">
        <f>SUM(G2:G126)</f>
        <v>20993681180</v>
      </c>
    </row>
    <row r="128" spans="1:7" x14ac:dyDescent="0.25">
      <c r="A128" s="11"/>
      <c r="B128" s="11" t="s">
        <v>283</v>
      </c>
      <c r="C128" s="11"/>
      <c r="D128" s="11"/>
      <c r="E128" s="11"/>
      <c r="F128" s="11"/>
      <c r="G128" s="11" t="s">
        <v>284</v>
      </c>
    </row>
    <row r="129" spans="1:7" x14ac:dyDescent="0.25">
      <c r="A129" s="11"/>
      <c r="B129" s="11"/>
      <c r="C129" s="11"/>
      <c r="D129" s="11"/>
      <c r="E129" s="11"/>
      <c r="F129" s="11"/>
      <c r="G129" s="11"/>
    </row>
    <row r="130" spans="1:7" x14ac:dyDescent="0.25">
      <c r="A130" s="11"/>
      <c r="B130" s="11"/>
      <c r="C130" s="11"/>
      <c r="D130" s="11"/>
      <c r="E130" s="11"/>
      <c r="F130" s="11"/>
      <c r="G130" s="3">
        <f>G127/E2</f>
        <v>44384103.974630021</v>
      </c>
    </row>
    <row r="131" spans="1:7" x14ac:dyDescent="0.25">
      <c r="A131" s="11"/>
      <c r="B131" s="11"/>
      <c r="C131" s="11"/>
      <c r="D131" s="11"/>
      <c r="E131" s="11"/>
      <c r="F131" s="11"/>
      <c r="G131" s="11" t="s">
        <v>286</v>
      </c>
    </row>
    <row r="134" spans="1:7" ht="30" x14ac:dyDescent="0.25">
      <c r="B134" s="73" t="s">
        <v>874</v>
      </c>
    </row>
    <row r="135" spans="1:7" x14ac:dyDescent="0.25">
      <c r="B135" s="7"/>
    </row>
    <row r="137" spans="1:7" x14ac:dyDescent="0.25">
      <c r="B137" s="7"/>
    </row>
    <row r="138" spans="1:7" x14ac:dyDescent="0.25">
      <c r="G138" t="s">
        <v>575</v>
      </c>
    </row>
    <row r="139" spans="1:7" x14ac:dyDescent="0.25">
      <c r="G139" s="38">
        <v>13400000000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4"/>
  <sheetViews>
    <sheetView topLeftCell="A44" workbookViewId="0">
      <selection activeCell="E84" sqref="E84"/>
    </sheetView>
  </sheetViews>
  <sheetFormatPr defaultRowHeight="15" x14ac:dyDescent="0.25"/>
  <cols>
    <col min="1" max="1" width="10.7109375" bestFit="1" customWidth="1"/>
    <col min="2" max="2" width="14.140625" bestFit="1" customWidth="1"/>
    <col min="3" max="3" width="27.28515625" bestFit="1" customWidth="1"/>
    <col min="4" max="4" width="10.28515625" bestFit="1" customWidth="1"/>
    <col min="5" max="5" width="17.85546875" bestFit="1" customWidth="1"/>
    <col min="6" max="6" width="12" bestFit="1" customWidth="1"/>
    <col min="7" max="7" width="15.85546875" bestFit="1" customWidth="1"/>
  </cols>
  <sheetData>
    <row r="1" spans="1:7" ht="31.5" customHeight="1" x14ac:dyDescent="0.25">
      <c r="A1" s="11" t="s">
        <v>180</v>
      </c>
      <c r="B1" s="11" t="s">
        <v>267</v>
      </c>
      <c r="C1" s="11" t="s">
        <v>8</v>
      </c>
      <c r="D1" s="36" t="s">
        <v>280</v>
      </c>
      <c r="E1" s="36" t="s">
        <v>281</v>
      </c>
      <c r="F1" s="36" t="s">
        <v>285</v>
      </c>
      <c r="G1" s="11" t="s">
        <v>282</v>
      </c>
    </row>
    <row r="2" spans="1:7" x14ac:dyDescent="0.25">
      <c r="A2" s="11" t="s">
        <v>292</v>
      </c>
      <c r="B2" s="3">
        <v>50000</v>
      </c>
      <c r="C2" s="11" t="s">
        <v>1</v>
      </c>
      <c r="D2" s="11">
        <v>45</v>
      </c>
      <c r="E2" s="11">
        <f>E3+D2</f>
        <v>404</v>
      </c>
      <c r="F2" s="11">
        <f>IF(B2&gt;0,1,0)</f>
        <v>1</v>
      </c>
      <c r="G2" s="11">
        <f>B2*(E2-F2)</f>
        <v>20150000</v>
      </c>
    </row>
    <row r="3" spans="1:7" x14ac:dyDescent="0.25">
      <c r="A3" s="11" t="s">
        <v>472</v>
      </c>
      <c r="B3" s="3">
        <v>673</v>
      </c>
      <c r="C3" s="11" t="s">
        <v>938</v>
      </c>
      <c r="D3" s="11">
        <v>32</v>
      </c>
      <c r="E3" s="11">
        <f t="shared" ref="E3:E45" si="0">E4+D3</f>
        <v>359</v>
      </c>
      <c r="F3" s="11">
        <f t="shared" ref="F3:F69" si="1">IF(B3&gt;0,1,0)</f>
        <v>1</v>
      </c>
      <c r="G3" s="11">
        <f t="shared" ref="G3:G69" si="2">B3*(E3-F3)</f>
        <v>240934</v>
      </c>
    </row>
    <row r="4" spans="1:7" x14ac:dyDescent="0.25">
      <c r="A4" s="11" t="s">
        <v>510</v>
      </c>
      <c r="B4" s="3">
        <v>503</v>
      </c>
      <c r="C4" s="11" t="s">
        <v>938</v>
      </c>
      <c r="D4" s="11">
        <v>31</v>
      </c>
      <c r="E4" s="11">
        <f t="shared" si="0"/>
        <v>327</v>
      </c>
      <c r="F4" s="11">
        <f t="shared" si="1"/>
        <v>1</v>
      </c>
      <c r="G4" s="11">
        <f t="shared" si="2"/>
        <v>163978</v>
      </c>
    </row>
    <row r="5" spans="1:7" x14ac:dyDescent="0.25">
      <c r="A5" s="11" t="s">
        <v>551</v>
      </c>
      <c r="B5" s="3">
        <v>478</v>
      </c>
      <c r="C5" s="11" t="s">
        <v>938</v>
      </c>
      <c r="D5" s="11">
        <v>31</v>
      </c>
      <c r="E5" s="11">
        <f t="shared" si="0"/>
        <v>296</v>
      </c>
      <c r="F5" s="11">
        <f t="shared" si="1"/>
        <v>1</v>
      </c>
      <c r="G5" s="11">
        <f t="shared" si="2"/>
        <v>141010</v>
      </c>
    </row>
    <row r="6" spans="1:7" x14ac:dyDescent="0.25">
      <c r="A6" s="11" t="s">
        <v>585</v>
      </c>
      <c r="B6" s="3">
        <v>482</v>
      </c>
      <c r="C6" s="11" t="s">
        <v>938</v>
      </c>
      <c r="D6" s="11">
        <v>31</v>
      </c>
      <c r="E6" s="11">
        <f t="shared" si="0"/>
        <v>265</v>
      </c>
      <c r="F6" s="11">
        <f t="shared" si="1"/>
        <v>1</v>
      </c>
      <c r="G6" s="11">
        <f t="shared" si="2"/>
        <v>127248</v>
      </c>
    </row>
    <row r="7" spans="1:7" x14ac:dyDescent="0.25">
      <c r="A7" s="11" t="s">
        <v>628</v>
      </c>
      <c r="B7" s="3">
        <v>487</v>
      </c>
      <c r="C7" s="11" t="s">
        <v>938</v>
      </c>
      <c r="D7" s="11">
        <v>31</v>
      </c>
      <c r="E7" s="11">
        <f t="shared" si="0"/>
        <v>234</v>
      </c>
      <c r="F7" s="11">
        <f t="shared" si="1"/>
        <v>1</v>
      </c>
      <c r="G7" s="11">
        <f t="shared" si="2"/>
        <v>113471</v>
      </c>
    </row>
    <row r="8" spans="1:7" x14ac:dyDescent="0.25">
      <c r="A8" s="11" t="s">
        <v>631</v>
      </c>
      <c r="B8" s="3">
        <v>491</v>
      </c>
      <c r="C8" s="11" t="s">
        <v>938</v>
      </c>
      <c r="D8" s="11">
        <v>31</v>
      </c>
      <c r="E8" s="11">
        <f t="shared" si="0"/>
        <v>203</v>
      </c>
      <c r="F8" s="11">
        <f t="shared" si="1"/>
        <v>1</v>
      </c>
      <c r="G8" s="11">
        <f t="shared" si="2"/>
        <v>99182</v>
      </c>
    </row>
    <row r="9" spans="1:7" x14ac:dyDescent="0.25">
      <c r="A9" s="11" t="s">
        <v>632</v>
      </c>
      <c r="B9" s="3">
        <v>496</v>
      </c>
      <c r="C9" s="11" t="s">
        <v>938</v>
      </c>
      <c r="D9" s="11">
        <v>30</v>
      </c>
      <c r="E9" s="11">
        <f t="shared" si="0"/>
        <v>172</v>
      </c>
      <c r="F9" s="11">
        <f t="shared" si="1"/>
        <v>1</v>
      </c>
      <c r="G9" s="11">
        <f t="shared" si="2"/>
        <v>84816</v>
      </c>
    </row>
    <row r="10" spans="1:7" x14ac:dyDescent="0.25">
      <c r="A10" s="11" t="s">
        <v>633</v>
      </c>
      <c r="B10" s="3">
        <v>440</v>
      </c>
      <c r="C10" s="11" t="s">
        <v>938</v>
      </c>
      <c r="D10" s="11">
        <v>30</v>
      </c>
      <c r="E10" s="11">
        <f t="shared" si="0"/>
        <v>142</v>
      </c>
      <c r="F10" s="11">
        <f t="shared" si="1"/>
        <v>1</v>
      </c>
      <c r="G10" s="11">
        <f t="shared" si="2"/>
        <v>62040</v>
      </c>
    </row>
    <row r="11" spans="1:7" x14ac:dyDescent="0.25">
      <c r="A11" s="11" t="s">
        <v>634</v>
      </c>
      <c r="B11" s="3">
        <v>444</v>
      </c>
      <c r="C11" s="11" t="s">
        <v>938</v>
      </c>
      <c r="D11" s="11">
        <v>25</v>
      </c>
      <c r="E11" s="11">
        <f t="shared" si="0"/>
        <v>112</v>
      </c>
      <c r="F11" s="11">
        <f t="shared" si="1"/>
        <v>1</v>
      </c>
      <c r="G11" s="11">
        <f t="shared" si="2"/>
        <v>49284</v>
      </c>
    </row>
    <row r="12" spans="1:7" x14ac:dyDescent="0.25">
      <c r="A12" s="11" t="s">
        <v>816</v>
      </c>
      <c r="B12" s="3">
        <v>-10000</v>
      </c>
      <c r="C12" s="11" t="s">
        <v>503</v>
      </c>
      <c r="D12" s="11">
        <v>4</v>
      </c>
      <c r="E12" s="11">
        <f t="shared" si="0"/>
        <v>87</v>
      </c>
      <c r="F12" s="11">
        <f t="shared" si="1"/>
        <v>0</v>
      </c>
      <c r="G12" s="11">
        <f t="shared" si="2"/>
        <v>-870000</v>
      </c>
    </row>
    <row r="13" spans="1:7" x14ac:dyDescent="0.25">
      <c r="A13" s="11" t="s">
        <v>922</v>
      </c>
      <c r="B13" s="3">
        <v>436</v>
      </c>
      <c r="C13" s="11" t="s">
        <v>831</v>
      </c>
      <c r="D13" s="11">
        <v>3</v>
      </c>
      <c r="E13" s="11">
        <f t="shared" si="0"/>
        <v>83</v>
      </c>
      <c r="F13" s="11">
        <f t="shared" si="1"/>
        <v>1</v>
      </c>
      <c r="G13" s="11">
        <f t="shared" si="2"/>
        <v>35752</v>
      </c>
    </row>
    <row r="14" spans="1:7" x14ac:dyDescent="0.25">
      <c r="A14" s="11" t="s">
        <v>834</v>
      </c>
      <c r="B14" s="3">
        <v>1000000</v>
      </c>
      <c r="C14" s="11" t="s">
        <v>837</v>
      </c>
      <c r="D14" s="11">
        <v>3</v>
      </c>
      <c r="E14" s="11">
        <f t="shared" si="0"/>
        <v>80</v>
      </c>
      <c r="F14" s="11">
        <f t="shared" si="1"/>
        <v>1</v>
      </c>
      <c r="G14" s="11">
        <f t="shared" si="2"/>
        <v>79000000</v>
      </c>
    </row>
    <row r="15" spans="1:7" x14ac:dyDescent="0.25">
      <c r="A15" s="11" t="s">
        <v>839</v>
      </c>
      <c r="B15" s="3">
        <v>-95000</v>
      </c>
      <c r="C15" s="11" t="s">
        <v>503</v>
      </c>
      <c r="D15" s="11">
        <v>0</v>
      </c>
      <c r="E15" s="11">
        <f t="shared" si="0"/>
        <v>77</v>
      </c>
      <c r="F15" s="11">
        <f t="shared" si="1"/>
        <v>0</v>
      </c>
      <c r="G15" s="11">
        <f t="shared" si="2"/>
        <v>-7315000</v>
      </c>
    </row>
    <row r="16" spans="1:7" x14ac:dyDescent="0.25">
      <c r="A16" s="11" t="s">
        <v>839</v>
      </c>
      <c r="B16" s="3">
        <v>-70600</v>
      </c>
      <c r="C16" s="11" t="s">
        <v>840</v>
      </c>
      <c r="D16" s="11">
        <v>0</v>
      </c>
      <c r="E16" s="11">
        <f t="shared" si="0"/>
        <v>77</v>
      </c>
      <c r="F16" s="11">
        <f t="shared" si="1"/>
        <v>0</v>
      </c>
      <c r="G16" s="11">
        <f t="shared" si="2"/>
        <v>-5436200</v>
      </c>
    </row>
    <row r="17" spans="1:7" x14ac:dyDescent="0.25">
      <c r="A17" s="11" t="s">
        <v>839</v>
      </c>
      <c r="B17" s="3">
        <v>-450030</v>
      </c>
      <c r="C17" s="11" t="s">
        <v>841</v>
      </c>
      <c r="D17" s="11">
        <v>2</v>
      </c>
      <c r="E17" s="11">
        <f t="shared" si="0"/>
        <v>77</v>
      </c>
      <c r="F17" s="11">
        <f t="shared" si="1"/>
        <v>0</v>
      </c>
      <c r="G17" s="11">
        <f t="shared" si="2"/>
        <v>-34652310</v>
      </c>
    </row>
    <row r="18" spans="1:7" x14ac:dyDescent="0.25">
      <c r="A18" s="11" t="s">
        <v>842</v>
      </c>
      <c r="B18" s="3">
        <v>-109047</v>
      </c>
      <c r="C18" s="11" t="s">
        <v>506</v>
      </c>
      <c r="D18" s="11">
        <v>1</v>
      </c>
      <c r="E18" s="11">
        <f t="shared" si="0"/>
        <v>75</v>
      </c>
      <c r="F18" s="11">
        <f t="shared" si="1"/>
        <v>0</v>
      </c>
      <c r="G18" s="11">
        <f t="shared" si="2"/>
        <v>-8178525</v>
      </c>
    </row>
    <row r="19" spans="1:7" x14ac:dyDescent="0.25">
      <c r="A19" s="11" t="s">
        <v>845</v>
      </c>
      <c r="B19" s="3">
        <v>-26000</v>
      </c>
      <c r="C19" s="11" t="s">
        <v>846</v>
      </c>
      <c r="D19" s="11">
        <v>3</v>
      </c>
      <c r="E19" s="11">
        <f t="shared" si="0"/>
        <v>74</v>
      </c>
      <c r="F19" s="11">
        <f t="shared" si="1"/>
        <v>0</v>
      </c>
      <c r="G19" s="11">
        <f t="shared" si="2"/>
        <v>-1924000</v>
      </c>
    </row>
    <row r="20" spans="1:7" x14ac:dyDescent="0.25">
      <c r="A20" s="11" t="s">
        <v>850</v>
      </c>
      <c r="B20" s="3">
        <v>-80000</v>
      </c>
      <c r="C20" s="11" t="s">
        <v>503</v>
      </c>
      <c r="D20" s="11">
        <v>2</v>
      </c>
      <c r="E20" s="11">
        <f t="shared" si="0"/>
        <v>71</v>
      </c>
      <c r="F20" s="11">
        <f t="shared" si="1"/>
        <v>0</v>
      </c>
      <c r="G20" s="11">
        <f t="shared" si="2"/>
        <v>-5680000</v>
      </c>
    </row>
    <row r="21" spans="1:7" x14ac:dyDescent="0.25">
      <c r="A21" s="11" t="s">
        <v>852</v>
      </c>
      <c r="B21" s="3">
        <v>-95000</v>
      </c>
      <c r="C21" s="11" t="s">
        <v>503</v>
      </c>
      <c r="D21" s="11">
        <v>2</v>
      </c>
      <c r="E21" s="11">
        <f t="shared" si="0"/>
        <v>69</v>
      </c>
      <c r="F21" s="11">
        <f t="shared" si="1"/>
        <v>0</v>
      </c>
      <c r="G21" s="11">
        <f t="shared" si="2"/>
        <v>-6555000</v>
      </c>
    </row>
    <row r="22" spans="1:7" x14ac:dyDescent="0.25">
      <c r="A22" s="11" t="s">
        <v>855</v>
      </c>
      <c r="B22" s="3">
        <v>-15670</v>
      </c>
      <c r="C22" s="11" t="s">
        <v>656</v>
      </c>
      <c r="D22" s="11">
        <v>1</v>
      </c>
      <c r="E22" s="11">
        <f t="shared" si="0"/>
        <v>67</v>
      </c>
      <c r="F22" s="11">
        <f t="shared" si="1"/>
        <v>0</v>
      </c>
      <c r="G22" s="11">
        <f t="shared" si="2"/>
        <v>-1049890</v>
      </c>
    </row>
    <row r="23" spans="1:7" x14ac:dyDescent="0.25">
      <c r="A23" s="11" t="s">
        <v>858</v>
      </c>
      <c r="B23" s="3">
        <v>-95500</v>
      </c>
      <c r="C23" s="11" t="s">
        <v>859</v>
      </c>
      <c r="D23" s="11">
        <v>1</v>
      </c>
      <c r="E23" s="11">
        <f t="shared" si="0"/>
        <v>66</v>
      </c>
      <c r="F23" s="11">
        <f t="shared" si="1"/>
        <v>0</v>
      </c>
      <c r="G23" s="11">
        <f t="shared" si="2"/>
        <v>-6303000</v>
      </c>
    </row>
    <row r="24" spans="1:7" x14ac:dyDescent="0.25">
      <c r="A24" s="11" t="s">
        <v>860</v>
      </c>
      <c r="B24" s="3">
        <v>2000000</v>
      </c>
      <c r="C24" s="11" t="s">
        <v>861</v>
      </c>
      <c r="D24" s="11">
        <v>0</v>
      </c>
      <c r="E24" s="11">
        <f t="shared" si="0"/>
        <v>65</v>
      </c>
      <c r="F24" s="11">
        <f t="shared" si="1"/>
        <v>1</v>
      </c>
      <c r="G24" s="11">
        <f t="shared" si="2"/>
        <v>128000000</v>
      </c>
    </row>
    <row r="25" spans="1:7" x14ac:dyDescent="0.25">
      <c r="A25" s="11" t="s">
        <v>860</v>
      </c>
      <c r="B25" s="3">
        <v>-131450</v>
      </c>
      <c r="C25" s="11" t="s">
        <v>863</v>
      </c>
      <c r="D25" s="11">
        <v>6</v>
      </c>
      <c r="E25" s="11">
        <f t="shared" si="0"/>
        <v>65</v>
      </c>
      <c r="F25" s="11">
        <f t="shared" si="1"/>
        <v>0</v>
      </c>
      <c r="G25" s="11">
        <f t="shared" si="2"/>
        <v>-8544250</v>
      </c>
    </row>
    <row r="26" spans="1:7" x14ac:dyDescent="0.25">
      <c r="A26" s="11" t="s">
        <v>865</v>
      </c>
      <c r="B26" s="3">
        <v>-15120</v>
      </c>
      <c r="C26" s="11" t="s">
        <v>656</v>
      </c>
      <c r="D26" s="11">
        <v>2</v>
      </c>
      <c r="E26" s="11">
        <f t="shared" si="0"/>
        <v>59</v>
      </c>
      <c r="F26" s="11">
        <f t="shared" si="1"/>
        <v>0</v>
      </c>
      <c r="G26" s="11">
        <f t="shared" si="2"/>
        <v>-892080</v>
      </c>
    </row>
    <row r="27" spans="1:7" x14ac:dyDescent="0.25">
      <c r="A27" s="11" t="s">
        <v>866</v>
      </c>
      <c r="B27" s="3">
        <v>-200000</v>
      </c>
      <c r="C27" s="11" t="s">
        <v>503</v>
      </c>
      <c r="D27" s="11">
        <v>1</v>
      </c>
      <c r="E27" s="11">
        <f t="shared" si="0"/>
        <v>57</v>
      </c>
      <c r="F27" s="11">
        <f t="shared" si="1"/>
        <v>0</v>
      </c>
      <c r="G27" s="11">
        <f t="shared" si="2"/>
        <v>-11400000</v>
      </c>
    </row>
    <row r="28" spans="1:7" x14ac:dyDescent="0.25">
      <c r="A28" s="11" t="s">
        <v>867</v>
      </c>
      <c r="B28" s="3">
        <v>-180500</v>
      </c>
      <c r="C28" s="11" t="s">
        <v>868</v>
      </c>
      <c r="D28" s="11">
        <v>3</v>
      </c>
      <c r="E28" s="11">
        <f t="shared" si="0"/>
        <v>56</v>
      </c>
      <c r="F28" s="11">
        <f t="shared" si="1"/>
        <v>0</v>
      </c>
      <c r="G28" s="11">
        <f t="shared" si="2"/>
        <v>-10108000</v>
      </c>
    </row>
    <row r="29" spans="1:7" x14ac:dyDescent="0.25">
      <c r="A29" s="11" t="s">
        <v>870</v>
      </c>
      <c r="B29" s="35">
        <v>7117</v>
      </c>
      <c r="C29" s="11" t="s">
        <v>877</v>
      </c>
      <c r="D29" s="11">
        <v>4</v>
      </c>
      <c r="E29" s="11">
        <f t="shared" si="0"/>
        <v>53</v>
      </c>
      <c r="F29" s="11">
        <f t="shared" si="1"/>
        <v>1</v>
      </c>
      <c r="G29" s="11">
        <f t="shared" si="2"/>
        <v>370084</v>
      </c>
    </row>
    <row r="30" spans="1:7" x14ac:dyDescent="0.25">
      <c r="A30" s="11" t="s">
        <v>885</v>
      </c>
      <c r="B30" s="3">
        <v>-10000</v>
      </c>
      <c r="C30" s="11" t="s">
        <v>503</v>
      </c>
      <c r="D30" s="11">
        <v>4</v>
      </c>
      <c r="E30" s="11">
        <f t="shared" si="0"/>
        <v>49</v>
      </c>
      <c r="F30" s="11">
        <f t="shared" si="1"/>
        <v>0</v>
      </c>
      <c r="G30" s="11">
        <f t="shared" si="2"/>
        <v>-490000</v>
      </c>
    </row>
    <row r="31" spans="1:7" x14ac:dyDescent="0.25">
      <c r="A31" s="11" t="s">
        <v>891</v>
      </c>
      <c r="B31" s="3">
        <v>-47053</v>
      </c>
      <c r="C31" s="11" t="s">
        <v>892</v>
      </c>
      <c r="D31" s="11">
        <v>6</v>
      </c>
      <c r="E31" s="11">
        <f t="shared" si="0"/>
        <v>45</v>
      </c>
      <c r="F31" s="11">
        <f t="shared" si="1"/>
        <v>0</v>
      </c>
      <c r="G31" s="11">
        <f t="shared" si="2"/>
        <v>-2117385</v>
      </c>
    </row>
    <row r="32" spans="1:7" x14ac:dyDescent="0.25">
      <c r="A32" s="11" t="s">
        <v>893</v>
      </c>
      <c r="B32" s="3">
        <v>-33870</v>
      </c>
      <c r="C32" s="11" t="s">
        <v>894</v>
      </c>
      <c r="D32" s="11">
        <v>4</v>
      </c>
      <c r="E32" s="11">
        <f t="shared" si="0"/>
        <v>39</v>
      </c>
      <c r="F32" s="11">
        <f t="shared" si="1"/>
        <v>0</v>
      </c>
      <c r="G32" s="11">
        <f t="shared" si="2"/>
        <v>-1320930</v>
      </c>
    </row>
    <row r="33" spans="1:9" x14ac:dyDescent="0.25">
      <c r="A33" s="11" t="s">
        <v>895</v>
      </c>
      <c r="B33" s="3">
        <v>-22000</v>
      </c>
      <c r="C33" s="11" t="s">
        <v>896</v>
      </c>
      <c r="D33" s="11">
        <v>0</v>
      </c>
      <c r="E33" s="11">
        <f t="shared" si="0"/>
        <v>35</v>
      </c>
      <c r="F33" s="11">
        <f t="shared" si="1"/>
        <v>0</v>
      </c>
      <c r="G33" s="11">
        <f t="shared" si="2"/>
        <v>-770000</v>
      </c>
    </row>
    <row r="34" spans="1:9" x14ac:dyDescent="0.25">
      <c r="A34" s="11" t="s">
        <v>895</v>
      </c>
      <c r="B34" s="3">
        <v>-250000</v>
      </c>
      <c r="C34" s="11" t="s">
        <v>897</v>
      </c>
      <c r="D34" s="11">
        <v>0</v>
      </c>
      <c r="E34" s="11">
        <f t="shared" si="0"/>
        <v>35</v>
      </c>
      <c r="F34" s="11">
        <f t="shared" si="1"/>
        <v>0</v>
      </c>
      <c r="G34" s="11">
        <f t="shared" si="2"/>
        <v>-8750000</v>
      </c>
    </row>
    <row r="35" spans="1:9" x14ac:dyDescent="0.25">
      <c r="A35" s="11" t="s">
        <v>895</v>
      </c>
      <c r="B35" s="3">
        <v>-650500</v>
      </c>
      <c r="C35" s="11" t="s">
        <v>898</v>
      </c>
      <c r="D35" s="11">
        <v>2</v>
      </c>
      <c r="E35" s="11">
        <f t="shared" si="0"/>
        <v>35</v>
      </c>
      <c r="F35" s="11">
        <f t="shared" si="1"/>
        <v>0</v>
      </c>
      <c r="G35" s="11">
        <f t="shared" si="2"/>
        <v>-22767500</v>
      </c>
    </row>
    <row r="36" spans="1:9" x14ac:dyDescent="0.25">
      <c r="A36" s="11" t="s">
        <v>899</v>
      </c>
      <c r="B36" s="3">
        <v>-200000</v>
      </c>
      <c r="C36" s="11" t="s">
        <v>503</v>
      </c>
      <c r="D36" s="11">
        <v>3</v>
      </c>
      <c r="E36" s="11">
        <f t="shared" si="0"/>
        <v>33</v>
      </c>
      <c r="F36" s="11">
        <f t="shared" si="1"/>
        <v>0</v>
      </c>
      <c r="G36" s="11">
        <f t="shared" si="2"/>
        <v>-6600000</v>
      </c>
    </row>
    <row r="37" spans="1:9" x14ac:dyDescent="0.25">
      <c r="A37" s="11" t="s">
        <v>900</v>
      </c>
      <c r="B37" s="3">
        <v>-200000</v>
      </c>
      <c r="C37" s="11" t="s">
        <v>503</v>
      </c>
      <c r="D37" s="11">
        <v>0</v>
      </c>
      <c r="E37" s="11">
        <f t="shared" si="0"/>
        <v>30</v>
      </c>
      <c r="F37" s="11">
        <f t="shared" si="1"/>
        <v>0</v>
      </c>
      <c r="G37" s="11">
        <f t="shared" si="2"/>
        <v>-6000000</v>
      </c>
    </row>
    <row r="38" spans="1:9" x14ac:dyDescent="0.25">
      <c r="A38" s="11" t="s">
        <v>923</v>
      </c>
      <c r="B38" s="3">
        <v>-26274</v>
      </c>
      <c r="C38" s="11" t="s">
        <v>61</v>
      </c>
      <c r="D38" s="11">
        <v>1</v>
      </c>
      <c r="E38" s="11">
        <f t="shared" si="0"/>
        <v>30</v>
      </c>
      <c r="F38" s="11">
        <f t="shared" si="1"/>
        <v>0</v>
      </c>
      <c r="G38" s="11">
        <f t="shared" si="2"/>
        <v>-788220</v>
      </c>
    </row>
    <row r="39" spans="1:9" x14ac:dyDescent="0.25">
      <c r="A39" s="11" t="s">
        <v>924</v>
      </c>
      <c r="B39" s="3">
        <v>-10070</v>
      </c>
      <c r="C39" s="11" t="s">
        <v>61</v>
      </c>
      <c r="D39" s="11">
        <v>1</v>
      </c>
      <c r="E39" s="11">
        <f t="shared" si="0"/>
        <v>29</v>
      </c>
      <c r="F39" s="11">
        <f t="shared" si="1"/>
        <v>0</v>
      </c>
      <c r="G39" s="11">
        <f t="shared" si="2"/>
        <v>-292030</v>
      </c>
    </row>
    <row r="40" spans="1:9" x14ac:dyDescent="0.25">
      <c r="A40" s="11" t="s">
        <v>925</v>
      </c>
      <c r="B40" s="3">
        <v>-30000</v>
      </c>
      <c r="C40" s="11" t="s">
        <v>926</v>
      </c>
      <c r="D40" s="11">
        <v>5</v>
      </c>
      <c r="E40" s="11">
        <f t="shared" si="0"/>
        <v>28</v>
      </c>
      <c r="F40" s="11">
        <f t="shared" si="1"/>
        <v>0</v>
      </c>
      <c r="G40" s="11">
        <f t="shared" si="2"/>
        <v>-840000</v>
      </c>
    </row>
    <row r="41" spans="1:9" x14ac:dyDescent="0.25">
      <c r="A41" s="11" t="s">
        <v>908</v>
      </c>
      <c r="B41" s="3">
        <v>7481</v>
      </c>
      <c r="C41" s="11" t="s">
        <v>927</v>
      </c>
      <c r="D41" s="11">
        <v>1</v>
      </c>
      <c r="E41" s="11">
        <f t="shared" si="0"/>
        <v>23</v>
      </c>
      <c r="F41" s="11">
        <f t="shared" si="1"/>
        <v>1</v>
      </c>
      <c r="G41" s="11">
        <f t="shared" si="2"/>
        <v>164582</v>
      </c>
    </row>
    <row r="42" spans="1:9" x14ac:dyDescent="0.25">
      <c r="A42" s="11" t="s">
        <v>911</v>
      </c>
      <c r="B42" s="3">
        <v>1000000</v>
      </c>
      <c r="C42" s="11" t="s">
        <v>912</v>
      </c>
      <c r="D42" s="11">
        <v>2</v>
      </c>
      <c r="E42" s="11">
        <f t="shared" si="0"/>
        <v>22</v>
      </c>
      <c r="F42" s="11">
        <f t="shared" si="1"/>
        <v>1</v>
      </c>
      <c r="G42" s="11">
        <f t="shared" si="2"/>
        <v>21000000</v>
      </c>
    </row>
    <row r="43" spans="1:9" x14ac:dyDescent="0.25">
      <c r="A43" s="11" t="s">
        <v>928</v>
      </c>
      <c r="B43" s="3">
        <v>-39330</v>
      </c>
      <c r="C43" s="11" t="s">
        <v>914</v>
      </c>
      <c r="D43" s="11">
        <v>3</v>
      </c>
      <c r="E43" s="11">
        <f t="shared" si="0"/>
        <v>20</v>
      </c>
      <c r="F43" s="11">
        <f t="shared" si="1"/>
        <v>0</v>
      </c>
      <c r="G43" s="11">
        <f t="shared" si="2"/>
        <v>-786600</v>
      </c>
    </row>
    <row r="44" spans="1:9" x14ac:dyDescent="0.25">
      <c r="A44" s="11" t="s">
        <v>929</v>
      </c>
      <c r="B44" s="3">
        <v>-35080</v>
      </c>
      <c r="C44" s="11" t="s">
        <v>61</v>
      </c>
      <c r="D44" s="11">
        <v>3</v>
      </c>
      <c r="E44" s="11">
        <f t="shared" si="0"/>
        <v>17</v>
      </c>
      <c r="F44" s="11">
        <f t="shared" si="1"/>
        <v>0</v>
      </c>
      <c r="G44" s="11">
        <f t="shared" si="2"/>
        <v>-596360</v>
      </c>
    </row>
    <row r="45" spans="1:9" x14ac:dyDescent="0.25">
      <c r="A45" s="11" t="s">
        <v>913</v>
      </c>
      <c r="B45" s="3">
        <v>-200000</v>
      </c>
      <c r="C45" s="11" t="s">
        <v>503</v>
      </c>
      <c r="D45" s="11">
        <v>1</v>
      </c>
      <c r="E45" s="11">
        <f t="shared" si="0"/>
        <v>14</v>
      </c>
      <c r="F45" s="11">
        <f t="shared" si="1"/>
        <v>0</v>
      </c>
      <c r="G45" s="11">
        <f t="shared" si="2"/>
        <v>-2800000</v>
      </c>
    </row>
    <row r="46" spans="1:9" x14ac:dyDescent="0.25">
      <c r="A46" s="11" t="s">
        <v>915</v>
      </c>
      <c r="B46" s="3">
        <v>-42370</v>
      </c>
      <c r="C46" s="11" t="s">
        <v>61</v>
      </c>
      <c r="D46" s="11">
        <v>1</v>
      </c>
      <c r="E46" s="11">
        <f>E47+D46</f>
        <v>13</v>
      </c>
      <c r="F46" s="11">
        <f t="shared" si="1"/>
        <v>0</v>
      </c>
      <c r="G46" s="11">
        <f t="shared" si="2"/>
        <v>-550810</v>
      </c>
    </row>
    <row r="47" spans="1:9" x14ac:dyDescent="0.25">
      <c r="A47" s="11" t="s">
        <v>930</v>
      </c>
      <c r="B47" s="3">
        <v>-42914</v>
      </c>
      <c r="C47" s="11" t="s">
        <v>61</v>
      </c>
      <c r="D47" s="11">
        <v>3</v>
      </c>
      <c r="E47" s="11">
        <f t="shared" ref="E47:E69" si="3">E48+D47</f>
        <v>12</v>
      </c>
      <c r="F47" s="11">
        <f t="shared" si="1"/>
        <v>0</v>
      </c>
      <c r="G47" s="11">
        <f t="shared" si="2"/>
        <v>-514968</v>
      </c>
    </row>
    <row r="48" spans="1:9" x14ac:dyDescent="0.25">
      <c r="A48" s="11" t="s">
        <v>931</v>
      </c>
      <c r="B48" s="3">
        <v>-83000</v>
      </c>
      <c r="C48" s="11" t="s">
        <v>932</v>
      </c>
      <c r="D48" s="11">
        <v>1</v>
      </c>
      <c r="E48" s="11">
        <f t="shared" si="3"/>
        <v>9</v>
      </c>
      <c r="F48" s="11">
        <f t="shared" si="1"/>
        <v>0</v>
      </c>
      <c r="G48" s="11">
        <f t="shared" si="2"/>
        <v>-747000</v>
      </c>
      <c r="I48" t="s">
        <v>25</v>
      </c>
    </row>
    <row r="49" spans="1:7" x14ac:dyDescent="0.25">
      <c r="A49" s="11" t="s">
        <v>933</v>
      </c>
      <c r="B49" s="3">
        <v>-95000</v>
      </c>
      <c r="C49" s="11" t="s">
        <v>503</v>
      </c>
      <c r="D49" s="11">
        <v>2</v>
      </c>
      <c r="E49" s="11">
        <f t="shared" si="3"/>
        <v>8</v>
      </c>
      <c r="F49" s="11">
        <f t="shared" si="1"/>
        <v>0</v>
      </c>
      <c r="G49" s="11">
        <f t="shared" si="2"/>
        <v>-760000</v>
      </c>
    </row>
    <row r="50" spans="1:7" x14ac:dyDescent="0.25">
      <c r="A50" s="11" t="s">
        <v>934</v>
      </c>
      <c r="B50" s="3">
        <v>-180000</v>
      </c>
      <c r="C50" s="11" t="s">
        <v>935</v>
      </c>
      <c r="D50" s="11">
        <v>0</v>
      </c>
      <c r="E50" s="11">
        <f t="shared" si="3"/>
        <v>6</v>
      </c>
      <c r="F50" s="11">
        <f t="shared" si="1"/>
        <v>0</v>
      </c>
      <c r="G50" s="11">
        <f t="shared" si="2"/>
        <v>-1080000</v>
      </c>
    </row>
    <row r="51" spans="1:7" x14ac:dyDescent="0.25">
      <c r="A51" s="11" t="s">
        <v>936</v>
      </c>
      <c r="B51" s="3">
        <v>-95000</v>
      </c>
      <c r="C51" s="11" t="s">
        <v>503</v>
      </c>
      <c r="D51" s="11">
        <v>2</v>
      </c>
      <c r="E51" s="11">
        <f t="shared" si="3"/>
        <v>6</v>
      </c>
      <c r="F51" s="11">
        <f t="shared" si="1"/>
        <v>0</v>
      </c>
      <c r="G51" s="11">
        <f t="shared" si="2"/>
        <v>-570000</v>
      </c>
    </row>
    <row r="52" spans="1:7" x14ac:dyDescent="0.25">
      <c r="A52" s="11" t="s">
        <v>937</v>
      </c>
      <c r="B52" s="3">
        <v>-12780</v>
      </c>
      <c r="C52" s="11" t="s">
        <v>61</v>
      </c>
      <c r="D52" s="11">
        <v>1</v>
      </c>
      <c r="E52" s="11">
        <f t="shared" si="3"/>
        <v>4</v>
      </c>
      <c r="F52" s="11">
        <f t="shared" si="1"/>
        <v>0</v>
      </c>
      <c r="G52" s="11">
        <f t="shared" si="2"/>
        <v>-51120</v>
      </c>
    </row>
    <row r="53" spans="1:7" x14ac:dyDescent="0.25">
      <c r="A53" s="11" t="s">
        <v>947</v>
      </c>
      <c r="B53" s="3">
        <v>-22000</v>
      </c>
      <c r="C53" s="11" t="s">
        <v>948</v>
      </c>
      <c r="D53" s="11">
        <v>1</v>
      </c>
      <c r="E53" s="11">
        <f t="shared" si="3"/>
        <v>3</v>
      </c>
      <c r="F53" s="11">
        <f t="shared" si="1"/>
        <v>0</v>
      </c>
      <c r="G53" s="11">
        <f t="shared" si="2"/>
        <v>-66000</v>
      </c>
    </row>
    <row r="54" spans="1:7" x14ac:dyDescent="0.25">
      <c r="A54" s="11" t="s">
        <v>941</v>
      </c>
      <c r="B54" s="3">
        <v>999000</v>
      </c>
      <c r="C54" s="11" t="s">
        <v>945</v>
      </c>
      <c r="D54" s="11">
        <v>0</v>
      </c>
      <c r="E54" s="11">
        <f t="shared" si="3"/>
        <v>2</v>
      </c>
      <c r="F54" s="11">
        <f t="shared" si="1"/>
        <v>1</v>
      </c>
      <c r="G54" s="11">
        <f t="shared" si="2"/>
        <v>999000</v>
      </c>
    </row>
    <row r="55" spans="1:7" x14ac:dyDescent="0.25">
      <c r="A55" s="11" t="s">
        <v>941</v>
      </c>
      <c r="B55" s="3">
        <v>106900</v>
      </c>
      <c r="C55" s="11" t="s">
        <v>946</v>
      </c>
      <c r="D55" s="11">
        <v>0</v>
      </c>
      <c r="E55" s="11">
        <f t="shared" si="3"/>
        <v>2</v>
      </c>
      <c r="F55" s="11">
        <f t="shared" si="1"/>
        <v>1</v>
      </c>
      <c r="G55" s="11">
        <f t="shared" si="2"/>
        <v>106900</v>
      </c>
    </row>
    <row r="56" spans="1:7" x14ac:dyDescent="0.25">
      <c r="A56" s="11" t="s">
        <v>941</v>
      </c>
      <c r="B56" s="3">
        <v>-163000</v>
      </c>
      <c r="C56" s="11" t="s">
        <v>464</v>
      </c>
      <c r="D56" s="11">
        <v>1</v>
      </c>
      <c r="E56" s="11">
        <f t="shared" si="3"/>
        <v>2</v>
      </c>
      <c r="F56" s="11">
        <f t="shared" si="1"/>
        <v>0</v>
      </c>
      <c r="G56" s="11">
        <f t="shared" si="2"/>
        <v>-326000</v>
      </c>
    </row>
    <row r="57" spans="1:7" x14ac:dyDescent="0.25">
      <c r="A57" s="11" t="s">
        <v>952</v>
      </c>
      <c r="B57" s="3">
        <v>-18400</v>
      </c>
      <c r="C57" s="11" t="s">
        <v>892</v>
      </c>
      <c r="D57" s="11">
        <v>1</v>
      </c>
      <c r="E57" s="11">
        <f t="shared" si="3"/>
        <v>1</v>
      </c>
      <c r="F57" s="11">
        <f t="shared" si="1"/>
        <v>0</v>
      </c>
      <c r="G57" s="11">
        <f t="shared" si="2"/>
        <v>-18400</v>
      </c>
    </row>
    <row r="58" spans="1:7" x14ac:dyDescent="0.25">
      <c r="A58" s="11" t="s">
        <v>962</v>
      </c>
      <c r="B58" s="3">
        <v>-457777</v>
      </c>
      <c r="C58" s="11" t="s">
        <v>954</v>
      </c>
      <c r="D58" s="11">
        <v>0</v>
      </c>
      <c r="E58" s="11">
        <f t="shared" si="3"/>
        <v>0</v>
      </c>
      <c r="F58" s="11">
        <f t="shared" si="1"/>
        <v>0</v>
      </c>
      <c r="G58" s="11">
        <f t="shared" si="2"/>
        <v>0</v>
      </c>
    </row>
    <row r="59" spans="1:7" x14ac:dyDescent="0.25">
      <c r="A59" s="11"/>
      <c r="B59" s="3"/>
      <c r="C59" s="11"/>
      <c r="D59" s="11"/>
      <c r="E59" s="11">
        <f t="shared" si="3"/>
        <v>0</v>
      </c>
      <c r="F59" s="11">
        <f t="shared" si="1"/>
        <v>0</v>
      </c>
      <c r="G59" s="11">
        <f t="shared" si="2"/>
        <v>0</v>
      </c>
    </row>
    <row r="60" spans="1:7" x14ac:dyDescent="0.25">
      <c r="A60" s="11"/>
      <c r="B60" s="3"/>
      <c r="C60" s="11"/>
      <c r="D60" s="11"/>
      <c r="E60" s="11">
        <f t="shared" si="3"/>
        <v>0</v>
      </c>
      <c r="F60" s="11">
        <f t="shared" si="1"/>
        <v>0</v>
      </c>
      <c r="G60" s="11">
        <f t="shared" si="2"/>
        <v>0</v>
      </c>
    </row>
    <row r="61" spans="1:7" x14ac:dyDescent="0.25">
      <c r="A61" s="11"/>
      <c r="B61" s="3"/>
      <c r="C61" s="11"/>
      <c r="D61" s="11"/>
      <c r="E61" s="11">
        <f t="shared" si="3"/>
        <v>0</v>
      </c>
      <c r="F61" s="11">
        <f t="shared" si="1"/>
        <v>0</v>
      </c>
      <c r="G61" s="11">
        <f t="shared" si="2"/>
        <v>0</v>
      </c>
    </row>
    <row r="62" spans="1:7" x14ac:dyDescent="0.25">
      <c r="A62" s="11" t="s">
        <v>25</v>
      </c>
      <c r="B62" s="3"/>
      <c r="C62" s="11"/>
      <c r="D62" s="11"/>
      <c r="E62" s="11">
        <f t="shared" si="3"/>
        <v>0</v>
      </c>
      <c r="F62" s="11">
        <f t="shared" si="1"/>
        <v>0</v>
      </c>
      <c r="G62" s="11">
        <f t="shared" si="2"/>
        <v>0</v>
      </c>
    </row>
    <row r="63" spans="1:7" x14ac:dyDescent="0.25">
      <c r="A63" s="11"/>
      <c r="B63" s="3"/>
      <c r="C63" s="11"/>
      <c r="D63" s="11"/>
      <c r="E63" s="11">
        <f t="shared" si="3"/>
        <v>0</v>
      </c>
      <c r="F63" s="11">
        <f t="shared" si="1"/>
        <v>0</v>
      </c>
      <c r="G63" s="11">
        <f t="shared" si="2"/>
        <v>0</v>
      </c>
    </row>
    <row r="64" spans="1:7" x14ac:dyDescent="0.25">
      <c r="A64" s="11"/>
      <c r="B64" s="3"/>
      <c r="C64" s="11"/>
      <c r="D64" s="11"/>
      <c r="E64" s="11">
        <f t="shared" si="3"/>
        <v>0</v>
      </c>
      <c r="F64" s="11">
        <f t="shared" si="1"/>
        <v>0</v>
      </c>
      <c r="G64" s="11">
        <f t="shared" si="2"/>
        <v>0</v>
      </c>
    </row>
    <row r="65" spans="1:7" x14ac:dyDescent="0.25">
      <c r="A65" s="11"/>
      <c r="B65" s="3"/>
      <c r="C65" s="11"/>
      <c r="D65" s="11"/>
      <c r="E65" s="11">
        <f t="shared" si="3"/>
        <v>0</v>
      </c>
      <c r="F65" s="11">
        <f t="shared" si="1"/>
        <v>0</v>
      </c>
      <c r="G65" s="11">
        <f t="shared" si="2"/>
        <v>0</v>
      </c>
    </row>
    <row r="66" spans="1:7" x14ac:dyDescent="0.25">
      <c r="A66" s="11" t="s">
        <v>25</v>
      </c>
      <c r="B66" s="3"/>
      <c r="C66" s="11"/>
      <c r="D66" s="11"/>
      <c r="E66" s="11">
        <f t="shared" si="3"/>
        <v>0</v>
      </c>
      <c r="F66" s="11">
        <f t="shared" si="1"/>
        <v>0</v>
      </c>
      <c r="G66" s="11">
        <f t="shared" si="2"/>
        <v>0</v>
      </c>
    </row>
    <row r="67" spans="1:7" x14ac:dyDescent="0.25">
      <c r="A67" s="11"/>
      <c r="B67" s="3"/>
      <c r="C67" s="11"/>
      <c r="D67" s="11"/>
      <c r="E67" s="11">
        <f t="shared" si="3"/>
        <v>0</v>
      </c>
      <c r="F67" s="11">
        <f t="shared" si="1"/>
        <v>0</v>
      </c>
      <c r="G67" s="11">
        <f t="shared" si="2"/>
        <v>0</v>
      </c>
    </row>
    <row r="68" spans="1:7" x14ac:dyDescent="0.25">
      <c r="A68" s="11"/>
      <c r="B68" s="3"/>
      <c r="C68" s="11"/>
      <c r="D68" s="11"/>
      <c r="E68" s="11">
        <f t="shared" si="3"/>
        <v>0</v>
      </c>
      <c r="F68" s="11">
        <f t="shared" si="1"/>
        <v>0</v>
      </c>
      <c r="G68" s="11">
        <f t="shared" si="2"/>
        <v>0</v>
      </c>
    </row>
    <row r="69" spans="1:7" x14ac:dyDescent="0.25">
      <c r="A69" s="11"/>
      <c r="B69" s="3"/>
      <c r="C69" s="11"/>
      <c r="D69" s="11"/>
      <c r="E69" s="11">
        <f t="shared" si="3"/>
        <v>0</v>
      </c>
      <c r="F69" s="11">
        <f t="shared" si="1"/>
        <v>0</v>
      </c>
      <c r="G69" s="11">
        <f t="shared" si="2"/>
        <v>0</v>
      </c>
    </row>
    <row r="70" spans="1:7" x14ac:dyDescent="0.25">
      <c r="A70" s="11"/>
      <c r="B70" s="29">
        <f>SUM(B2:B68)</f>
        <v>635093</v>
      </c>
      <c r="C70" s="11"/>
      <c r="D70" s="11"/>
      <c r="E70" s="11"/>
      <c r="F70" s="11"/>
      <c r="G70" s="29">
        <f>SUM(G2:G30)</f>
        <v>119239544</v>
      </c>
    </row>
    <row r="71" spans="1:7" x14ac:dyDescent="0.25">
      <c r="A71" s="11"/>
      <c r="B71" s="11" t="s">
        <v>283</v>
      </c>
      <c r="C71" s="11"/>
      <c r="D71" s="11"/>
      <c r="E71" s="11"/>
      <c r="F71" s="11"/>
      <c r="G71" s="11" t="s">
        <v>284</v>
      </c>
    </row>
    <row r="72" spans="1:7" x14ac:dyDescent="0.25">
      <c r="A72" s="11"/>
      <c r="B72" s="11"/>
      <c r="C72" s="11"/>
      <c r="D72" s="11"/>
      <c r="E72" s="11"/>
      <c r="F72" s="11"/>
      <c r="G72" s="11"/>
    </row>
    <row r="73" spans="1:7" x14ac:dyDescent="0.25">
      <c r="A73" s="11"/>
      <c r="B73" s="11"/>
      <c r="C73" s="11"/>
      <c r="D73" s="11"/>
      <c r="E73" s="11"/>
      <c r="F73" s="11"/>
      <c r="G73" s="3">
        <f>G70/E2</f>
        <v>295147.38613861386</v>
      </c>
    </row>
    <row r="74" spans="1:7" x14ac:dyDescent="0.25">
      <c r="A74" s="11"/>
      <c r="B74" s="11"/>
      <c r="C74" s="11"/>
      <c r="D74" s="11"/>
      <c r="E74" s="11"/>
      <c r="F74" s="11"/>
      <c r="G74" s="11" t="s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4"/>
  <sheetViews>
    <sheetView workbookViewId="0">
      <pane ySplit="1" topLeftCell="A171" activePane="bottomLeft" state="frozen"/>
      <selection pane="bottomLeft" activeCell="G188" sqref="G188"/>
    </sheetView>
  </sheetViews>
  <sheetFormatPr defaultRowHeight="15" x14ac:dyDescent="0.25"/>
  <cols>
    <col min="1" max="1" width="10.7109375" bestFit="1" customWidth="1"/>
    <col min="2" max="2" width="16.85546875" bestFit="1" customWidth="1"/>
    <col min="3" max="3" width="12.7109375" customWidth="1"/>
    <col min="4" max="4" width="16.7109375" customWidth="1"/>
    <col min="5" max="5" width="17.140625" customWidth="1"/>
    <col min="6" max="6" width="18.85546875" bestFit="1" customWidth="1"/>
    <col min="7" max="7" width="39.42578125" bestFit="1" customWidth="1"/>
    <col min="10" max="10" width="15.140625" bestFit="1" customWidth="1"/>
  </cols>
  <sheetData>
    <row r="1" spans="1:7" ht="29.25" customHeight="1" x14ac:dyDescent="0.25">
      <c r="A1" s="11" t="s">
        <v>180</v>
      </c>
      <c r="B1" s="11" t="s">
        <v>267</v>
      </c>
      <c r="C1" s="36" t="s">
        <v>280</v>
      </c>
      <c r="D1" s="36" t="s">
        <v>281</v>
      </c>
      <c r="E1" s="36" t="s">
        <v>285</v>
      </c>
      <c r="F1" s="11" t="s">
        <v>282</v>
      </c>
      <c r="G1" s="11" t="s">
        <v>8</v>
      </c>
    </row>
    <row r="2" spans="1:7" x14ac:dyDescent="0.25">
      <c r="A2" s="11" t="s">
        <v>295</v>
      </c>
      <c r="B2" s="3">
        <v>96700</v>
      </c>
      <c r="C2" s="11">
        <v>2</v>
      </c>
      <c r="D2" s="11">
        <f t="shared" ref="D2:D65" si="0">D3+C2</f>
        <v>656</v>
      </c>
      <c r="E2" s="11">
        <f>IF(B2&gt;0,1,0)</f>
        <v>1</v>
      </c>
      <c r="F2" s="11">
        <f>B2*(D2-E2)</f>
        <v>63338500</v>
      </c>
      <c r="G2" s="11" t="s">
        <v>1</v>
      </c>
    </row>
    <row r="3" spans="1:7" x14ac:dyDescent="0.25">
      <c r="A3" s="11" t="s">
        <v>395</v>
      </c>
      <c r="B3" s="3">
        <v>3000000</v>
      </c>
      <c r="C3" s="11">
        <v>3</v>
      </c>
      <c r="D3" s="11">
        <f t="shared" si="0"/>
        <v>654</v>
      </c>
      <c r="E3" s="11">
        <f t="shared" ref="E3:E66" si="1">IF(B3&gt;0,1,0)</f>
        <v>1</v>
      </c>
      <c r="F3" s="11">
        <f t="shared" ref="F3:F66" si="2">B3*(D3-E3)</f>
        <v>1959000000</v>
      </c>
      <c r="G3" s="11"/>
    </row>
    <row r="4" spans="1:7" x14ac:dyDescent="0.25">
      <c r="A4" s="11" t="s">
        <v>394</v>
      </c>
      <c r="B4" s="3">
        <v>-200000</v>
      </c>
      <c r="C4" s="11">
        <v>2</v>
      </c>
      <c r="D4" s="11">
        <f t="shared" si="0"/>
        <v>651</v>
      </c>
      <c r="E4" s="11">
        <f t="shared" si="1"/>
        <v>0</v>
      </c>
      <c r="F4" s="11">
        <f t="shared" si="2"/>
        <v>-130200000</v>
      </c>
      <c r="G4" s="11"/>
    </row>
    <row r="5" spans="1:7" x14ac:dyDescent="0.25">
      <c r="A5" s="11" t="s">
        <v>393</v>
      </c>
      <c r="B5" s="3">
        <v>-100000</v>
      </c>
      <c r="C5" s="11">
        <v>1</v>
      </c>
      <c r="D5" s="11">
        <f t="shared" si="0"/>
        <v>649</v>
      </c>
      <c r="E5" s="11">
        <f t="shared" si="1"/>
        <v>0</v>
      </c>
      <c r="F5" s="11">
        <f t="shared" si="2"/>
        <v>-64900000</v>
      </c>
      <c r="G5" s="11"/>
    </row>
    <row r="6" spans="1:7" x14ac:dyDescent="0.25">
      <c r="A6" s="11" t="s">
        <v>392</v>
      </c>
      <c r="B6" s="3">
        <v>-55000</v>
      </c>
      <c r="C6" s="11">
        <v>1</v>
      </c>
      <c r="D6" s="11">
        <f t="shared" si="0"/>
        <v>648</v>
      </c>
      <c r="E6" s="11">
        <f t="shared" si="1"/>
        <v>0</v>
      </c>
      <c r="F6" s="11">
        <f t="shared" si="2"/>
        <v>-35640000</v>
      </c>
      <c r="G6" s="11"/>
    </row>
    <row r="7" spans="1:7" x14ac:dyDescent="0.25">
      <c r="A7" s="11" t="s">
        <v>391</v>
      </c>
      <c r="B7" s="3">
        <v>-200000</v>
      </c>
      <c r="C7" s="11">
        <v>4</v>
      </c>
      <c r="D7" s="11">
        <f t="shared" si="0"/>
        <v>647</v>
      </c>
      <c r="E7" s="11">
        <f t="shared" si="1"/>
        <v>0</v>
      </c>
      <c r="F7" s="11">
        <f t="shared" si="2"/>
        <v>-129400000</v>
      </c>
      <c r="G7" s="11"/>
    </row>
    <row r="8" spans="1:7" x14ac:dyDescent="0.25">
      <c r="A8" s="11" t="s">
        <v>390</v>
      </c>
      <c r="B8" s="3">
        <v>-200000</v>
      </c>
      <c r="C8" s="11">
        <v>10</v>
      </c>
      <c r="D8" s="11">
        <f t="shared" si="0"/>
        <v>643</v>
      </c>
      <c r="E8" s="11">
        <f t="shared" si="1"/>
        <v>0</v>
      </c>
      <c r="F8" s="11">
        <f t="shared" si="2"/>
        <v>-128600000</v>
      </c>
      <c r="G8" s="11"/>
    </row>
    <row r="9" spans="1:7" x14ac:dyDescent="0.25">
      <c r="A9" s="11" t="s">
        <v>389</v>
      </c>
      <c r="B9" s="3">
        <v>-950500</v>
      </c>
      <c r="C9" s="11">
        <v>1</v>
      </c>
      <c r="D9" s="11">
        <f t="shared" si="0"/>
        <v>633</v>
      </c>
      <c r="E9" s="11">
        <f t="shared" si="1"/>
        <v>0</v>
      </c>
      <c r="F9" s="11">
        <f t="shared" si="2"/>
        <v>-601666500</v>
      </c>
      <c r="G9" s="11"/>
    </row>
    <row r="10" spans="1:7" x14ac:dyDescent="0.25">
      <c r="A10" s="23" t="s">
        <v>388</v>
      </c>
      <c r="B10" s="3">
        <v>2000000</v>
      </c>
      <c r="C10" s="11">
        <v>2</v>
      </c>
      <c r="D10" s="11">
        <f t="shared" si="0"/>
        <v>632</v>
      </c>
      <c r="E10" s="11">
        <f t="shared" si="1"/>
        <v>1</v>
      </c>
      <c r="F10" s="11">
        <f t="shared" si="2"/>
        <v>1262000000</v>
      </c>
      <c r="G10" s="11"/>
    </row>
    <row r="11" spans="1:7" x14ac:dyDescent="0.25">
      <c r="A11" s="11" t="s">
        <v>387</v>
      </c>
      <c r="B11" s="3">
        <v>-1065000</v>
      </c>
      <c r="C11" s="11">
        <v>3</v>
      </c>
      <c r="D11" s="11">
        <f t="shared" si="0"/>
        <v>630</v>
      </c>
      <c r="E11" s="11">
        <f t="shared" si="1"/>
        <v>0</v>
      </c>
      <c r="F11" s="11">
        <f t="shared" si="2"/>
        <v>-670950000</v>
      </c>
      <c r="G11" s="11"/>
    </row>
    <row r="12" spans="1:7" x14ac:dyDescent="0.25">
      <c r="A12" s="11" t="s">
        <v>386</v>
      </c>
      <c r="B12" s="3">
        <v>-45000</v>
      </c>
      <c r="C12" s="11">
        <v>1</v>
      </c>
      <c r="D12" s="11">
        <f t="shared" si="0"/>
        <v>627</v>
      </c>
      <c r="E12" s="11">
        <f t="shared" si="1"/>
        <v>0</v>
      </c>
      <c r="F12" s="11">
        <f t="shared" si="2"/>
        <v>-28215000</v>
      </c>
      <c r="G12" s="11"/>
    </row>
    <row r="13" spans="1:7" x14ac:dyDescent="0.25">
      <c r="A13" s="11" t="s">
        <v>385</v>
      </c>
      <c r="B13" s="3">
        <v>-2000700</v>
      </c>
      <c r="C13" s="11">
        <v>4</v>
      </c>
      <c r="D13" s="11">
        <f t="shared" si="0"/>
        <v>626</v>
      </c>
      <c r="E13" s="11">
        <f t="shared" si="1"/>
        <v>0</v>
      </c>
      <c r="F13" s="11">
        <f t="shared" si="2"/>
        <v>-1252438200</v>
      </c>
      <c r="G13" s="11"/>
    </row>
    <row r="14" spans="1:7" x14ac:dyDescent="0.25">
      <c r="A14" s="23" t="s">
        <v>384</v>
      </c>
      <c r="B14" s="3">
        <v>-200000</v>
      </c>
      <c r="C14" s="11">
        <v>2</v>
      </c>
      <c r="D14" s="11">
        <f t="shared" si="0"/>
        <v>622</v>
      </c>
      <c r="E14" s="11">
        <f t="shared" si="1"/>
        <v>0</v>
      </c>
      <c r="F14" s="11">
        <f t="shared" si="2"/>
        <v>-124400000</v>
      </c>
      <c r="G14" s="11"/>
    </row>
    <row r="15" spans="1:7" x14ac:dyDescent="0.25">
      <c r="A15" s="11" t="s">
        <v>383</v>
      </c>
      <c r="B15" s="3">
        <v>2000000</v>
      </c>
      <c r="C15" s="11">
        <v>0</v>
      </c>
      <c r="D15" s="11">
        <f t="shared" si="0"/>
        <v>620</v>
      </c>
      <c r="E15" s="11">
        <f t="shared" si="1"/>
        <v>1</v>
      </c>
      <c r="F15" s="11">
        <f t="shared" si="2"/>
        <v>1238000000</v>
      </c>
      <c r="G15" s="11"/>
    </row>
    <row r="16" spans="1:7" x14ac:dyDescent="0.25">
      <c r="A16" s="11" t="s">
        <v>383</v>
      </c>
      <c r="B16" s="3">
        <v>2000000</v>
      </c>
      <c r="C16" s="11">
        <v>0</v>
      </c>
      <c r="D16" s="11">
        <f t="shared" si="0"/>
        <v>620</v>
      </c>
      <c r="E16" s="11">
        <f t="shared" si="1"/>
        <v>1</v>
      </c>
      <c r="F16" s="11">
        <f t="shared" si="2"/>
        <v>1238000000</v>
      </c>
      <c r="G16" s="11"/>
    </row>
    <row r="17" spans="1:12" x14ac:dyDescent="0.25">
      <c r="A17" s="11" t="s">
        <v>383</v>
      </c>
      <c r="B17" s="3">
        <v>1200000</v>
      </c>
      <c r="C17" s="11">
        <v>0</v>
      </c>
      <c r="D17" s="11">
        <f t="shared" si="0"/>
        <v>620</v>
      </c>
      <c r="E17" s="11">
        <f t="shared" si="1"/>
        <v>1</v>
      </c>
      <c r="F17" s="11">
        <f t="shared" si="2"/>
        <v>742800000</v>
      </c>
      <c r="G17" s="11"/>
    </row>
    <row r="18" spans="1:12" x14ac:dyDescent="0.25">
      <c r="A18" s="11" t="s">
        <v>383</v>
      </c>
      <c r="B18" s="3">
        <v>1000000</v>
      </c>
      <c r="C18" s="11">
        <v>1</v>
      </c>
      <c r="D18" s="11">
        <f t="shared" si="0"/>
        <v>620</v>
      </c>
      <c r="E18" s="11">
        <f t="shared" si="1"/>
        <v>1</v>
      </c>
      <c r="F18" s="11">
        <f t="shared" si="2"/>
        <v>619000000</v>
      </c>
      <c r="G18" s="11"/>
    </row>
    <row r="19" spans="1:12" x14ac:dyDescent="0.25">
      <c r="A19" s="11" t="s">
        <v>382</v>
      </c>
      <c r="B19" s="3">
        <v>3000000</v>
      </c>
      <c r="C19" s="11">
        <v>0</v>
      </c>
      <c r="D19" s="11">
        <f t="shared" si="0"/>
        <v>619</v>
      </c>
      <c r="E19" s="11">
        <f t="shared" si="1"/>
        <v>1</v>
      </c>
      <c r="F19" s="11">
        <f t="shared" si="2"/>
        <v>1854000000</v>
      </c>
      <c r="G19" s="11"/>
      <c r="L19" t="s">
        <v>25</v>
      </c>
    </row>
    <row r="20" spans="1:12" x14ac:dyDescent="0.25">
      <c r="A20" s="11" t="s">
        <v>382</v>
      </c>
      <c r="B20" s="3">
        <v>-432700</v>
      </c>
      <c r="C20" s="11">
        <v>0</v>
      </c>
      <c r="D20" s="11">
        <f t="shared" si="0"/>
        <v>619</v>
      </c>
      <c r="E20" s="11">
        <f t="shared" si="1"/>
        <v>0</v>
      </c>
      <c r="F20" s="11">
        <f t="shared" si="2"/>
        <v>-267841300</v>
      </c>
      <c r="G20" s="11"/>
    </row>
    <row r="21" spans="1:12" x14ac:dyDescent="0.25">
      <c r="A21" s="11" t="s">
        <v>382</v>
      </c>
      <c r="B21" s="3">
        <v>-432700</v>
      </c>
      <c r="C21" s="11">
        <v>0</v>
      </c>
      <c r="D21" s="11">
        <f t="shared" si="0"/>
        <v>619</v>
      </c>
      <c r="E21" s="11">
        <f t="shared" si="1"/>
        <v>0</v>
      </c>
      <c r="F21" s="11">
        <f t="shared" si="2"/>
        <v>-267841300</v>
      </c>
      <c r="G21" s="11"/>
    </row>
    <row r="22" spans="1:12" x14ac:dyDescent="0.25">
      <c r="A22" s="11" t="s">
        <v>382</v>
      </c>
      <c r="B22" s="3">
        <v>-432700</v>
      </c>
      <c r="C22" s="11">
        <v>0</v>
      </c>
      <c r="D22" s="11">
        <f t="shared" si="0"/>
        <v>619</v>
      </c>
      <c r="E22" s="11">
        <f t="shared" si="1"/>
        <v>0</v>
      </c>
      <c r="F22" s="11">
        <f t="shared" si="2"/>
        <v>-267841300</v>
      </c>
      <c r="G22" s="11"/>
    </row>
    <row r="23" spans="1:12" x14ac:dyDescent="0.25">
      <c r="A23" s="11" t="s">
        <v>382</v>
      </c>
      <c r="B23" s="3">
        <v>-432700</v>
      </c>
      <c r="C23" s="11">
        <v>0</v>
      </c>
      <c r="D23" s="11">
        <f t="shared" si="0"/>
        <v>619</v>
      </c>
      <c r="E23" s="11">
        <f t="shared" si="1"/>
        <v>0</v>
      </c>
      <c r="F23" s="11">
        <f t="shared" si="2"/>
        <v>-267841300</v>
      </c>
      <c r="G23" s="11"/>
    </row>
    <row r="24" spans="1:12" x14ac:dyDescent="0.25">
      <c r="A24" s="11" t="s">
        <v>382</v>
      </c>
      <c r="B24" s="3">
        <v>-432700</v>
      </c>
      <c r="C24" s="11">
        <v>0</v>
      </c>
      <c r="D24" s="11">
        <f t="shared" si="0"/>
        <v>619</v>
      </c>
      <c r="E24" s="11">
        <f t="shared" si="1"/>
        <v>0</v>
      </c>
      <c r="F24" s="11">
        <f t="shared" si="2"/>
        <v>-267841300</v>
      </c>
      <c r="G24" s="11"/>
    </row>
    <row r="25" spans="1:12" x14ac:dyDescent="0.25">
      <c r="A25" s="11" t="s">
        <v>382</v>
      </c>
      <c r="B25" s="3">
        <v>-200000</v>
      </c>
      <c r="C25" s="11">
        <v>1</v>
      </c>
      <c r="D25" s="11">
        <f t="shared" si="0"/>
        <v>619</v>
      </c>
      <c r="E25" s="11">
        <f t="shared" si="1"/>
        <v>0</v>
      </c>
      <c r="F25" s="11">
        <f t="shared" si="2"/>
        <v>-123800000</v>
      </c>
      <c r="G25" s="11"/>
    </row>
    <row r="26" spans="1:12" x14ac:dyDescent="0.25">
      <c r="A26" s="11" t="s">
        <v>381</v>
      </c>
      <c r="B26" s="3">
        <v>3000000</v>
      </c>
      <c r="C26" s="11">
        <v>2</v>
      </c>
      <c r="D26" s="11">
        <f t="shared" si="0"/>
        <v>618</v>
      </c>
      <c r="E26" s="11">
        <f t="shared" si="1"/>
        <v>1</v>
      </c>
      <c r="F26" s="11">
        <f t="shared" si="2"/>
        <v>1851000000</v>
      </c>
      <c r="G26" s="11"/>
    </row>
    <row r="27" spans="1:12" x14ac:dyDescent="0.25">
      <c r="A27" s="11" t="s">
        <v>380</v>
      </c>
      <c r="B27" s="3">
        <v>-200000</v>
      </c>
      <c r="C27" s="11">
        <v>1</v>
      </c>
      <c r="D27" s="11">
        <f t="shared" si="0"/>
        <v>616</v>
      </c>
      <c r="E27" s="11">
        <f t="shared" si="1"/>
        <v>0</v>
      </c>
      <c r="F27" s="11">
        <f t="shared" si="2"/>
        <v>-123200000</v>
      </c>
      <c r="G27" s="11"/>
    </row>
    <row r="28" spans="1:12" x14ac:dyDescent="0.25">
      <c r="A28" s="11" t="s">
        <v>379</v>
      </c>
      <c r="B28" s="3">
        <v>2000000</v>
      </c>
      <c r="C28" s="11">
        <v>1</v>
      </c>
      <c r="D28" s="11">
        <f t="shared" si="0"/>
        <v>615</v>
      </c>
      <c r="E28" s="11">
        <f t="shared" si="1"/>
        <v>1</v>
      </c>
      <c r="F28" s="11">
        <f t="shared" si="2"/>
        <v>1228000000</v>
      </c>
      <c r="G28" s="11"/>
    </row>
    <row r="29" spans="1:12" x14ac:dyDescent="0.25">
      <c r="A29" s="11" t="s">
        <v>378</v>
      </c>
      <c r="B29" s="3">
        <v>-7000800</v>
      </c>
      <c r="C29" s="11">
        <v>1</v>
      </c>
      <c r="D29" s="11">
        <f t="shared" si="0"/>
        <v>614</v>
      </c>
      <c r="E29" s="11">
        <f t="shared" si="1"/>
        <v>0</v>
      </c>
      <c r="F29" s="11">
        <f t="shared" si="2"/>
        <v>-4298491200</v>
      </c>
      <c r="G29" s="11"/>
    </row>
    <row r="30" spans="1:12" x14ac:dyDescent="0.25">
      <c r="A30" s="23" t="s">
        <v>54</v>
      </c>
      <c r="B30" s="3">
        <v>-3000900</v>
      </c>
      <c r="C30" s="11">
        <v>1</v>
      </c>
      <c r="D30" s="11">
        <f t="shared" si="0"/>
        <v>613</v>
      </c>
      <c r="E30" s="11">
        <f t="shared" si="1"/>
        <v>0</v>
      </c>
      <c r="F30" s="11">
        <f t="shared" si="2"/>
        <v>-1839551700</v>
      </c>
      <c r="G30" s="11"/>
    </row>
    <row r="31" spans="1:12" x14ac:dyDescent="0.25">
      <c r="A31" s="11" t="s">
        <v>55</v>
      </c>
      <c r="B31" s="3">
        <v>-1695900</v>
      </c>
      <c r="C31" s="11">
        <v>3</v>
      </c>
      <c r="D31" s="11">
        <f t="shared" si="0"/>
        <v>612</v>
      </c>
      <c r="E31" s="11">
        <f t="shared" si="1"/>
        <v>0</v>
      </c>
      <c r="F31" s="11">
        <f t="shared" si="2"/>
        <v>-1037890800</v>
      </c>
      <c r="G31" s="11"/>
    </row>
    <row r="32" spans="1:12" x14ac:dyDescent="0.25">
      <c r="A32" s="11" t="s">
        <v>377</v>
      </c>
      <c r="B32" s="3">
        <v>994300</v>
      </c>
      <c r="C32" s="11">
        <v>6</v>
      </c>
      <c r="D32" s="11">
        <f t="shared" si="0"/>
        <v>609</v>
      </c>
      <c r="E32" s="11">
        <f t="shared" si="1"/>
        <v>1</v>
      </c>
      <c r="F32" s="11">
        <f t="shared" si="2"/>
        <v>604534400</v>
      </c>
      <c r="G32" s="11"/>
    </row>
    <row r="33" spans="1:7" x14ac:dyDescent="0.25">
      <c r="A33" s="11" t="s">
        <v>375</v>
      </c>
      <c r="B33" s="3">
        <v>35091</v>
      </c>
      <c r="C33" s="11">
        <v>1</v>
      </c>
      <c r="D33" s="11">
        <f t="shared" si="0"/>
        <v>603</v>
      </c>
      <c r="E33" s="11">
        <f t="shared" si="1"/>
        <v>1</v>
      </c>
      <c r="F33" s="11">
        <f t="shared" si="2"/>
        <v>21124782</v>
      </c>
      <c r="G33" s="11" t="s">
        <v>376</v>
      </c>
    </row>
    <row r="34" spans="1:7" x14ac:dyDescent="0.25">
      <c r="A34" s="11" t="s">
        <v>374</v>
      </c>
      <c r="B34" s="3">
        <v>-850000</v>
      </c>
      <c r="C34" s="11">
        <v>8</v>
      </c>
      <c r="D34" s="11">
        <f t="shared" si="0"/>
        <v>602</v>
      </c>
      <c r="E34" s="11">
        <f t="shared" si="1"/>
        <v>0</v>
      </c>
      <c r="F34" s="11">
        <f t="shared" si="2"/>
        <v>-511700000</v>
      </c>
      <c r="G34" s="11"/>
    </row>
    <row r="35" spans="1:7" x14ac:dyDescent="0.25">
      <c r="A35" s="23" t="s">
        <v>373</v>
      </c>
      <c r="B35" s="3">
        <v>-190500</v>
      </c>
      <c r="C35" s="11">
        <v>1</v>
      </c>
      <c r="D35" s="11">
        <f t="shared" si="0"/>
        <v>594</v>
      </c>
      <c r="E35" s="11">
        <f t="shared" si="1"/>
        <v>0</v>
      </c>
      <c r="F35" s="11">
        <f t="shared" si="2"/>
        <v>-113157000</v>
      </c>
      <c r="G35" s="11"/>
    </row>
    <row r="36" spans="1:7" x14ac:dyDescent="0.25">
      <c r="A36" s="37" t="s">
        <v>80</v>
      </c>
      <c r="B36" s="3">
        <v>200000</v>
      </c>
      <c r="C36" s="11">
        <v>0</v>
      </c>
      <c r="D36" s="11">
        <f t="shared" si="0"/>
        <v>593</v>
      </c>
      <c r="E36" s="11">
        <f t="shared" si="1"/>
        <v>1</v>
      </c>
      <c r="F36" s="11">
        <f t="shared" si="2"/>
        <v>118400000</v>
      </c>
      <c r="G36" s="11"/>
    </row>
    <row r="37" spans="1:7" x14ac:dyDescent="0.25">
      <c r="A37" s="11" t="s">
        <v>80</v>
      </c>
      <c r="B37" s="3">
        <v>-200000</v>
      </c>
      <c r="C37" s="11">
        <v>22</v>
      </c>
      <c r="D37" s="11">
        <f t="shared" si="0"/>
        <v>593</v>
      </c>
      <c r="E37" s="11">
        <f t="shared" si="1"/>
        <v>0</v>
      </c>
      <c r="F37" s="11">
        <f t="shared" si="2"/>
        <v>-118600000</v>
      </c>
      <c r="G37" s="11"/>
    </row>
    <row r="38" spans="1:7" x14ac:dyDescent="0.25">
      <c r="A38" s="23" t="s">
        <v>372</v>
      </c>
      <c r="B38" s="3">
        <v>300806</v>
      </c>
      <c r="C38" s="11">
        <v>1</v>
      </c>
      <c r="D38" s="11">
        <f t="shared" si="0"/>
        <v>571</v>
      </c>
      <c r="E38" s="11">
        <f t="shared" si="1"/>
        <v>1</v>
      </c>
      <c r="F38" s="11">
        <f t="shared" si="2"/>
        <v>171459420</v>
      </c>
      <c r="G38" s="11" t="s">
        <v>396</v>
      </c>
    </row>
    <row r="39" spans="1:7" x14ac:dyDescent="0.25">
      <c r="A39" s="11" t="s">
        <v>371</v>
      </c>
      <c r="B39" s="3">
        <v>-95000</v>
      </c>
      <c r="C39" s="11">
        <v>0</v>
      </c>
      <c r="D39" s="11">
        <f t="shared" si="0"/>
        <v>570</v>
      </c>
      <c r="E39" s="11">
        <f t="shared" si="1"/>
        <v>0</v>
      </c>
      <c r="F39" s="11">
        <f t="shared" si="2"/>
        <v>-54150000</v>
      </c>
      <c r="G39" s="11"/>
    </row>
    <row r="40" spans="1:7" x14ac:dyDescent="0.25">
      <c r="A40" s="11" t="s">
        <v>371</v>
      </c>
      <c r="B40" s="3">
        <v>-88103</v>
      </c>
      <c r="C40" s="11">
        <v>5</v>
      </c>
      <c r="D40" s="11">
        <f t="shared" si="0"/>
        <v>570</v>
      </c>
      <c r="E40" s="11">
        <f t="shared" si="1"/>
        <v>0</v>
      </c>
      <c r="F40" s="11">
        <f t="shared" si="2"/>
        <v>-50218710</v>
      </c>
      <c r="G40" s="11"/>
    </row>
    <row r="41" spans="1:7" x14ac:dyDescent="0.25">
      <c r="A41" s="11" t="s">
        <v>370</v>
      </c>
      <c r="B41" s="3">
        <v>-120000</v>
      </c>
      <c r="C41" s="11">
        <v>22</v>
      </c>
      <c r="D41" s="11">
        <f t="shared" si="0"/>
        <v>565</v>
      </c>
      <c r="E41" s="11">
        <f t="shared" si="1"/>
        <v>0</v>
      </c>
      <c r="F41" s="11">
        <f t="shared" si="2"/>
        <v>-67800000</v>
      </c>
      <c r="G41" s="11"/>
    </row>
    <row r="42" spans="1:7" x14ac:dyDescent="0.25">
      <c r="A42" s="11" t="s">
        <v>369</v>
      </c>
      <c r="B42" s="3">
        <v>1000204</v>
      </c>
      <c r="C42" s="11">
        <v>4</v>
      </c>
      <c r="D42" s="11">
        <f t="shared" si="0"/>
        <v>543</v>
      </c>
      <c r="E42" s="11">
        <f t="shared" si="1"/>
        <v>1</v>
      </c>
      <c r="F42" s="11">
        <f t="shared" si="2"/>
        <v>542110568</v>
      </c>
      <c r="G42" s="11" t="s">
        <v>397</v>
      </c>
    </row>
    <row r="43" spans="1:7" x14ac:dyDescent="0.25">
      <c r="A43" s="11" t="s">
        <v>368</v>
      </c>
      <c r="B43" s="3">
        <v>-80000</v>
      </c>
      <c r="C43" s="11">
        <v>4</v>
      </c>
      <c r="D43" s="11">
        <f t="shared" si="0"/>
        <v>539</v>
      </c>
      <c r="E43" s="11">
        <f t="shared" si="1"/>
        <v>0</v>
      </c>
      <c r="F43" s="11">
        <f t="shared" si="2"/>
        <v>-43120000</v>
      </c>
      <c r="G43" s="11"/>
    </row>
    <row r="44" spans="1:7" x14ac:dyDescent="0.25">
      <c r="A44" s="11" t="s">
        <v>367</v>
      </c>
      <c r="B44" s="3">
        <v>-211029</v>
      </c>
      <c r="C44" s="11">
        <v>1</v>
      </c>
      <c r="D44" s="11">
        <f t="shared" si="0"/>
        <v>535</v>
      </c>
      <c r="E44" s="11">
        <f t="shared" si="1"/>
        <v>0</v>
      </c>
      <c r="F44" s="11">
        <f t="shared" si="2"/>
        <v>-112900515</v>
      </c>
      <c r="G44" s="11"/>
    </row>
    <row r="45" spans="1:7" x14ac:dyDescent="0.25">
      <c r="A45" s="11" t="s">
        <v>366</v>
      </c>
      <c r="B45" s="3">
        <v>-200000</v>
      </c>
      <c r="C45" s="11">
        <v>1</v>
      </c>
      <c r="D45" s="11">
        <f t="shared" si="0"/>
        <v>534</v>
      </c>
      <c r="E45" s="11">
        <f t="shared" si="1"/>
        <v>0</v>
      </c>
      <c r="F45" s="11">
        <f t="shared" si="2"/>
        <v>-106800000</v>
      </c>
      <c r="G45" s="11"/>
    </row>
    <row r="46" spans="1:7" x14ac:dyDescent="0.25">
      <c r="A46" s="11" t="s">
        <v>365</v>
      </c>
      <c r="B46" s="3">
        <v>-95000</v>
      </c>
      <c r="C46" s="11">
        <v>2</v>
      </c>
      <c r="D46" s="11">
        <f t="shared" si="0"/>
        <v>533</v>
      </c>
      <c r="E46" s="11">
        <f t="shared" si="1"/>
        <v>0</v>
      </c>
      <c r="F46" s="11">
        <f t="shared" si="2"/>
        <v>-50635000</v>
      </c>
      <c r="G46" s="11"/>
    </row>
    <row r="47" spans="1:7" x14ac:dyDescent="0.25">
      <c r="A47" s="11" t="s">
        <v>364</v>
      </c>
      <c r="B47" s="3">
        <v>-45000</v>
      </c>
      <c r="C47" s="11">
        <v>0</v>
      </c>
      <c r="D47" s="11">
        <f t="shared" si="0"/>
        <v>531</v>
      </c>
      <c r="E47" s="11">
        <f t="shared" si="1"/>
        <v>0</v>
      </c>
      <c r="F47" s="11">
        <f t="shared" si="2"/>
        <v>-23895000</v>
      </c>
      <c r="G47" s="11"/>
    </row>
    <row r="48" spans="1:7" x14ac:dyDescent="0.25">
      <c r="A48" s="11" t="s">
        <v>364</v>
      </c>
      <c r="B48" s="3">
        <v>-64180</v>
      </c>
      <c r="C48" s="11">
        <v>3</v>
      </c>
      <c r="D48" s="11">
        <f t="shared" si="0"/>
        <v>531</v>
      </c>
      <c r="E48" s="11">
        <f t="shared" si="1"/>
        <v>0</v>
      </c>
      <c r="F48" s="11">
        <f t="shared" si="2"/>
        <v>-34079580</v>
      </c>
      <c r="G48" s="11"/>
    </row>
    <row r="49" spans="1:7" x14ac:dyDescent="0.25">
      <c r="A49" s="11" t="s">
        <v>363</v>
      </c>
      <c r="B49" s="3">
        <v>-27484</v>
      </c>
      <c r="C49" s="11">
        <v>1</v>
      </c>
      <c r="D49" s="11">
        <f t="shared" si="0"/>
        <v>528</v>
      </c>
      <c r="E49" s="11">
        <f t="shared" si="1"/>
        <v>0</v>
      </c>
      <c r="F49" s="11">
        <f t="shared" si="2"/>
        <v>-14511552</v>
      </c>
      <c r="G49" s="11"/>
    </row>
    <row r="50" spans="1:7" x14ac:dyDescent="0.25">
      <c r="A50" s="11" t="s">
        <v>362</v>
      </c>
      <c r="B50" s="3">
        <v>-141000</v>
      </c>
      <c r="C50" s="11">
        <v>0</v>
      </c>
      <c r="D50" s="11">
        <f t="shared" si="0"/>
        <v>527</v>
      </c>
      <c r="E50" s="11">
        <f t="shared" si="1"/>
        <v>0</v>
      </c>
      <c r="F50" s="11">
        <f t="shared" si="2"/>
        <v>-74307000</v>
      </c>
      <c r="G50" s="11"/>
    </row>
    <row r="51" spans="1:7" x14ac:dyDescent="0.25">
      <c r="A51" s="11" t="s">
        <v>362</v>
      </c>
      <c r="B51" s="3">
        <v>-26746</v>
      </c>
      <c r="C51" s="11">
        <v>1</v>
      </c>
      <c r="D51" s="11">
        <f t="shared" si="0"/>
        <v>527</v>
      </c>
      <c r="E51" s="11">
        <f t="shared" si="1"/>
        <v>0</v>
      </c>
      <c r="F51" s="11">
        <f t="shared" si="2"/>
        <v>-14095142</v>
      </c>
      <c r="G51" s="11"/>
    </row>
    <row r="52" spans="1:7" x14ac:dyDescent="0.25">
      <c r="A52" s="11" t="s">
        <v>361</v>
      </c>
      <c r="B52" s="3">
        <v>-53300</v>
      </c>
      <c r="C52" s="11">
        <v>1</v>
      </c>
      <c r="D52" s="11">
        <f t="shared" si="0"/>
        <v>526</v>
      </c>
      <c r="E52" s="11">
        <f t="shared" si="1"/>
        <v>0</v>
      </c>
      <c r="F52" s="11">
        <f t="shared" si="2"/>
        <v>-28035800</v>
      </c>
      <c r="G52" s="11"/>
    </row>
    <row r="53" spans="1:7" x14ac:dyDescent="0.25">
      <c r="A53" s="11" t="s">
        <v>126</v>
      </c>
      <c r="B53" s="3">
        <v>1000000</v>
      </c>
      <c r="C53" s="11">
        <v>6</v>
      </c>
      <c r="D53" s="11">
        <f t="shared" si="0"/>
        <v>525</v>
      </c>
      <c r="E53" s="11">
        <f t="shared" si="1"/>
        <v>1</v>
      </c>
      <c r="F53" s="11">
        <f t="shared" si="2"/>
        <v>524000000</v>
      </c>
      <c r="G53" s="11"/>
    </row>
    <row r="54" spans="1:7" x14ac:dyDescent="0.25">
      <c r="A54" s="11" t="s">
        <v>360</v>
      </c>
      <c r="B54" s="3">
        <v>-21000</v>
      </c>
      <c r="C54" s="11">
        <v>1</v>
      </c>
      <c r="D54" s="11">
        <f t="shared" si="0"/>
        <v>519</v>
      </c>
      <c r="E54" s="11">
        <f t="shared" si="1"/>
        <v>0</v>
      </c>
      <c r="F54" s="11">
        <f t="shared" si="2"/>
        <v>-10899000</v>
      </c>
      <c r="G54" s="11"/>
    </row>
    <row r="55" spans="1:7" x14ac:dyDescent="0.25">
      <c r="A55" s="11" t="s">
        <v>131</v>
      </c>
      <c r="B55" s="3">
        <v>-980500</v>
      </c>
      <c r="C55" s="11">
        <v>0</v>
      </c>
      <c r="D55" s="11">
        <f t="shared" si="0"/>
        <v>518</v>
      </c>
      <c r="E55" s="11">
        <f t="shared" si="1"/>
        <v>0</v>
      </c>
      <c r="F55" s="11">
        <f t="shared" si="2"/>
        <v>-507899000</v>
      </c>
      <c r="G55" s="11"/>
    </row>
    <row r="56" spans="1:7" x14ac:dyDescent="0.25">
      <c r="A56" s="11" t="s">
        <v>131</v>
      </c>
      <c r="B56" s="3">
        <v>-45000</v>
      </c>
      <c r="C56" s="11">
        <v>13</v>
      </c>
      <c r="D56" s="11">
        <f t="shared" si="0"/>
        <v>518</v>
      </c>
      <c r="E56" s="11">
        <f t="shared" si="1"/>
        <v>0</v>
      </c>
      <c r="F56" s="11">
        <f t="shared" si="2"/>
        <v>-23310000</v>
      </c>
      <c r="G56" s="11"/>
    </row>
    <row r="57" spans="1:7" x14ac:dyDescent="0.25">
      <c r="A57" s="11" t="s">
        <v>359</v>
      </c>
      <c r="B57" s="3">
        <v>3005189</v>
      </c>
      <c r="C57" s="11">
        <v>0</v>
      </c>
      <c r="D57" s="11">
        <f t="shared" si="0"/>
        <v>505</v>
      </c>
      <c r="E57" s="11">
        <f t="shared" si="1"/>
        <v>1</v>
      </c>
      <c r="F57" s="11">
        <f t="shared" si="2"/>
        <v>1514615256</v>
      </c>
      <c r="G57" s="11" t="s">
        <v>398</v>
      </c>
    </row>
    <row r="58" spans="1:7" x14ac:dyDescent="0.25">
      <c r="A58" s="11" t="s">
        <v>359</v>
      </c>
      <c r="B58" s="3">
        <v>2000000</v>
      </c>
      <c r="C58" s="11">
        <v>1</v>
      </c>
      <c r="D58" s="11">
        <f t="shared" si="0"/>
        <v>505</v>
      </c>
      <c r="E58" s="11">
        <f t="shared" si="1"/>
        <v>1</v>
      </c>
      <c r="F58" s="11">
        <f t="shared" si="2"/>
        <v>1008000000</v>
      </c>
      <c r="G58" s="11"/>
    </row>
    <row r="59" spans="1:7" x14ac:dyDescent="0.25">
      <c r="A59" s="11" t="s">
        <v>143</v>
      </c>
      <c r="B59" s="3">
        <v>2000000</v>
      </c>
      <c r="C59" s="11">
        <v>0</v>
      </c>
      <c r="D59" s="11">
        <f t="shared" si="0"/>
        <v>504</v>
      </c>
      <c r="E59" s="11">
        <f t="shared" si="1"/>
        <v>1</v>
      </c>
      <c r="F59" s="11">
        <f t="shared" si="2"/>
        <v>1006000000</v>
      </c>
      <c r="G59" s="11"/>
    </row>
    <row r="60" spans="1:7" x14ac:dyDescent="0.25">
      <c r="A60" s="11" t="s">
        <v>143</v>
      </c>
      <c r="B60" s="3">
        <v>-7001500</v>
      </c>
      <c r="C60" s="11">
        <v>24</v>
      </c>
      <c r="D60" s="11">
        <f t="shared" si="0"/>
        <v>504</v>
      </c>
      <c r="E60" s="11">
        <f t="shared" si="1"/>
        <v>0</v>
      </c>
      <c r="F60" s="11">
        <f t="shared" si="2"/>
        <v>-3528756000</v>
      </c>
      <c r="G60" s="11"/>
    </row>
    <row r="61" spans="1:7" x14ac:dyDescent="0.25">
      <c r="A61" s="11" t="s">
        <v>358</v>
      </c>
      <c r="B61" s="3">
        <v>3000000</v>
      </c>
      <c r="C61" s="11">
        <v>1</v>
      </c>
      <c r="D61" s="11">
        <f t="shared" si="0"/>
        <v>480</v>
      </c>
      <c r="E61" s="11">
        <f t="shared" si="1"/>
        <v>1</v>
      </c>
      <c r="F61" s="11">
        <f t="shared" si="2"/>
        <v>1437000000</v>
      </c>
      <c r="G61" s="11"/>
    </row>
    <row r="62" spans="1:7" x14ac:dyDescent="0.25">
      <c r="A62" s="11" t="s">
        <v>357</v>
      </c>
      <c r="B62" s="3">
        <v>-27109</v>
      </c>
      <c r="C62" s="11">
        <v>0</v>
      </c>
      <c r="D62" s="11">
        <f t="shared" si="0"/>
        <v>479</v>
      </c>
      <c r="E62" s="11">
        <f t="shared" si="1"/>
        <v>0</v>
      </c>
      <c r="F62" s="11">
        <f t="shared" si="2"/>
        <v>-12985211</v>
      </c>
      <c r="G62" s="11"/>
    </row>
    <row r="63" spans="1:7" x14ac:dyDescent="0.25">
      <c r="A63" s="11" t="s">
        <v>357</v>
      </c>
      <c r="B63" s="3">
        <v>-32989</v>
      </c>
      <c r="C63" s="11">
        <v>0</v>
      </c>
      <c r="D63" s="11">
        <f t="shared" si="0"/>
        <v>479</v>
      </c>
      <c r="E63" s="11">
        <f t="shared" si="1"/>
        <v>0</v>
      </c>
      <c r="F63" s="11">
        <f t="shared" si="2"/>
        <v>-15801731</v>
      </c>
      <c r="G63" s="11"/>
    </row>
    <row r="64" spans="1:7" x14ac:dyDescent="0.25">
      <c r="A64" s="11" t="s">
        <v>357</v>
      </c>
      <c r="B64" s="3">
        <v>3000000</v>
      </c>
      <c r="C64" s="11">
        <v>0</v>
      </c>
      <c r="D64" s="11">
        <f t="shared" si="0"/>
        <v>479</v>
      </c>
      <c r="E64" s="11">
        <f t="shared" si="1"/>
        <v>1</v>
      </c>
      <c r="F64" s="11">
        <f t="shared" si="2"/>
        <v>1434000000</v>
      </c>
      <c r="G64" s="11"/>
    </row>
    <row r="65" spans="1:7" x14ac:dyDescent="0.25">
      <c r="A65" s="11" t="s">
        <v>357</v>
      </c>
      <c r="B65" s="3">
        <v>2970000</v>
      </c>
      <c r="C65" s="11">
        <v>0</v>
      </c>
      <c r="D65" s="11">
        <f t="shared" si="0"/>
        <v>479</v>
      </c>
      <c r="E65" s="11">
        <f t="shared" si="1"/>
        <v>1</v>
      </c>
      <c r="F65" s="11">
        <f t="shared" si="2"/>
        <v>1419660000</v>
      </c>
      <c r="G65" s="11"/>
    </row>
    <row r="66" spans="1:7" x14ac:dyDescent="0.25">
      <c r="A66" s="11" t="s">
        <v>357</v>
      </c>
      <c r="B66" s="3">
        <v>1000000</v>
      </c>
      <c r="C66" s="11">
        <v>0</v>
      </c>
      <c r="D66" s="11">
        <f t="shared" ref="D66:D129" si="3">D67+C66</f>
        <v>479</v>
      </c>
      <c r="E66" s="11">
        <f t="shared" si="1"/>
        <v>1</v>
      </c>
      <c r="F66" s="11">
        <f t="shared" si="2"/>
        <v>478000000</v>
      </c>
      <c r="G66" s="11"/>
    </row>
    <row r="67" spans="1:7" x14ac:dyDescent="0.25">
      <c r="A67" s="11" t="s">
        <v>357</v>
      </c>
      <c r="B67" s="3">
        <v>30000</v>
      </c>
      <c r="C67" s="11">
        <v>1</v>
      </c>
      <c r="D67" s="11">
        <f t="shared" si="3"/>
        <v>479</v>
      </c>
      <c r="E67" s="11">
        <f t="shared" ref="E67:E130" si="4">IF(B67&gt;0,1,0)</f>
        <v>1</v>
      </c>
      <c r="F67" s="11">
        <f t="shared" ref="F67:F200" si="5">B67*(D67-E67)</f>
        <v>14340000</v>
      </c>
      <c r="G67" s="11"/>
    </row>
    <row r="68" spans="1:7" x14ac:dyDescent="0.25">
      <c r="A68" s="11" t="s">
        <v>356</v>
      </c>
      <c r="B68" s="3">
        <v>30000000</v>
      </c>
      <c r="C68" s="11">
        <v>1</v>
      </c>
      <c r="D68" s="11">
        <f t="shared" si="3"/>
        <v>478</v>
      </c>
      <c r="E68" s="11">
        <f t="shared" si="4"/>
        <v>1</v>
      </c>
      <c r="F68" s="11">
        <f t="shared" si="5"/>
        <v>14310000000</v>
      </c>
      <c r="G68" s="11"/>
    </row>
    <row r="69" spans="1:7" x14ac:dyDescent="0.25">
      <c r="A69" s="11" t="s">
        <v>196</v>
      </c>
      <c r="B69" s="3">
        <v>-200000</v>
      </c>
      <c r="C69" s="11">
        <v>0</v>
      </c>
      <c r="D69" s="11">
        <f t="shared" si="3"/>
        <v>477</v>
      </c>
      <c r="E69" s="11">
        <f t="shared" si="4"/>
        <v>0</v>
      </c>
      <c r="F69" s="11">
        <f t="shared" si="5"/>
        <v>-95400000</v>
      </c>
      <c r="G69" s="11"/>
    </row>
    <row r="70" spans="1:7" x14ac:dyDescent="0.25">
      <c r="A70" s="11" t="s">
        <v>355</v>
      </c>
      <c r="B70" s="3">
        <v>1400000</v>
      </c>
      <c r="C70" s="11">
        <v>0</v>
      </c>
      <c r="D70" s="11">
        <f t="shared" si="3"/>
        <v>477</v>
      </c>
      <c r="E70" s="11">
        <f t="shared" si="4"/>
        <v>1</v>
      </c>
      <c r="F70" s="11">
        <f t="shared" si="5"/>
        <v>666400000</v>
      </c>
      <c r="G70" s="11"/>
    </row>
    <row r="71" spans="1:7" x14ac:dyDescent="0.25">
      <c r="A71" s="11" t="s">
        <v>355</v>
      </c>
      <c r="B71" s="3">
        <v>2600000</v>
      </c>
      <c r="C71" s="11">
        <v>0</v>
      </c>
      <c r="D71" s="11">
        <f t="shared" si="3"/>
        <v>477</v>
      </c>
      <c r="E71" s="11">
        <f t="shared" si="4"/>
        <v>1</v>
      </c>
      <c r="F71" s="11">
        <f t="shared" si="5"/>
        <v>1237600000</v>
      </c>
      <c r="G71" s="11"/>
    </row>
    <row r="72" spans="1:7" x14ac:dyDescent="0.25">
      <c r="A72" s="11" t="s">
        <v>355</v>
      </c>
      <c r="B72" s="3">
        <v>-1000000</v>
      </c>
      <c r="C72" s="11">
        <v>2</v>
      </c>
      <c r="D72" s="11">
        <f t="shared" si="3"/>
        <v>477</v>
      </c>
      <c r="E72" s="11">
        <f t="shared" si="4"/>
        <v>0</v>
      </c>
      <c r="F72" s="11">
        <f t="shared" si="5"/>
        <v>-477000000</v>
      </c>
      <c r="G72" s="11"/>
    </row>
    <row r="73" spans="1:7" x14ac:dyDescent="0.25">
      <c r="A73" s="11" t="s">
        <v>354</v>
      </c>
      <c r="B73" s="3">
        <v>15000000</v>
      </c>
      <c r="C73" s="11">
        <v>5</v>
      </c>
      <c r="D73" s="11">
        <f t="shared" si="3"/>
        <v>475</v>
      </c>
      <c r="E73" s="11">
        <f t="shared" si="4"/>
        <v>1</v>
      </c>
      <c r="F73" s="11">
        <f t="shared" si="5"/>
        <v>7110000000</v>
      </c>
      <c r="G73" s="11"/>
    </row>
    <row r="74" spans="1:7" x14ac:dyDescent="0.25">
      <c r="A74" s="23" t="s">
        <v>277</v>
      </c>
      <c r="B74" s="3">
        <v>-15004200</v>
      </c>
      <c r="C74" s="11">
        <v>2</v>
      </c>
      <c r="D74" s="11">
        <f t="shared" si="3"/>
        <v>470</v>
      </c>
      <c r="E74" s="11">
        <f t="shared" si="4"/>
        <v>0</v>
      </c>
      <c r="F74" s="11">
        <f t="shared" si="5"/>
        <v>-7051974000</v>
      </c>
      <c r="G74" s="11"/>
    </row>
    <row r="75" spans="1:7" x14ac:dyDescent="0.25">
      <c r="A75" s="11" t="s">
        <v>275</v>
      </c>
      <c r="B75" s="3">
        <v>-3000000</v>
      </c>
      <c r="C75" s="11">
        <v>0</v>
      </c>
      <c r="D75" s="11">
        <f t="shared" si="3"/>
        <v>468</v>
      </c>
      <c r="E75" s="11">
        <f t="shared" si="4"/>
        <v>0</v>
      </c>
      <c r="F75" s="11">
        <f t="shared" si="5"/>
        <v>-1404000000</v>
      </c>
      <c r="G75" s="11"/>
    </row>
    <row r="76" spans="1:7" x14ac:dyDescent="0.25">
      <c r="A76" s="11" t="s">
        <v>275</v>
      </c>
      <c r="B76" s="3">
        <v>-200000</v>
      </c>
      <c r="C76" s="11">
        <v>0</v>
      </c>
      <c r="D76" s="11">
        <f t="shared" si="3"/>
        <v>468</v>
      </c>
      <c r="E76" s="11">
        <f t="shared" si="4"/>
        <v>0</v>
      </c>
      <c r="F76" s="11">
        <f t="shared" si="5"/>
        <v>-93600000</v>
      </c>
      <c r="G76" s="11"/>
    </row>
    <row r="77" spans="1:7" x14ac:dyDescent="0.25">
      <c r="A77" s="23" t="s">
        <v>275</v>
      </c>
      <c r="B77" s="3">
        <v>-12003000</v>
      </c>
      <c r="C77" s="11">
        <v>4</v>
      </c>
      <c r="D77" s="11">
        <f t="shared" si="3"/>
        <v>468</v>
      </c>
      <c r="E77" s="11">
        <f t="shared" si="4"/>
        <v>0</v>
      </c>
      <c r="F77" s="11">
        <f t="shared" si="5"/>
        <v>-5617404000</v>
      </c>
      <c r="G77" s="11"/>
    </row>
    <row r="78" spans="1:7" x14ac:dyDescent="0.25">
      <c r="A78" s="23" t="s">
        <v>228</v>
      </c>
      <c r="B78" s="3">
        <v>-3000900</v>
      </c>
      <c r="C78" s="11">
        <v>5</v>
      </c>
      <c r="D78" s="11">
        <f t="shared" si="3"/>
        <v>464</v>
      </c>
      <c r="E78" s="11">
        <f t="shared" si="4"/>
        <v>0</v>
      </c>
      <c r="F78" s="11">
        <f t="shared" si="5"/>
        <v>-1392417600</v>
      </c>
      <c r="G78" s="11"/>
    </row>
    <row r="79" spans="1:7" x14ac:dyDescent="0.25">
      <c r="A79" s="11" t="s">
        <v>353</v>
      </c>
      <c r="B79" s="3">
        <v>23000000</v>
      </c>
      <c r="C79" s="11">
        <v>5</v>
      </c>
      <c r="D79" s="11">
        <f t="shared" si="3"/>
        <v>459</v>
      </c>
      <c r="E79" s="11">
        <f t="shared" si="4"/>
        <v>1</v>
      </c>
      <c r="F79" s="11">
        <f t="shared" si="5"/>
        <v>10534000000</v>
      </c>
      <c r="G79" s="11"/>
    </row>
    <row r="80" spans="1:7" x14ac:dyDescent="0.25">
      <c r="A80" s="23" t="s">
        <v>237</v>
      </c>
      <c r="B80" s="3">
        <v>-600500</v>
      </c>
      <c r="C80" s="11">
        <v>0</v>
      </c>
      <c r="D80" s="11">
        <f t="shared" si="3"/>
        <v>454</v>
      </c>
      <c r="E80" s="11">
        <f t="shared" si="4"/>
        <v>0</v>
      </c>
      <c r="F80" s="11">
        <f t="shared" si="5"/>
        <v>-272627000</v>
      </c>
      <c r="G80" s="11"/>
    </row>
    <row r="81" spans="1:10" x14ac:dyDescent="0.25">
      <c r="A81" s="20" t="s">
        <v>237</v>
      </c>
      <c r="B81" s="3">
        <v>-200000</v>
      </c>
      <c r="C81" s="11">
        <v>1</v>
      </c>
      <c r="D81" s="11">
        <f t="shared" si="3"/>
        <v>454</v>
      </c>
      <c r="E81" s="11">
        <f t="shared" si="4"/>
        <v>0</v>
      </c>
      <c r="F81" s="11">
        <f t="shared" si="5"/>
        <v>-90800000</v>
      </c>
      <c r="G81" s="11"/>
    </row>
    <row r="82" spans="1:10" x14ac:dyDescent="0.25">
      <c r="A82" s="11" t="s">
        <v>241</v>
      </c>
      <c r="B82" s="3">
        <v>283221</v>
      </c>
      <c r="C82" s="11">
        <v>0</v>
      </c>
      <c r="D82" s="11">
        <f t="shared" si="3"/>
        <v>453</v>
      </c>
      <c r="E82" s="11">
        <f t="shared" si="4"/>
        <v>1</v>
      </c>
      <c r="F82" s="11">
        <f t="shared" si="5"/>
        <v>128015892</v>
      </c>
      <c r="G82" s="11" t="s">
        <v>242</v>
      </c>
    </row>
    <row r="83" spans="1:10" x14ac:dyDescent="0.25">
      <c r="A83" s="11" t="s">
        <v>241</v>
      </c>
      <c r="B83" s="3">
        <v>-200000</v>
      </c>
      <c r="C83" s="11">
        <v>2</v>
      </c>
      <c r="D83" s="11">
        <f t="shared" si="3"/>
        <v>453</v>
      </c>
      <c r="E83" s="11">
        <f t="shared" si="4"/>
        <v>0</v>
      </c>
      <c r="F83" s="11">
        <f t="shared" si="5"/>
        <v>-90600000</v>
      </c>
      <c r="G83" s="11"/>
    </row>
    <row r="84" spans="1:10" x14ac:dyDescent="0.25">
      <c r="A84" s="11" t="s">
        <v>352</v>
      </c>
      <c r="B84" s="3">
        <v>2000000</v>
      </c>
      <c r="C84" s="11">
        <v>3</v>
      </c>
      <c r="D84" s="11">
        <f t="shared" si="3"/>
        <v>451</v>
      </c>
      <c r="E84" s="11">
        <f t="shared" si="4"/>
        <v>1</v>
      </c>
      <c r="F84" s="11">
        <f t="shared" si="5"/>
        <v>900000000</v>
      </c>
      <c r="G84" s="11"/>
    </row>
    <row r="85" spans="1:10" x14ac:dyDescent="0.25">
      <c r="A85" s="11" t="s">
        <v>245</v>
      </c>
      <c r="B85" s="3">
        <v>-200000</v>
      </c>
      <c r="C85" s="11">
        <v>6</v>
      </c>
      <c r="D85" s="11">
        <f t="shared" si="3"/>
        <v>448</v>
      </c>
      <c r="E85" s="11">
        <f t="shared" si="4"/>
        <v>0</v>
      </c>
      <c r="F85" s="11">
        <f t="shared" si="5"/>
        <v>-89600000</v>
      </c>
      <c r="G85" s="11"/>
    </row>
    <row r="86" spans="1:10" x14ac:dyDescent="0.25">
      <c r="A86" s="11" t="s">
        <v>351</v>
      </c>
      <c r="B86" s="3">
        <v>-200000</v>
      </c>
      <c r="C86" s="11">
        <v>2</v>
      </c>
      <c r="D86" s="11">
        <f t="shared" si="3"/>
        <v>442</v>
      </c>
      <c r="E86" s="11">
        <f t="shared" si="4"/>
        <v>0</v>
      </c>
      <c r="F86" s="11">
        <f t="shared" si="5"/>
        <v>-88400000</v>
      </c>
      <c r="G86" s="11"/>
    </row>
    <row r="87" spans="1:10" x14ac:dyDescent="0.25">
      <c r="A87" s="11" t="s">
        <v>250</v>
      </c>
      <c r="B87" s="3">
        <v>-1325000</v>
      </c>
      <c r="C87" s="11">
        <v>15</v>
      </c>
      <c r="D87" s="11">
        <f t="shared" si="3"/>
        <v>440</v>
      </c>
      <c r="E87" s="11">
        <f t="shared" si="4"/>
        <v>0</v>
      </c>
      <c r="F87" s="11">
        <f t="shared" si="5"/>
        <v>-583000000</v>
      </c>
      <c r="G87" s="11"/>
    </row>
    <row r="88" spans="1:10" x14ac:dyDescent="0.25">
      <c r="A88" s="11" t="s">
        <v>350</v>
      </c>
      <c r="B88" s="3">
        <v>-500000</v>
      </c>
      <c r="C88" s="11">
        <v>0</v>
      </c>
      <c r="D88" s="11">
        <f t="shared" si="3"/>
        <v>425</v>
      </c>
      <c r="E88" s="11">
        <f t="shared" si="4"/>
        <v>0</v>
      </c>
      <c r="F88" s="11">
        <f t="shared" si="5"/>
        <v>-212500000</v>
      </c>
      <c r="G88" s="11"/>
    </row>
    <row r="89" spans="1:10" x14ac:dyDescent="0.25">
      <c r="A89" s="11" t="s">
        <v>349</v>
      </c>
      <c r="B89" s="3">
        <v>-120000</v>
      </c>
      <c r="C89" s="11">
        <v>2</v>
      </c>
      <c r="D89" s="11">
        <f t="shared" si="3"/>
        <v>425</v>
      </c>
      <c r="E89" s="11">
        <f t="shared" si="4"/>
        <v>0</v>
      </c>
      <c r="F89" s="11">
        <f t="shared" si="5"/>
        <v>-51000000</v>
      </c>
      <c r="G89" s="11"/>
    </row>
    <row r="90" spans="1:10" x14ac:dyDescent="0.25">
      <c r="A90" s="11" t="s">
        <v>262</v>
      </c>
      <c r="B90" s="3">
        <v>428205</v>
      </c>
      <c r="C90" s="11">
        <v>3</v>
      </c>
      <c r="D90" s="11">
        <f t="shared" si="3"/>
        <v>423</v>
      </c>
      <c r="E90" s="11">
        <f t="shared" si="4"/>
        <v>1</v>
      </c>
      <c r="F90" s="11">
        <f t="shared" si="5"/>
        <v>180702510</v>
      </c>
      <c r="G90" s="11" t="s">
        <v>264</v>
      </c>
    </row>
    <row r="91" spans="1:10" x14ac:dyDescent="0.25">
      <c r="A91" s="23" t="s">
        <v>263</v>
      </c>
      <c r="B91" s="3">
        <v>-3002000</v>
      </c>
      <c r="C91" s="11">
        <v>2</v>
      </c>
      <c r="D91" s="11">
        <f t="shared" si="3"/>
        <v>420</v>
      </c>
      <c r="E91" s="11">
        <f t="shared" si="4"/>
        <v>0</v>
      </c>
      <c r="F91" s="11">
        <f t="shared" si="5"/>
        <v>-1260840000</v>
      </c>
      <c r="G91" s="11" t="s">
        <v>338</v>
      </c>
    </row>
    <row r="92" spans="1:10" x14ac:dyDescent="0.25">
      <c r="A92" s="23" t="s">
        <v>337</v>
      </c>
      <c r="B92" s="3">
        <v>-205000</v>
      </c>
      <c r="C92" s="11">
        <v>0</v>
      </c>
      <c r="D92" s="11">
        <f t="shared" si="3"/>
        <v>418</v>
      </c>
      <c r="E92" s="11">
        <f t="shared" si="4"/>
        <v>0</v>
      </c>
      <c r="F92" s="11">
        <f t="shared" si="5"/>
        <v>-85690000</v>
      </c>
      <c r="G92" s="11" t="s">
        <v>339</v>
      </c>
    </row>
    <row r="93" spans="1:10" x14ac:dyDescent="0.25">
      <c r="A93" s="11" t="s">
        <v>335</v>
      </c>
      <c r="B93" s="3">
        <v>-350500</v>
      </c>
      <c r="C93" s="11">
        <v>11</v>
      </c>
      <c r="D93" s="11">
        <f t="shared" si="3"/>
        <v>418</v>
      </c>
      <c r="E93" s="11">
        <f t="shared" si="4"/>
        <v>0</v>
      </c>
      <c r="F93" s="11">
        <f t="shared" si="5"/>
        <v>-146509000</v>
      </c>
      <c r="G93" s="11" t="s">
        <v>336</v>
      </c>
    </row>
    <row r="94" spans="1:10" x14ac:dyDescent="0.25">
      <c r="A94" s="11" t="s">
        <v>333</v>
      </c>
      <c r="B94" s="3">
        <v>1000000</v>
      </c>
      <c r="C94" s="11">
        <v>5</v>
      </c>
      <c r="D94" s="11">
        <f t="shared" si="3"/>
        <v>407</v>
      </c>
      <c r="E94" s="11">
        <f t="shared" si="4"/>
        <v>1</v>
      </c>
      <c r="F94" s="11">
        <f t="shared" si="5"/>
        <v>406000000</v>
      </c>
      <c r="G94" s="11" t="s">
        <v>334</v>
      </c>
    </row>
    <row r="95" spans="1:10" x14ac:dyDescent="0.25">
      <c r="A95" s="11" t="s">
        <v>344</v>
      </c>
      <c r="B95" s="3">
        <v>9000000</v>
      </c>
      <c r="C95" s="11">
        <v>2</v>
      </c>
      <c r="D95" s="11">
        <f t="shared" si="3"/>
        <v>402</v>
      </c>
      <c r="E95" s="11">
        <f t="shared" si="4"/>
        <v>1</v>
      </c>
      <c r="F95" s="11">
        <f t="shared" si="5"/>
        <v>3609000000</v>
      </c>
      <c r="G95" s="11" t="s">
        <v>346</v>
      </c>
      <c r="J95" s="26"/>
    </row>
    <row r="96" spans="1:10" x14ac:dyDescent="0.25">
      <c r="A96" s="11" t="s">
        <v>347</v>
      </c>
      <c r="B96" s="3">
        <v>-26000000</v>
      </c>
      <c r="C96" s="11">
        <v>0</v>
      </c>
      <c r="D96" s="11">
        <f t="shared" si="3"/>
        <v>400</v>
      </c>
      <c r="E96" s="11">
        <f t="shared" si="4"/>
        <v>0</v>
      </c>
      <c r="F96" s="11">
        <f t="shared" si="5"/>
        <v>-10400000000</v>
      </c>
      <c r="G96" s="11" t="s">
        <v>348</v>
      </c>
    </row>
    <row r="97" spans="1:9" x14ac:dyDescent="0.25">
      <c r="A97" s="11" t="s">
        <v>347</v>
      </c>
      <c r="B97" s="3">
        <v>-26000000</v>
      </c>
      <c r="C97" s="11">
        <v>0</v>
      </c>
      <c r="D97" s="11">
        <f t="shared" si="3"/>
        <v>400</v>
      </c>
      <c r="E97" s="11">
        <f t="shared" si="4"/>
        <v>0</v>
      </c>
      <c r="F97" s="11">
        <f t="shared" si="5"/>
        <v>-10400000000</v>
      </c>
      <c r="G97" s="11"/>
    </row>
    <row r="98" spans="1:9" x14ac:dyDescent="0.25">
      <c r="A98" s="11" t="s">
        <v>347</v>
      </c>
      <c r="B98" s="3">
        <v>26000000</v>
      </c>
      <c r="C98" s="11">
        <v>0</v>
      </c>
      <c r="D98" s="11">
        <f t="shared" si="3"/>
        <v>400</v>
      </c>
      <c r="E98" s="11">
        <f t="shared" si="4"/>
        <v>1</v>
      </c>
      <c r="F98" s="11">
        <f t="shared" si="5"/>
        <v>10374000000</v>
      </c>
      <c r="G98" s="11"/>
    </row>
    <row r="99" spans="1:9" x14ac:dyDescent="0.25">
      <c r="A99" s="11" t="s">
        <v>347</v>
      </c>
      <c r="B99" s="3">
        <v>-200000</v>
      </c>
      <c r="C99" s="11">
        <v>2</v>
      </c>
      <c r="D99" s="11">
        <f t="shared" si="3"/>
        <v>400</v>
      </c>
      <c r="E99" s="11">
        <f t="shared" si="4"/>
        <v>0</v>
      </c>
      <c r="F99" s="11">
        <f t="shared" si="5"/>
        <v>-80000000</v>
      </c>
      <c r="G99" s="11"/>
      <c r="I99" t="s">
        <v>25</v>
      </c>
    </row>
    <row r="100" spans="1:9" x14ac:dyDescent="0.25">
      <c r="A100" s="11" t="s">
        <v>399</v>
      </c>
      <c r="B100" s="3">
        <v>29200000</v>
      </c>
      <c r="C100" s="11">
        <v>5</v>
      </c>
      <c r="D100" s="11">
        <f t="shared" si="3"/>
        <v>398</v>
      </c>
      <c r="E100" s="11">
        <f t="shared" si="4"/>
        <v>1</v>
      </c>
      <c r="F100" s="11">
        <f t="shared" si="5"/>
        <v>11592400000</v>
      </c>
      <c r="G100" s="11"/>
    </row>
    <row r="101" spans="1:9" x14ac:dyDescent="0.25">
      <c r="A101" s="11" t="s">
        <v>400</v>
      </c>
      <c r="B101" s="3">
        <v>399945</v>
      </c>
      <c r="C101" s="11">
        <v>1</v>
      </c>
      <c r="D101" s="11">
        <f t="shared" si="3"/>
        <v>393</v>
      </c>
      <c r="E101" s="11">
        <f t="shared" si="4"/>
        <v>1</v>
      </c>
      <c r="F101" s="11">
        <f t="shared" si="5"/>
        <v>156778440</v>
      </c>
      <c r="G101" s="11" t="s">
        <v>401</v>
      </c>
    </row>
    <row r="102" spans="1:9" x14ac:dyDescent="0.25">
      <c r="A102" s="11" t="s">
        <v>402</v>
      </c>
      <c r="B102" s="3">
        <v>2000000</v>
      </c>
      <c r="C102" s="11">
        <v>1</v>
      </c>
      <c r="D102" s="11">
        <f t="shared" si="3"/>
        <v>392</v>
      </c>
      <c r="E102" s="11">
        <f t="shared" si="4"/>
        <v>1</v>
      </c>
      <c r="F102" s="11">
        <f t="shared" si="5"/>
        <v>782000000</v>
      </c>
      <c r="G102" s="11" t="s">
        <v>403</v>
      </c>
    </row>
    <row r="103" spans="1:9" x14ac:dyDescent="0.25">
      <c r="A103" s="11" t="s">
        <v>410</v>
      </c>
      <c r="B103" s="3">
        <v>7500000</v>
      </c>
      <c r="C103" s="11">
        <v>0</v>
      </c>
      <c r="D103" s="11">
        <f t="shared" si="3"/>
        <v>391</v>
      </c>
      <c r="E103" s="11">
        <f t="shared" si="4"/>
        <v>1</v>
      </c>
      <c r="F103" s="11">
        <f t="shared" si="5"/>
        <v>2925000000</v>
      </c>
      <c r="G103" s="11" t="s">
        <v>411</v>
      </c>
    </row>
    <row r="104" spans="1:9" x14ac:dyDescent="0.25">
      <c r="A104" s="11" t="s">
        <v>410</v>
      </c>
      <c r="B104" s="3">
        <v>-66000000</v>
      </c>
      <c r="C104" s="11">
        <v>0</v>
      </c>
      <c r="D104" s="11">
        <f t="shared" si="3"/>
        <v>391</v>
      </c>
      <c r="E104" s="11">
        <f t="shared" si="4"/>
        <v>0</v>
      </c>
      <c r="F104" s="11">
        <f t="shared" si="5"/>
        <v>-25806000000</v>
      </c>
      <c r="G104" s="11" t="s">
        <v>425</v>
      </c>
    </row>
    <row r="105" spans="1:9" x14ac:dyDescent="0.25">
      <c r="A105" s="11" t="s">
        <v>410</v>
      </c>
      <c r="B105" s="3">
        <v>-145000</v>
      </c>
      <c r="C105" s="11">
        <v>2</v>
      </c>
      <c r="D105" s="11">
        <f t="shared" si="3"/>
        <v>391</v>
      </c>
      <c r="E105" s="11">
        <f t="shared" si="4"/>
        <v>0</v>
      </c>
      <c r="F105" s="11">
        <f t="shared" si="5"/>
        <v>-56695000</v>
      </c>
      <c r="G105" s="11" t="s">
        <v>426</v>
      </c>
    </row>
    <row r="106" spans="1:9" x14ac:dyDescent="0.25">
      <c r="A106" s="11" t="s">
        <v>422</v>
      </c>
      <c r="B106" s="3">
        <v>6000000</v>
      </c>
      <c r="C106" s="11">
        <v>2</v>
      </c>
      <c r="D106" s="11">
        <f t="shared" si="3"/>
        <v>389</v>
      </c>
      <c r="E106" s="11">
        <f t="shared" si="4"/>
        <v>1</v>
      </c>
      <c r="F106" s="11">
        <f t="shared" si="5"/>
        <v>2328000000</v>
      </c>
      <c r="G106" s="11" t="s">
        <v>427</v>
      </c>
    </row>
    <row r="107" spans="1:9" x14ac:dyDescent="0.25">
      <c r="A107" s="11" t="s">
        <v>435</v>
      </c>
      <c r="B107" s="3">
        <v>-6005900</v>
      </c>
      <c r="C107" s="11">
        <v>3</v>
      </c>
      <c r="D107" s="11">
        <f t="shared" si="3"/>
        <v>387</v>
      </c>
      <c r="E107" s="11">
        <f t="shared" si="4"/>
        <v>0</v>
      </c>
      <c r="F107" s="11">
        <f t="shared" si="5"/>
        <v>-2324283300</v>
      </c>
      <c r="G107" s="11" t="s">
        <v>437</v>
      </c>
    </row>
    <row r="108" spans="1:9" x14ac:dyDescent="0.25">
      <c r="A108" s="11" t="s">
        <v>440</v>
      </c>
      <c r="B108" s="3">
        <v>6000000</v>
      </c>
      <c r="C108" s="11">
        <v>12</v>
      </c>
      <c r="D108" s="11">
        <f t="shared" si="3"/>
        <v>384</v>
      </c>
      <c r="E108" s="11">
        <f t="shared" si="4"/>
        <v>1</v>
      </c>
      <c r="F108" s="11">
        <f t="shared" si="5"/>
        <v>2298000000</v>
      </c>
      <c r="G108" s="11" t="s">
        <v>445</v>
      </c>
    </row>
    <row r="109" spans="1:9" x14ac:dyDescent="0.25">
      <c r="A109" s="11" t="s">
        <v>459</v>
      </c>
      <c r="B109" s="3">
        <v>-120000</v>
      </c>
      <c r="C109" s="11">
        <v>1</v>
      </c>
      <c r="D109" s="11">
        <f t="shared" si="3"/>
        <v>372</v>
      </c>
      <c r="E109" s="11">
        <f t="shared" si="4"/>
        <v>0</v>
      </c>
      <c r="F109" s="11">
        <f t="shared" si="5"/>
        <v>-44640000</v>
      </c>
      <c r="G109" s="11" t="s">
        <v>460</v>
      </c>
    </row>
    <row r="110" spans="1:9" x14ac:dyDescent="0.25">
      <c r="A110" s="11" t="s">
        <v>461</v>
      </c>
      <c r="B110" s="3">
        <v>4000000</v>
      </c>
      <c r="C110" s="11">
        <v>1</v>
      </c>
      <c r="D110" s="11">
        <f t="shared" si="3"/>
        <v>371</v>
      </c>
      <c r="E110" s="11">
        <f t="shared" si="4"/>
        <v>1</v>
      </c>
      <c r="F110" s="11">
        <f t="shared" si="5"/>
        <v>1480000000</v>
      </c>
      <c r="G110" s="11" t="s">
        <v>462</v>
      </c>
    </row>
    <row r="111" spans="1:9" x14ac:dyDescent="0.25">
      <c r="A111" s="11" t="s">
        <v>466</v>
      </c>
      <c r="B111" s="3">
        <v>2800000</v>
      </c>
      <c r="C111" s="11">
        <v>4</v>
      </c>
      <c r="D111" s="11">
        <f t="shared" si="3"/>
        <v>370</v>
      </c>
      <c r="E111" s="11">
        <f t="shared" si="4"/>
        <v>1</v>
      </c>
      <c r="F111" s="11">
        <f t="shared" si="5"/>
        <v>1033200000</v>
      </c>
      <c r="G111" s="11" t="s">
        <v>467</v>
      </c>
    </row>
    <row r="112" spans="1:9" x14ac:dyDescent="0.25">
      <c r="A112" s="11" t="s">
        <v>471</v>
      </c>
      <c r="B112" s="3">
        <v>-200000</v>
      </c>
      <c r="C112" s="11">
        <v>1</v>
      </c>
      <c r="D112" s="11">
        <f t="shared" si="3"/>
        <v>366</v>
      </c>
      <c r="E112" s="11">
        <f t="shared" si="4"/>
        <v>0</v>
      </c>
      <c r="F112" s="11">
        <f t="shared" si="5"/>
        <v>-73200000</v>
      </c>
      <c r="G112" s="11" t="s">
        <v>473</v>
      </c>
    </row>
    <row r="113" spans="1:10" x14ac:dyDescent="0.25">
      <c r="A113" s="11" t="s">
        <v>472</v>
      </c>
      <c r="B113" s="3">
        <v>72310</v>
      </c>
      <c r="C113" s="11">
        <v>17</v>
      </c>
      <c r="D113" s="11">
        <f t="shared" si="3"/>
        <v>365</v>
      </c>
      <c r="E113" s="11">
        <f t="shared" si="4"/>
        <v>1</v>
      </c>
      <c r="F113" s="11">
        <f t="shared" si="5"/>
        <v>26320840</v>
      </c>
      <c r="G113" s="11" t="s">
        <v>499</v>
      </c>
    </row>
    <row r="114" spans="1:10" x14ac:dyDescent="0.25">
      <c r="A114" s="11" t="s">
        <v>495</v>
      </c>
      <c r="B114" s="3">
        <v>-200000</v>
      </c>
      <c r="C114" s="11">
        <v>1</v>
      </c>
      <c r="D114" s="11">
        <f t="shared" si="3"/>
        <v>348</v>
      </c>
      <c r="E114" s="11">
        <f t="shared" si="4"/>
        <v>0</v>
      </c>
      <c r="F114" s="11">
        <f t="shared" si="5"/>
        <v>-69600000</v>
      </c>
      <c r="G114" s="11" t="s">
        <v>460</v>
      </c>
      <c r="J114" t="s">
        <v>25</v>
      </c>
    </row>
    <row r="115" spans="1:10" x14ac:dyDescent="0.25">
      <c r="A115" s="23" t="s">
        <v>496</v>
      </c>
      <c r="B115" s="35">
        <v>-11000000</v>
      </c>
      <c r="C115" s="23">
        <v>0</v>
      </c>
      <c r="D115" s="11">
        <f t="shared" si="3"/>
        <v>347</v>
      </c>
      <c r="E115" s="11">
        <f t="shared" si="4"/>
        <v>0</v>
      </c>
      <c r="F115" s="23">
        <f t="shared" si="5"/>
        <v>-3817000000</v>
      </c>
      <c r="G115" s="23" t="s">
        <v>500</v>
      </c>
    </row>
    <row r="116" spans="1:10" x14ac:dyDescent="0.25">
      <c r="A116" s="11" t="s">
        <v>496</v>
      </c>
      <c r="B116" s="3">
        <v>-200000</v>
      </c>
      <c r="C116" s="11">
        <v>2</v>
      </c>
      <c r="D116" s="11">
        <f t="shared" si="3"/>
        <v>347</v>
      </c>
      <c r="E116" s="11">
        <f t="shared" si="4"/>
        <v>0</v>
      </c>
      <c r="F116" s="11">
        <f t="shared" si="5"/>
        <v>-69400000</v>
      </c>
      <c r="G116" s="11" t="s">
        <v>460</v>
      </c>
      <c r="I116" t="s">
        <v>25</v>
      </c>
    </row>
    <row r="117" spans="1:10" x14ac:dyDescent="0.25">
      <c r="A117" s="11" t="s">
        <v>501</v>
      </c>
      <c r="B117" s="3">
        <v>-450500</v>
      </c>
      <c r="C117" s="11">
        <v>0</v>
      </c>
      <c r="D117" s="11">
        <f t="shared" si="3"/>
        <v>345</v>
      </c>
      <c r="E117" s="11">
        <f t="shared" si="4"/>
        <v>0</v>
      </c>
      <c r="F117" s="11">
        <f t="shared" si="5"/>
        <v>-155422500</v>
      </c>
      <c r="G117" s="11" t="s">
        <v>502</v>
      </c>
    </row>
    <row r="118" spans="1:10" x14ac:dyDescent="0.25">
      <c r="A118" s="11" t="s">
        <v>501</v>
      </c>
      <c r="B118" s="3">
        <v>-200000</v>
      </c>
      <c r="C118" s="11">
        <v>6</v>
      </c>
      <c r="D118" s="11">
        <f t="shared" si="3"/>
        <v>345</v>
      </c>
      <c r="E118" s="11">
        <f t="shared" si="4"/>
        <v>0</v>
      </c>
      <c r="F118" s="11">
        <f t="shared" si="5"/>
        <v>-69000000</v>
      </c>
      <c r="G118" s="11" t="s">
        <v>503</v>
      </c>
      <c r="J118" t="s">
        <v>25</v>
      </c>
    </row>
    <row r="119" spans="1:10" x14ac:dyDescent="0.25">
      <c r="A119" s="11" t="s">
        <v>505</v>
      </c>
      <c r="B119" s="3">
        <v>-154550</v>
      </c>
      <c r="C119" s="11">
        <v>0</v>
      </c>
      <c r="D119" s="11">
        <f t="shared" si="3"/>
        <v>339</v>
      </c>
      <c r="E119" s="11">
        <f t="shared" si="4"/>
        <v>0</v>
      </c>
      <c r="F119" s="11">
        <f t="shared" si="5"/>
        <v>-52392450</v>
      </c>
      <c r="G119" s="11" t="s">
        <v>506</v>
      </c>
    </row>
    <row r="120" spans="1:10" x14ac:dyDescent="0.25">
      <c r="A120" s="11" t="s">
        <v>505</v>
      </c>
      <c r="B120" s="3">
        <v>-320</v>
      </c>
      <c r="C120" s="11">
        <v>1</v>
      </c>
      <c r="D120" s="11">
        <f t="shared" si="3"/>
        <v>339</v>
      </c>
      <c r="E120" s="11">
        <f t="shared" si="4"/>
        <v>0</v>
      </c>
      <c r="F120" s="11">
        <f t="shared" si="5"/>
        <v>-108480</v>
      </c>
      <c r="G120" s="11" t="s">
        <v>507</v>
      </c>
    </row>
    <row r="121" spans="1:10" x14ac:dyDescent="0.25">
      <c r="A121" s="11" t="s">
        <v>508</v>
      </c>
      <c r="B121" s="3">
        <v>-432000</v>
      </c>
      <c r="C121" s="11">
        <v>6</v>
      </c>
      <c r="D121" s="11">
        <f t="shared" si="3"/>
        <v>338</v>
      </c>
      <c r="E121" s="11">
        <f t="shared" si="4"/>
        <v>0</v>
      </c>
      <c r="F121" s="11">
        <f t="shared" si="5"/>
        <v>-146016000</v>
      </c>
      <c r="G121" s="11" t="s">
        <v>509</v>
      </c>
    </row>
    <row r="122" spans="1:10" x14ac:dyDescent="0.25">
      <c r="A122" s="11" t="s">
        <v>510</v>
      </c>
      <c r="B122" s="3">
        <v>74043</v>
      </c>
      <c r="C122" s="11">
        <v>21</v>
      </c>
      <c r="D122" s="11">
        <f t="shared" si="3"/>
        <v>332</v>
      </c>
      <c r="E122" s="11">
        <f t="shared" si="4"/>
        <v>1</v>
      </c>
      <c r="F122" s="11">
        <f t="shared" si="5"/>
        <v>24508233</v>
      </c>
      <c r="G122" s="11" t="s">
        <v>511</v>
      </c>
    </row>
    <row r="123" spans="1:10" x14ac:dyDescent="0.25">
      <c r="A123" s="11" t="s">
        <v>533</v>
      </c>
      <c r="B123" s="3">
        <v>-52000</v>
      </c>
      <c r="C123" s="11">
        <v>41</v>
      </c>
      <c r="D123" s="11">
        <f t="shared" si="3"/>
        <v>311</v>
      </c>
      <c r="E123" s="11">
        <f t="shared" si="4"/>
        <v>0</v>
      </c>
      <c r="F123" s="11">
        <f t="shared" si="5"/>
        <v>-16172000</v>
      </c>
      <c r="G123" s="11" t="s">
        <v>535</v>
      </c>
    </row>
    <row r="124" spans="1:10" x14ac:dyDescent="0.25">
      <c r="A124" s="11" t="s">
        <v>585</v>
      </c>
      <c r="B124" s="3">
        <v>1187</v>
      </c>
      <c r="C124" s="11">
        <v>1</v>
      </c>
      <c r="D124" s="11">
        <f t="shared" si="3"/>
        <v>270</v>
      </c>
      <c r="E124" s="11">
        <f t="shared" si="4"/>
        <v>1</v>
      </c>
      <c r="F124" s="11">
        <f t="shared" si="5"/>
        <v>319303</v>
      </c>
      <c r="G124" s="11" t="s">
        <v>586</v>
      </c>
    </row>
    <row r="125" spans="1:10" x14ac:dyDescent="0.25">
      <c r="A125" s="11" t="s">
        <v>583</v>
      </c>
      <c r="B125" s="3">
        <v>2400000</v>
      </c>
      <c r="C125" s="11">
        <v>2</v>
      </c>
      <c r="D125" s="11">
        <f t="shared" si="3"/>
        <v>269</v>
      </c>
      <c r="E125" s="11">
        <f t="shared" si="4"/>
        <v>1</v>
      </c>
      <c r="F125" s="11">
        <f t="shared" si="5"/>
        <v>643200000</v>
      </c>
      <c r="G125" s="11" t="s">
        <v>584</v>
      </c>
    </row>
    <row r="126" spans="1:10" x14ac:dyDescent="0.25">
      <c r="A126" s="11" t="s">
        <v>592</v>
      </c>
      <c r="B126" s="3">
        <v>1342800</v>
      </c>
      <c r="C126" s="11">
        <v>0</v>
      </c>
      <c r="D126" s="11">
        <f t="shared" si="3"/>
        <v>267</v>
      </c>
      <c r="E126" s="11">
        <f t="shared" si="4"/>
        <v>1</v>
      </c>
      <c r="F126" s="11">
        <f t="shared" si="5"/>
        <v>357184800</v>
      </c>
      <c r="G126" s="11" t="s">
        <v>593</v>
      </c>
    </row>
    <row r="127" spans="1:10" x14ac:dyDescent="0.25">
      <c r="A127" s="11" t="s">
        <v>592</v>
      </c>
      <c r="B127" s="3">
        <v>1342800</v>
      </c>
      <c r="C127" s="11">
        <v>12</v>
      </c>
      <c r="D127" s="11">
        <f t="shared" si="3"/>
        <v>267</v>
      </c>
      <c r="E127" s="11">
        <f t="shared" si="4"/>
        <v>1</v>
      </c>
      <c r="F127" s="11">
        <f t="shared" si="5"/>
        <v>357184800</v>
      </c>
      <c r="G127" s="11" t="s">
        <v>594</v>
      </c>
    </row>
    <row r="128" spans="1:10" x14ac:dyDescent="0.25">
      <c r="A128" s="11" t="s">
        <v>601</v>
      </c>
      <c r="B128" s="3">
        <v>-200000</v>
      </c>
      <c r="C128" s="11">
        <v>2</v>
      </c>
      <c r="D128" s="11">
        <f t="shared" si="3"/>
        <v>255</v>
      </c>
      <c r="E128" s="11">
        <f t="shared" si="4"/>
        <v>0</v>
      </c>
      <c r="F128" s="11">
        <f t="shared" si="5"/>
        <v>-51000000</v>
      </c>
      <c r="G128" s="11" t="s">
        <v>158</v>
      </c>
    </row>
    <row r="129" spans="1:11" x14ac:dyDescent="0.25">
      <c r="A129" s="11" t="s">
        <v>602</v>
      </c>
      <c r="B129" s="3">
        <v>-15618</v>
      </c>
      <c r="C129" s="11">
        <v>1</v>
      </c>
      <c r="D129" s="11">
        <f t="shared" si="3"/>
        <v>253</v>
      </c>
      <c r="E129" s="11">
        <f t="shared" si="4"/>
        <v>0</v>
      </c>
      <c r="F129" s="11">
        <f>B129*(D129-E129)</f>
        <v>-3951354</v>
      </c>
      <c r="G129" s="11" t="s">
        <v>603</v>
      </c>
      <c r="K129" t="s">
        <v>25</v>
      </c>
    </row>
    <row r="130" spans="1:11" x14ac:dyDescent="0.25">
      <c r="A130" s="11" t="s">
        <v>604</v>
      </c>
      <c r="B130" s="3">
        <v>-200000</v>
      </c>
      <c r="C130" s="11">
        <v>1</v>
      </c>
      <c r="D130" s="11">
        <f t="shared" ref="D130:D185" si="6">D131+C130</f>
        <v>252</v>
      </c>
      <c r="E130" s="11">
        <f t="shared" si="4"/>
        <v>0</v>
      </c>
      <c r="F130" s="11">
        <f t="shared" si="5"/>
        <v>-50400000</v>
      </c>
      <c r="G130" s="11" t="s">
        <v>503</v>
      </c>
    </row>
    <row r="131" spans="1:11" x14ac:dyDescent="0.25">
      <c r="A131" s="11" t="s">
        <v>606</v>
      </c>
      <c r="B131" s="3">
        <v>-200000</v>
      </c>
      <c r="C131" s="11">
        <v>1</v>
      </c>
      <c r="D131" s="11">
        <f t="shared" si="6"/>
        <v>251</v>
      </c>
      <c r="E131" s="11">
        <f t="shared" ref="E131:E201" si="7">IF(B131&gt;0,1,0)</f>
        <v>0</v>
      </c>
      <c r="F131" s="11">
        <f t="shared" si="5"/>
        <v>-50200000</v>
      </c>
      <c r="G131" s="11" t="s">
        <v>607</v>
      </c>
    </row>
    <row r="132" spans="1:11" x14ac:dyDescent="0.25">
      <c r="A132" s="11" t="s">
        <v>608</v>
      </c>
      <c r="B132" s="3">
        <v>-390000</v>
      </c>
      <c r="C132" s="11">
        <v>0</v>
      </c>
      <c r="D132" s="11">
        <f t="shared" si="6"/>
        <v>250</v>
      </c>
      <c r="E132" s="11">
        <f t="shared" si="7"/>
        <v>0</v>
      </c>
      <c r="F132" s="11">
        <f t="shared" si="5"/>
        <v>-97500000</v>
      </c>
      <c r="G132" s="11" t="s">
        <v>609</v>
      </c>
    </row>
    <row r="133" spans="1:11" x14ac:dyDescent="0.25">
      <c r="A133" s="11" t="s">
        <v>608</v>
      </c>
      <c r="B133" s="3">
        <v>-24500</v>
      </c>
      <c r="C133" s="11">
        <v>1</v>
      </c>
      <c r="D133" s="11">
        <f t="shared" si="6"/>
        <v>250</v>
      </c>
      <c r="E133" s="11">
        <f t="shared" si="7"/>
        <v>0</v>
      </c>
      <c r="F133" s="11">
        <f t="shared" si="5"/>
        <v>-6125000</v>
      </c>
      <c r="G133" s="11" t="s">
        <v>610</v>
      </c>
    </row>
    <row r="134" spans="1:11" x14ac:dyDescent="0.25">
      <c r="A134" s="11" t="s">
        <v>611</v>
      </c>
      <c r="B134" s="3">
        <v>-95000</v>
      </c>
      <c r="C134" s="11">
        <v>4</v>
      </c>
      <c r="D134" s="11">
        <f t="shared" si="6"/>
        <v>249</v>
      </c>
      <c r="E134" s="11">
        <f t="shared" si="7"/>
        <v>0</v>
      </c>
      <c r="F134" s="11">
        <f t="shared" si="5"/>
        <v>-23655000</v>
      </c>
      <c r="G134" s="11" t="s">
        <v>460</v>
      </c>
    </row>
    <row r="135" spans="1:11" x14ac:dyDescent="0.25">
      <c r="A135" s="11" t="s">
        <v>613</v>
      </c>
      <c r="B135" s="3">
        <v>-200000</v>
      </c>
      <c r="C135" s="11">
        <v>2</v>
      </c>
      <c r="D135" s="11">
        <f t="shared" si="6"/>
        <v>245</v>
      </c>
      <c r="E135" s="11">
        <f t="shared" si="7"/>
        <v>0</v>
      </c>
      <c r="F135" s="11">
        <f t="shared" si="5"/>
        <v>-49000000</v>
      </c>
      <c r="G135" s="11" t="s">
        <v>614</v>
      </c>
    </row>
    <row r="136" spans="1:11" x14ac:dyDescent="0.25">
      <c r="A136" s="11" t="s">
        <v>616</v>
      </c>
      <c r="B136" s="3">
        <v>50000000</v>
      </c>
      <c r="C136" s="11">
        <v>1</v>
      </c>
      <c r="D136" s="11">
        <f t="shared" si="6"/>
        <v>243</v>
      </c>
      <c r="E136" s="11">
        <f t="shared" si="7"/>
        <v>1</v>
      </c>
      <c r="F136" s="11">
        <f t="shared" si="5"/>
        <v>12100000000</v>
      </c>
      <c r="G136" s="11" t="s">
        <v>617</v>
      </c>
    </row>
    <row r="137" spans="1:11" x14ac:dyDescent="0.25">
      <c r="A137" s="11" t="s">
        <v>622</v>
      </c>
      <c r="B137" s="3">
        <v>12000000</v>
      </c>
      <c r="C137" s="11">
        <v>2</v>
      </c>
      <c r="D137" s="11">
        <f t="shared" si="6"/>
        <v>242</v>
      </c>
      <c r="E137" s="11">
        <f t="shared" si="7"/>
        <v>1</v>
      </c>
      <c r="F137" s="11">
        <f t="shared" si="5"/>
        <v>2892000000</v>
      </c>
      <c r="G137" s="11" t="s">
        <v>617</v>
      </c>
    </row>
    <row r="138" spans="1:11" x14ac:dyDescent="0.25">
      <c r="A138" s="11" t="s">
        <v>624</v>
      </c>
      <c r="B138" s="3">
        <v>2000000</v>
      </c>
      <c r="C138" s="11">
        <v>1</v>
      </c>
      <c r="D138" s="11">
        <f t="shared" si="6"/>
        <v>240</v>
      </c>
      <c r="E138" s="11">
        <f t="shared" si="7"/>
        <v>1</v>
      </c>
      <c r="F138" s="11">
        <f t="shared" si="5"/>
        <v>478000000</v>
      </c>
      <c r="G138" s="11" t="s">
        <v>626</v>
      </c>
    </row>
    <row r="139" spans="1:11" x14ac:dyDescent="0.25">
      <c r="A139" s="11" t="s">
        <v>628</v>
      </c>
      <c r="B139" s="3">
        <v>87538</v>
      </c>
      <c r="C139" s="11">
        <v>13</v>
      </c>
      <c r="D139" s="11">
        <f t="shared" si="6"/>
        <v>239</v>
      </c>
      <c r="E139" s="11">
        <f t="shared" si="7"/>
        <v>1</v>
      </c>
      <c r="F139" s="11">
        <f t="shared" si="5"/>
        <v>20834044</v>
      </c>
      <c r="G139" s="11" t="s">
        <v>376</v>
      </c>
    </row>
    <row r="140" spans="1:11" x14ac:dyDescent="0.25">
      <c r="A140" s="11" t="s">
        <v>650</v>
      </c>
      <c r="B140" s="3">
        <v>-3000900</v>
      </c>
      <c r="C140" s="11">
        <v>1</v>
      </c>
      <c r="D140" s="11">
        <f t="shared" si="6"/>
        <v>226</v>
      </c>
      <c r="E140" s="11">
        <f t="shared" si="7"/>
        <v>0</v>
      </c>
      <c r="F140" s="11">
        <f t="shared" si="5"/>
        <v>-678203400</v>
      </c>
      <c r="G140" s="11" t="s">
        <v>651</v>
      </c>
    </row>
    <row r="141" spans="1:11" x14ac:dyDescent="0.25">
      <c r="A141" s="11" t="s">
        <v>668</v>
      </c>
      <c r="B141" s="3">
        <v>-3000900</v>
      </c>
      <c r="C141" s="11">
        <v>17</v>
      </c>
      <c r="D141" s="11">
        <f t="shared" si="6"/>
        <v>225</v>
      </c>
      <c r="E141" s="11">
        <f t="shared" si="7"/>
        <v>0</v>
      </c>
      <c r="F141" s="11">
        <f t="shared" si="5"/>
        <v>-675202500</v>
      </c>
      <c r="G141" s="11" t="s">
        <v>651</v>
      </c>
      <c r="K141" t="s">
        <v>25</v>
      </c>
    </row>
    <row r="142" spans="1:11" x14ac:dyDescent="0.25">
      <c r="A142" s="11" t="s">
        <v>631</v>
      </c>
      <c r="B142" s="3">
        <v>602025</v>
      </c>
      <c r="C142" s="11">
        <v>0</v>
      </c>
      <c r="D142" s="11">
        <f t="shared" si="6"/>
        <v>208</v>
      </c>
      <c r="E142" s="11">
        <f t="shared" si="7"/>
        <v>1</v>
      </c>
      <c r="F142" s="11">
        <f t="shared" si="5"/>
        <v>124619175</v>
      </c>
      <c r="G142" s="11" t="s">
        <v>670</v>
      </c>
    </row>
    <row r="143" spans="1:11" x14ac:dyDescent="0.25">
      <c r="A143" s="11" t="s">
        <v>631</v>
      </c>
      <c r="B143" s="3">
        <v>-46000000</v>
      </c>
      <c r="C143" s="11">
        <v>31</v>
      </c>
      <c r="D143" s="11">
        <f t="shared" si="6"/>
        <v>208</v>
      </c>
      <c r="E143" s="11">
        <f t="shared" si="7"/>
        <v>0</v>
      </c>
      <c r="F143" s="11">
        <f t="shared" si="5"/>
        <v>-9568000000</v>
      </c>
      <c r="G143" s="11" t="s">
        <v>673</v>
      </c>
    </row>
    <row r="144" spans="1:11" x14ac:dyDescent="0.25">
      <c r="A144" s="11" t="s">
        <v>632</v>
      </c>
      <c r="B144" s="3">
        <v>154107</v>
      </c>
      <c r="C144" s="11">
        <v>1</v>
      </c>
      <c r="D144" s="11">
        <f t="shared" si="6"/>
        <v>177</v>
      </c>
      <c r="E144" s="11">
        <f t="shared" si="7"/>
        <v>1</v>
      </c>
      <c r="F144" s="11">
        <f t="shared" si="5"/>
        <v>27122832</v>
      </c>
      <c r="G144" s="11" t="s">
        <v>696</v>
      </c>
    </row>
    <row r="145" spans="1:11" x14ac:dyDescent="0.25">
      <c r="A145" s="11" t="s">
        <v>702</v>
      </c>
      <c r="B145" s="3">
        <v>3000000</v>
      </c>
      <c r="C145" s="11">
        <v>3</v>
      </c>
      <c r="D145" s="11">
        <f t="shared" si="6"/>
        <v>176</v>
      </c>
      <c r="E145" s="11">
        <f t="shared" si="7"/>
        <v>1</v>
      </c>
      <c r="F145" s="11">
        <f t="shared" si="5"/>
        <v>525000000</v>
      </c>
      <c r="G145" s="11" t="s">
        <v>703</v>
      </c>
    </row>
    <row r="146" spans="1:11" x14ac:dyDescent="0.25">
      <c r="A146" s="11" t="s">
        <v>704</v>
      </c>
      <c r="B146" s="3">
        <v>-200000</v>
      </c>
      <c r="C146" s="11">
        <v>5</v>
      </c>
      <c r="D146" s="11">
        <f t="shared" si="6"/>
        <v>173</v>
      </c>
      <c r="E146" s="11">
        <f t="shared" si="7"/>
        <v>0</v>
      </c>
      <c r="F146" s="11">
        <f t="shared" si="5"/>
        <v>-34600000</v>
      </c>
      <c r="G146" s="11" t="s">
        <v>158</v>
      </c>
    </row>
    <row r="147" spans="1:11" x14ac:dyDescent="0.25">
      <c r="A147" s="11" t="s">
        <v>705</v>
      </c>
      <c r="B147" s="3">
        <v>-200000</v>
      </c>
      <c r="C147" s="11">
        <v>1</v>
      </c>
      <c r="D147" s="11">
        <f t="shared" si="6"/>
        <v>168</v>
      </c>
      <c r="E147" s="11">
        <f t="shared" si="7"/>
        <v>0</v>
      </c>
      <c r="F147" s="11">
        <f t="shared" si="5"/>
        <v>-33600000</v>
      </c>
      <c r="G147" s="11" t="s">
        <v>158</v>
      </c>
      <c r="K147" t="s">
        <v>25</v>
      </c>
    </row>
    <row r="148" spans="1:11" x14ac:dyDescent="0.25">
      <c r="A148" s="11" t="s">
        <v>706</v>
      </c>
      <c r="B148" s="3">
        <v>-200000</v>
      </c>
      <c r="C148" s="11">
        <v>4</v>
      </c>
      <c r="D148" s="11">
        <f t="shared" si="6"/>
        <v>167</v>
      </c>
      <c r="E148" s="11">
        <f t="shared" si="7"/>
        <v>0</v>
      </c>
      <c r="F148" s="11">
        <f t="shared" si="5"/>
        <v>-33400000</v>
      </c>
      <c r="G148" s="11" t="s">
        <v>158</v>
      </c>
    </row>
    <row r="149" spans="1:11" x14ac:dyDescent="0.25">
      <c r="A149" s="11" t="s">
        <v>635</v>
      </c>
      <c r="B149" s="3">
        <v>-200000</v>
      </c>
      <c r="C149" s="11">
        <v>1</v>
      </c>
      <c r="D149" s="11">
        <f t="shared" si="6"/>
        <v>163</v>
      </c>
      <c r="E149" s="11">
        <f t="shared" si="7"/>
        <v>0</v>
      </c>
      <c r="F149" s="11">
        <f t="shared" si="5"/>
        <v>-32600000</v>
      </c>
      <c r="G149" s="11" t="s">
        <v>158</v>
      </c>
    </row>
    <row r="150" spans="1:11" x14ac:dyDescent="0.25">
      <c r="A150" s="11" t="s">
        <v>713</v>
      </c>
      <c r="B150" s="3">
        <v>24073400</v>
      </c>
      <c r="C150" s="11">
        <v>2</v>
      </c>
      <c r="D150" s="11">
        <f t="shared" si="6"/>
        <v>162</v>
      </c>
      <c r="E150" s="11">
        <f t="shared" si="7"/>
        <v>1</v>
      </c>
      <c r="F150" s="11">
        <f t="shared" si="5"/>
        <v>3875817400</v>
      </c>
      <c r="G150" s="11" t="s">
        <v>714</v>
      </c>
    </row>
    <row r="151" spans="1:11" x14ac:dyDescent="0.25">
      <c r="A151" s="11" t="s">
        <v>723</v>
      </c>
      <c r="B151" s="3">
        <v>-200000</v>
      </c>
      <c r="C151" s="11">
        <v>6</v>
      </c>
      <c r="D151" s="11">
        <f t="shared" si="6"/>
        <v>160</v>
      </c>
      <c r="E151" s="11">
        <f t="shared" si="7"/>
        <v>0</v>
      </c>
      <c r="F151" s="11">
        <f t="shared" si="5"/>
        <v>-32000000</v>
      </c>
      <c r="G151" s="11" t="s">
        <v>158</v>
      </c>
    </row>
    <row r="152" spans="1:11" x14ac:dyDescent="0.25">
      <c r="A152" s="11" t="s">
        <v>725</v>
      </c>
      <c r="B152" s="3">
        <v>-30000000</v>
      </c>
      <c r="C152" s="11">
        <v>1</v>
      </c>
      <c r="D152" s="11">
        <f t="shared" si="6"/>
        <v>154</v>
      </c>
      <c r="E152" s="11">
        <f t="shared" si="7"/>
        <v>0</v>
      </c>
      <c r="F152" s="11">
        <f t="shared" si="5"/>
        <v>-4620000000</v>
      </c>
      <c r="G152" s="11" t="s">
        <v>726</v>
      </c>
    </row>
    <row r="153" spans="1:11" x14ac:dyDescent="0.25">
      <c r="A153" s="11" t="s">
        <v>733</v>
      </c>
      <c r="B153" s="3">
        <v>-52000</v>
      </c>
      <c r="C153" s="11">
        <v>0</v>
      </c>
      <c r="D153" s="11">
        <f t="shared" si="6"/>
        <v>153</v>
      </c>
      <c r="E153" s="11">
        <f t="shared" si="7"/>
        <v>0</v>
      </c>
      <c r="F153" s="11">
        <f t="shared" si="5"/>
        <v>-7956000</v>
      </c>
      <c r="G153" s="11" t="s">
        <v>734</v>
      </c>
    </row>
    <row r="154" spans="1:11" x14ac:dyDescent="0.25">
      <c r="A154" s="11" t="s">
        <v>733</v>
      </c>
      <c r="B154" s="3">
        <v>-136000</v>
      </c>
      <c r="C154" s="11">
        <v>5</v>
      </c>
      <c r="D154" s="11">
        <f t="shared" si="6"/>
        <v>153</v>
      </c>
      <c r="E154" s="11">
        <f t="shared" si="7"/>
        <v>0</v>
      </c>
      <c r="F154" s="11">
        <f t="shared" si="5"/>
        <v>-20808000</v>
      </c>
      <c r="G154" s="11" t="s">
        <v>735</v>
      </c>
    </row>
    <row r="155" spans="1:11" x14ac:dyDescent="0.25">
      <c r="A155" s="11" t="s">
        <v>738</v>
      </c>
      <c r="B155" s="3">
        <v>3000000</v>
      </c>
      <c r="C155" s="11">
        <v>1</v>
      </c>
      <c r="D155" s="11">
        <f t="shared" si="6"/>
        <v>148</v>
      </c>
      <c r="E155" s="11">
        <f t="shared" si="7"/>
        <v>1</v>
      </c>
      <c r="F155" s="11">
        <f t="shared" si="5"/>
        <v>441000000</v>
      </c>
      <c r="G155" s="11" t="s">
        <v>739</v>
      </c>
    </row>
    <row r="156" spans="1:11" x14ac:dyDescent="0.25">
      <c r="A156" s="11" t="s">
        <v>633</v>
      </c>
      <c r="B156" s="3">
        <v>189103</v>
      </c>
      <c r="C156" s="11">
        <v>0</v>
      </c>
      <c r="D156" s="11">
        <f t="shared" si="6"/>
        <v>147</v>
      </c>
      <c r="E156" s="11">
        <f t="shared" si="7"/>
        <v>1</v>
      </c>
      <c r="F156" s="11">
        <f t="shared" si="5"/>
        <v>27609038</v>
      </c>
      <c r="G156" s="11" t="s">
        <v>740</v>
      </c>
    </row>
    <row r="157" spans="1:11" x14ac:dyDescent="0.25">
      <c r="A157" s="11" t="s">
        <v>633</v>
      </c>
      <c r="B157" s="3">
        <v>24227700</v>
      </c>
      <c r="C157" s="11">
        <v>8</v>
      </c>
      <c r="D157" s="11">
        <f t="shared" si="6"/>
        <v>147</v>
      </c>
      <c r="E157" s="11">
        <f t="shared" si="7"/>
        <v>1</v>
      </c>
      <c r="F157" s="11">
        <f t="shared" si="5"/>
        <v>3537244200</v>
      </c>
      <c r="G157" s="11" t="s">
        <v>741</v>
      </c>
    </row>
    <row r="158" spans="1:11" x14ac:dyDescent="0.25">
      <c r="A158" s="11" t="s">
        <v>761</v>
      </c>
      <c r="B158" s="3">
        <v>24295200</v>
      </c>
      <c r="C158" s="11">
        <v>0</v>
      </c>
      <c r="D158" s="11">
        <f t="shared" si="6"/>
        <v>139</v>
      </c>
      <c r="E158" s="11">
        <f t="shared" si="7"/>
        <v>1</v>
      </c>
      <c r="F158" s="11">
        <f t="shared" si="5"/>
        <v>3352737600</v>
      </c>
      <c r="G158" s="11" t="s">
        <v>755</v>
      </c>
    </row>
    <row r="159" spans="1:11" x14ac:dyDescent="0.25">
      <c r="A159" s="11" t="s">
        <v>761</v>
      </c>
      <c r="B159" s="3">
        <v>-201000</v>
      </c>
      <c r="C159" s="11">
        <v>5</v>
      </c>
      <c r="D159" s="11">
        <f t="shared" si="6"/>
        <v>139</v>
      </c>
      <c r="E159" s="11">
        <f t="shared" si="7"/>
        <v>0</v>
      </c>
      <c r="F159" s="11">
        <f t="shared" si="5"/>
        <v>-27939000</v>
      </c>
      <c r="G159" s="11" t="s">
        <v>768</v>
      </c>
    </row>
    <row r="160" spans="1:11" x14ac:dyDescent="0.25">
      <c r="A160" s="11" t="s">
        <v>769</v>
      </c>
      <c r="B160" s="3">
        <v>-200000</v>
      </c>
      <c r="C160" s="11">
        <v>3</v>
      </c>
      <c r="D160" s="11">
        <f t="shared" si="6"/>
        <v>134</v>
      </c>
      <c r="E160" s="11">
        <f t="shared" si="7"/>
        <v>0</v>
      </c>
      <c r="F160" s="11">
        <f t="shared" si="5"/>
        <v>-26800000</v>
      </c>
      <c r="G160" s="11" t="s">
        <v>770</v>
      </c>
    </row>
    <row r="161" spans="1:7" x14ac:dyDescent="0.25">
      <c r="A161" s="11" t="s">
        <v>776</v>
      </c>
      <c r="B161" s="3">
        <v>-200000</v>
      </c>
      <c r="C161" s="11">
        <v>4</v>
      </c>
      <c r="D161" s="11">
        <f t="shared" si="6"/>
        <v>131</v>
      </c>
      <c r="E161" s="11">
        <f t="shared" si="7"/>
        <v>0</v>
      </c>
      <c r="F161" s="11">
        <f t="shared" si="5"/>
        <v>-26200000</v>
      </c>
      <c r="G161" s="11" t="s">
        <v>770</v>
      </c>
    </row>
    <row r="162" spans="1:7" x14ac:dyDescent="0.25">
      <c r="A162" s="11" t="s">
        <v>778</v>
      </c>
      <c r="B162" s="3">
        <v>-200000</v>
      </c>
      <c r="C162" s="11">
        <v>3</v>
      </c>
      <c r="D162" s="11">
        <f t="shared" si="6"/>
        <v>127</v>
      </c>
      <c r="E162" s="11">
        <f t="shared" si="7"/>
        <v>0</v>
      </c>
      <c r="F162" s="11">
        <f t="shared" si="5"/>
        <v>-25400000</v>
      </c>
      <c r="G162" s="11" t="s">
        <v>770</v>
      </c>
    </row>
    <row r="163" spans="1:7" x14ac:dyDescent="0.25">
      <c r="A163" s="11" t="s">
        <v>779</v>
      </c>
      <c r="B163" s="3">
        <v>-200000</v>
      </c>
      <c r="C163" s="11">
        <v>7</v>
      </c>
      <c r="D163" s="11">
        <f t="shared" si="6"/>
        <v>124</v>
      </c>
      <c r="E163" s="11">
        <f t="shared" si="7"/>
        <v>0</v>
      </c>
      <c r="F163" s="11">
        <f t="shared" si="5"/>
        <v>-24800000</v>
      </c>
      <c r="G163" s="11" t="s">
        <v>770</v>
      </c>
    </row>
    <row r="164" spans="1:7" x14ac:dyDescent="0.25">
      <c r="A164" s="11" t="s">
        <v>634</v>
      </c>
      <c r="B164" s="3">
        <v>457674</v>
      </c>
      <c r="C164" s="11">
        <v>3</v>
      </c>
      <c r="D164" s="11">
        <f t="shared" si="6"/>
        <v>117</v>
      </c>
      <c r="E164" s="11">
        <f t="shared" si="7"/>
        <v>1</v>
      </c>
      <c r="F164" s="11">
        <f t="shared" si="5"/>
        <v>53090184</v>
      </c>
      <c r="G164" s="11" t="s">
        <v>783</v>
      </c>
    </row>
    <row r="165" spans="1:7" x14ac:dyDescent="0.25">
      <c r="A165" s="11" t="s">
        <v>788</v>
      </c>
      <c r="B165" s="3">
        <v>2700000</v>
      </c>
      <c r="C165" s="11">
        <v>0</v>
      </c>
      <c r="D165" s="11">
        <f t="shared" si="6"/>
        <v>114</v>
      </c>
      <c r="E165" s="11">
        <f t="shared" si="7"/>
        <v>1</v>
      </c>
      <c r="F165" s="11">
        <f t="shared" si="5"/>
        <v>305100000</v>
      </c>
      <c r="G165" s="11" t="s">
        <v>789</v>
      </c>
    </row>
    <row r="166" spans="1:7" x14ac:dyDescent="0.25">
      <c r="A166" s="11" t="s">
        <v>788</v>
      </c>
      <c r="B166" s="3">
        <v>2500000</v>
      </c>
      <c r="C166" s="11">
        <v>7</v>
      </c>
      <c r="D166" s="11">
        <f t="shared" si="6"/>
        <v>114</v>
      </c>
      <c r="E166" s="11">
        <f t="shared" si="7"/>
        <v>1</v>
      </c>
      <c r="F166" s="11">
        <f t="shared" si="5"/>
        <v>282500000</v>
      </c>
      <c r="G166" s="11" t="s">
        <v>790</v>
      </c>
    </row>
    <row r="167" spans="1:7" x14ac:dyDescent="0.25">
      <c r="A167" s="11" t="s">
        <v>803</v>
      </c>
      <c r="B167" s="3">
        <v>-200000</v>
      </c>
      <c r="C167" s="11">
        <v>2</v>
      </c>
      <c r="D167" s="11">
        <f t="shared" si="6"/>
        <v>107</v>
      </c>
      <c r="E167" s="11">
        <f t="shared" si="7"/>
        <v>0</v>
      </c>
      <c r="F167" s="11">
        <f t="shared" si="5"/>
        <v>-21400000</v>
      </c>
      <c r="G167" s="11" t="s">
        <v>503</v>
      </c>
    </row>
    <row r="168" spans="1:7" x14ac:dyDescent="0.25">
      <c r="A168" s="11" t="s">
        <v>805</v>
      </c>
      <c r="B168" s="3">
        <v>-200000</v>
      </c>
      <c r="C168" s="11">
        <v>6</v>
      </c>
      <c r="D168" s="11">
        <f t="shared" si="6"/>
        <v>105</v>
      </c>
      <c r="E168" s="11">
        <f t="shared" si="7"/>
        <v>0</v>
      </c>
      <c r="F168" s="11">
        <f t="shared" si="5"/>
        <v>-21000000</v>
      </c>
      <c r="G168" s="11" t="s">
        <v>503</v>
      </c>
    </row>
    <row r="169" spans="1:7" x14ac:dyDescent="0.25">
      <c r="A169" s="11" t="s">
        <v>807</v>
      </c>
      <c r="B169" s="3">
        <v>-200000</v>
      </c>
      <c r="C169" s="11">
        <v>3</v>
      </c>
      <c r="D169" s="11">
        <f t="shared" si="6"/>
        <v>99</v>
      </c>
      <c r="E169" s="11">
        <f t="shared" si="7"/>
        <v>0</v>
      </c>
      <c r="F169" s="11">
        <f t="shared" si="5"/>
        <v>-19800000</v>
      </c>
      <c r="G169" s="11" t="s">
        <v>503</v>
      </c>
    </row>
    <row r="170" spans="1:7" x14ac:dyDescent="0.25">
      <c r="A170" s="11" t="s">
        <v>812</v>
      </c>
      <c r="B170" s="3">
        <v>-200000</v>
      </c>
      <c r="C170" s="11">
        <v>0</v>
      </c>
      <c r="D170" s="11">
        <f t="shared" si="6"/>
        <v>96</v>
      </c>
      <c r="E170" s="11">
        <f t="shared" si="7"/>
        <v>0</v>
      </c>
      <c r="F170" s="11">
        <f t="shared" si="5"/>
        <v>-19200000</v>
      </c>
      <c r="G170" s="11" t="s">
        <v>503</v>
      </c>
    </row>
    <row r="171" spans="1:7" x14ac:dyDescent="0.25">
      <c r="A171" s="11" t="s">
        <v>812</v>
      </c>
      <c r="B171" s="3">
        <v>3000000</v>
      </c>
      <c r="C171" s="11">
        <v>3</v>
      </c>
      <c r="D171" s="11">
        <f t="shared" si="6"/>
        <v>96</v>
      </c>
      <c r="E171" s="11">
        <f t="shared" si="7"/>
        <v>1</v>
      </c>
      <c r="F171" s="11">
        <f t="shared" si="5"/>
        <v>285000000</v>
      </c>
      <c r="G171" s="11" t="s">
        <v>813</v>
      </c>
    </row>
    <row r="172" spans="1:7" x14ac:dyDescent="0.25">
      <c r="A172" s="11" t="s">
        <v>815</v>
      </c>
      <c r="B172" s="3">
        <v>-200000</v>
      </c>
      <c r="C172" s="11">
        <v>1</v>
      </c>
      <c r="D172" s="11">
        <f t="shared" si="6"/>
        <v>93</v>
      </c>
      <c r="E172" s="11">
        <f t="shared" si="7"/>
        <v>0</v>
      </c>
      <c r="F172" s="11">
        <f t="shared" si="5"/>
        <v>-18600000</v>
      </c>
      <c r="G172" s="11" t="s">
        <v>158</v>
      </c>
    </row>
    <row r="173" spans="1:7" x14ac:dyDescent="0.25">
      <c r="A173" s="11" t="s">
        <v>815</v>
      </c>
      <c r="B173" s="3">
        <v>3000000</v>
      </c>
      <c r="C173" s="11">
        <v>1</v>
      </c>
      <c r="D173" s="11">
        <f t="shared" si="6"/>
        <v>92</v>
      </c>
      <c r="E173" s="11">
        <f t="shared" si="7"/>
        <v>1</v>
      </c>
      <c r="F173" s="11">
        <f t="shared" si="5"/>
        <v>273000000</v>
      </c>
      <c r="G173" s="11" t="s">
        <v>818</v>
      </c>
    </row>
    <row r="174" spans="1:7" x14ac:dyDescent="0.25">
      <c r="A174" s="11" t="s">
        <v>816</v>
      </c>
      <c r="B174" s="3">
        <v>2000000</v>
      </c>
      <c r="C174" s="11">
        <v>1</v>
      </c>
      <c r="D174" s="11">
        <f t="shared" si="6"/>
        <v>91</v>
      </c>
      <c r="E174" s="11">
        <f t="shared" si="7"/>
        <v>1</v>
      </c>
      <c r="F174" s="11">
        <f t="shared" si="5"/>
        <v>180000000</v>
      </c>
      <c r="G174" s="11" t="s">
        <v>819</v>
      </c>
    </row>
    <row r="175" spans="1:7" x14ac:dyDescent="0.25">
      <c r="A175" s="11" t="s">
        <v>816</v>
      </c>
      <c r="B175" s="3">
        <v>1300000</v>
      </c>
      <c r="C175" s="11">
        <v>2</v>
      </c>
      <c r="D175" s="11">
        <f t="shared" si="6"/>
        <v>90</v>
      </c>
      <c r="E175" s="11">
        <f t="shared" si="7"/>
        <v>1</v>
      </c>
      <c r="F175" s="11">
        <f t="shared" si="5"/>
        <v>115700000</v>
      </c>
      <c r="G175" s="11" t="s">
        <v>820</v>
      </c>
    </row>
    <row r="176" spans="1:7" x14ac:dyDescent="0.25">
      <c r="A176" s="11" t="s">
        <v>824</v>
      </c>
      <c r="B176" s="3">
        <v>-200000</v>
      </c>
      <c r="C176" s="11">
        <v>0</v>
      </c>
      <c r="D176" s="11">
        <f t="shared" si="6"/>
        <v>88</v>
      </c>
      <c r="E176" s="11">
        <f t="shared" si="7"/>
        <v>0</v>
      </c>
      <c r="F176" s="11">
        <f t="shared" si="5"/>
        <v>-17600000</v>
      </c>
      <c r="G176" s="11" t="s">
        <v>770</v>
      </c>
    </row>
    <row r="177" spans="1:7" x14ac:dyDescent="0.25">
      <c r="A177" s="11" t="s">
        <v>824</v>
      </c>
      <c r="B177" s="3">
        <v>1700000</v>
      </c>
      <c r="C177" s="11">
        <v>1</v>
      </c>
      <c r="D177" s="11">
        <f t="shared" si="6"/>
        <v>88</v>
      </c>
      <c r="E177" s="11">
        <f t="shared" si="7"/>
        <v>1</v>
      </c>
      <c r="F177" s="11">
        <f t="shared" si="5"/>
        <v>147900000</v>
      </c>
      <c r="G177" s="11" t="s">
        <v>825</v>
      </c>
    </row>
    <row r="178" spans="1:7" x14ac:dyDescent="0.25">
      <c r="A178" s="11" t="s">
        <v>826</v>
      </c>
      <c r="B178" s="3">
        <v>-200000</v>
      </c>
      <c r="C178" s="11">
        <v>1</v>
      </c>
      <c r="D178" s="11">
        <f t="shared" si="6"/>
        <v>87</v>
      </c>
      <c r="E178" s="11">
        <f t="shared" si="7"/>
        <v>0</v>
      </c>
      <c r="F178" s="11">
        <f t="shared" si="5"/>
        <v>-17400000</v>
      </c>
      <c r="G178" s="11" t="s">
        <v>503</v>
      </c>
    </row>
    <row r="179" spans="1:7" x14ac:dyDescent="0.25">
      <c r="A179" s="11" t="s">
        <v>829</v>
      </c>
      <c r="B179" s="3">
        <v>571492</v>
      </c>
      <c r="C179" s="11">
        <v>3</v>
      </c>
      <c r="D179" s="11">
        <f t="shared" si="6"/>
        <v>86</v>
      </c>
      <c r="E179" s="11">
        <f t="shared" si="7"/>
        <v>1</v>
      </c>
      <c r="F179" s="11">
        <f t="shared" si="5"/>
        <v>48576820</v>
      </c>
      <c r="G179" s="11" t="s">
        <v>242</v>
      </c>
    </row>
    <row r="180" spans="1:7" x14ac:dyDescent="0.25">
      <c r="A180" s="11" t="s">
        <v>834</v>
      </c>
      <c r="B180" s="3">
        <v>3000000</v>
      </c>
      <c r="C180" s="11">
        <v>7</v>
      </c>
      <c r="D180" s="11">
        <f t="shared" si="6"/>
        <v>83</v>
      </c>
      <c r="E180" s="11">
        <f t="shared" si="7"/>
        <v>1</v>
      </c>
      <c r="F180" s="11">
        <f t="shared" si="5"/>
        <v>246000000</v>
      </c>
      <c r="G180" s="11" t="s">
        <v>838</v>
      </c>
    </row>
    <row r="181" spans="1:7" x14ac:dyDescent="0.25">
      <c r="A181" s="11" t="s">
        <v>847</v>
      </c>
      <c r="B181" s="3">
        <v>2000000</v>
      </c>
      <c r="C181" s="11">
        <v>8</v>
      </c>
      <c r="D181" s="11">
        <f t="shared" si="6"/>
        <v>76</v>
      </c>
      <c r="E181" s="11">
        <f t="shared" si="7"/>
        <v>1</v>
      </c>
      <c r="F181" s="11">
        <f t="shared" si="5"/>
        <v>150000000</v>
      </c>
      <c r="G181" s="11" t="s">
        <v>848</v>
      </c>
    </row>
    <row r="182" spans="1:7" x14ac:dyDescent="0.25">
      <c r="A182" s="11" t="s">
        <v>860</v>
      </c>
      <c r="B182" s="3">
        <v>-2200700</v>
      </c>
      <c r="C182" s="11">
        <v>12</v>
      </c>
      <c r="D182" s="11">
        <f t="shared" si="6"/>
        <v>68</v>
      </c>
      <c r="E182" s="11">
        <f t="shared" si="7"/>
        <v>0</v>
      </c>
      <c r="F182" s="11">
        <f t="shared" si="5"/>
        <v>-149647600</v>
      </c>
      <c r="G182" s="11" t="s">
        <v>862</v>
      </c>
    </row>
    <row r="183" spans="1:7" x14ac:dyDescent="0.25">
      <c r="A183" s="11" t="s">
        <v>870</v>
      </c>
      <c r="B183" s="3">
        <v>675087</v>
      </c>
      <c r="C183" s="11">
        <v>30</v>
      </c>
      <c r="D183" s="11">
        <f t="shared" si="6"/>
        <v>56</v>
      </c>
      <c r="E183" s="11">
        <f t="shared" si="7"/>
        <v>1</v>
      </c>
      <c r="F183" s="11">
        <f t="shared" si="5"/>
        <v>37129785</v>
      </c>
      <c r="G183" s="11" t="s">
        <v>264</v>
      </c>
    </row>
    <row r="184" spans="1:7" x14ac:dyDescent="0.25">
      <c r="A184" s="11" t="s">
        <v>908</v>
      </c>
      <c r="B184" s="3">
        <v>677000</v>
      </c>
      <c r="C184" s="11">
        <v>15</v>
      </c>
      <c r="D184" s="11">
        <f t="shared" si="6"/>
        <v>26</v>
      </c>
      <c r="E184" s="11">
        <f t="shared" si="7"/>
        <v>1</v>
      </c>
      <c r="F184" s="11">
        <f t="shared" si="5"/>
        <v>16925000</v>
      </c>
      <c r="G184" s="11" t="s">
        <v>401</v>
      </c>
    </row>
    <row r="185" spans="1:7" x14ac:dyDescent="0.25">
      <c r="A185" s="11" t="s">
        <v>933</v>
      </c>
      <c r="B185" s="3">
        <v>-10000</v>
      </c>
      <c r="C185" s="11">
        <v>5</v>
      </c>
      <c r="D185" s="11">
        <f t="shared" si="6"/>
        <v>11</v>
      </c>
      <c r="E185" s="11">
        <f t="shared" si="7"/>
        <v>0</v>
      </c>
      <c r="F185" s="11">
        <f t="shared" si="5"/>
        <v>-110000</v>
      </c>
      <c r="G185" s="11" t="s">
        <v>939</v>
      </c>
    </row>
    <row r="186" spans="1:7" x14ac:dyDescent="0.25">
      <c r="A186" s="11" t="s">
        <v>952</v>
      </c>
      <c r="B186" s="3">
        <v>-80500000</v>
      </c>
      <c r="C186" s="11">
        <v>5</v>
      </c>
      <c r="D186" s="11">
        <f t="shared" ref="D186:D201" si="8">D187+C186</f>
        <v>6</v>
      </c>
      <c r="E186" s="11">
        <f t="shared" si="7"/>
        <v>0</v>
      </c>
      <c r="F186" s="11">
        <f t="shared" si="5"/>
        <v>-483000000</v>
      </c>
      <c r="G186" s="11" t="s">
        <v>1075</v>
      </c>
    </row>
    <row r="187" spans="1:7" x14ac:dyDescent="0.25">
      <c r="A187" s="11" t="s">
        <v>1074</v>
      </c>
      <c r="B187" s="3">
        <v>-1100000</v>
      </c>
      <c r="C187" s="11">
        <v>1</v>
      </c>
      <c r="D187" s="11">
        <f t="shared" si="8"/>
        <v>1</v>
      </c>
      <c r="E187" s="11">
        <f t="shared" si="7"/>
        <v>0</v>
      </c>
      <c r="F187" s="11">
        <f t="shared" si="5"/>
        <v>-1100000</v>
      </c>
      <c r="G187" s="11" t="s">
        <v>1075</v>
      </c>
    </row>
    <row r="188" spans="1:7" x14ac:dyDescent="0.25">
      <c r="A188" s="11"/>
      <c r="B188" s="3"/>
      <c r="C188" s="11"/>
      <c r="D188" s="11">
        <f t="shared" si="8"/>
        <v>0</v>
      </c>
      <c r="E188" s="11">
        <f t="shared" si="7"/>
        <v>0</v>
      </c>
      <c r="F188" s="11">
        <f t="shared" si="5"/>
        <v>0</v>
      </c>
      <c r="G188" s="11"/>
    </row>
    <row r="189" spans="1:7" x14ac:dyDescent="0.25">
      <c r="A189" s="11"/>
      <c r="B189" s="3"/>
      <c r="C189" s="11"/>
      <c r="D189" s="11">
        <f t="shared" si="8"/>
        <v>0</v>
      </c>
      <c r="E189" s="11">
        <f t="shared" si="7"/>
        <v>0</v>
      </c>
      <c r="F189" s="11">
        <f t="shared" si="5"/>
        <v>0</v>
      </c>
      <c r="G189" s="11"/>
    </row>
    <row r="190" spans="1:7" x14ac:dyDescent="0.25">
      <c r="A190" s="11"/>
      <c r="B190" s="3"/>
      <c r="C190" s="11"/>
      <c r="D190" s="11">
        <f t="shared" si="8"/>
        <v>0</v>
      </c>
      <c r="E190" s="11">
        <f t="shared" si="7"/>
        <v>0</v>
      </c>
      <c r="F190" s="11">
        <f t="shared" si="5"/>
        <v>0</v>
      </c>
      <c r="G190" s="11"/>
    </row>
    <row r="191" spans="1:7" x14ac:dyDescent="0.25">
      <c r="A191" s="11"/>
      <c r="B191" s="3"/>
      <c r="C191" s="11"/>
      <c r="D191" s="11">
        <f t="shared" si="8"/>
        <v>0</v>
      </c>
      <c r="E191" s="11">
        <f t="shared" si="7"/>
        <v>0</v>
      </c>
      <c r="F191" s="11">
        <f t="shared" si="5"/>
        <v>0</v>
      </c>
      <c r="G191" s="11"/>
    </row>
    <row r="192" spans="1:7" x14ac:dyDescent="0.25">
      <c r="A192" s="11"/>
      <c r="B192" s="3"/>
      <c r="C192" s="11"/>
      <c r="D192" s="11">
        <f t="shared" si="8"/>
        <v>0</v>
      </c>
      <c r="E192" s="11">
        <f t="shared" si="7"/>
        <v>0</v>
      </c>
      <c r="F192" s="11">
        <f t="shared" si="5"/>
        <v>0</v>
      </c>
      <c r="G192" s="11"/>
    </row>
    <row r="193" spans="1:7" x14ac:dyDescent="0.25">
      <c r="A193" s="11"/>
      <c r="B193" s="3"/>
      <c r="C193" s="11"/>
      <c r="D193" s="11">
        <f t="shared" si="8"/>
        <v>0</v>
      </c>
      <c r="E193" s="11">
        <f t="shared" si="7"/>
        <v>0</v>
      </c>
      <c r="F193" s="11">
        <f t="shared" si="5"/>
        <v>0</v>
      </c>
      <c r="G193" s="11"/>
    </row>
    <row r="194" spans="1:7" x14ac:dyDescent="0.25">
      <c r="A194" s="11" t="s">
        <v>25</v>
      </c>
      <c r="B194" s="3"/>
      <c r="C194" s="11"/>
      <c r="D194" s="11">
        <f t="shared" si="8"/>
        <v>0</v>
      </c>
      <c r="E194" s="11">
        <f t="shared" si="7"/>
        <v>0</v>
      </c>
      <c r="F194" s="11">
        <f t="shared" si="5"/>
        <v>0</v>
      </c>
      <c r="G194" s="11"/>
    </row>
    <row r="195" spans="1:7" x14ac:dyDescent="0.25">
      <c r="A195" s="11"/>
      <c r="B195" s="3"/>
      <c r="C195" s="11"/>
      <c r="D195" s="11">
        <f t="shared" si="8"/>
        <v>0</v>
      </c>
      <c r="E195" s="11">
        <f t="shared" si="7"/>
        <v>0</v>
      </c>
      <c r="F195" s="11">
        <f t="shared" si="5"/>
        <v>0</v>
      </c>
      <c r="G195" s="11"/>
    </row>
    <row r="196" spans="1:7" x14ac:dyDescent="0.25">
      <c r="A196" s="11"/>
      <c r="B196" s="3"/>
      <c r="C196" s="11"/>
      <c r="D196" s="11">
        <f t="shared" si="8"/>
        <v>0</v>
      </c>
      <c r="E196" s="11">
        <f t="shared" si="7"/>
        <v>0</v>
      </c>
      <c r="F196" s="11">
        <f t="shared" si="5"/>
        <v>0</v>
      </c>
      <c r="G196" s="11"/>
    </row>
    <row r="197" spans="1:7" x14ac:dyDescent="0.25">
      <c r="A197" s="11"/>
      <c r="B197" s="3"/>
      <c r="C197" s="11"/>
      <c r="D197" s="11">
        <f t="shared" si="8"/>
        <v>0</v>
      </c>
      <c r="E197" s="11">
        <f t="shared" si="7"/>
        <v>0</v>
      </c>
      <c r="F197" s="11">
        <f t="shared" si="5"/>
        <v>0</v>
      </c>
      <c r="G197" s="11"/>
    </row>
    <row r="198" spans="1:7" x14ac:dyDescent="0.25">
      <c r="A198" s="11" t="s">
        <v>25</v>
      </c>
      <c r="B198" s="3"/>
      <c r="C198" s="11"/>
      <c r="D198" s="11">
        <f t="shared" si="8"/>
        <v>0</v>
      </c>
      <c r="E198" s="11">
        <f t="shared" si="7"/>
        <v>0</v>
      </c>
      <c r="F198" s="11">
        <f t="shared" si="5"/>
        <v>0</v>
      </c>
      <c r="G198" s="11"/>
    </row>
    <row r="199" spans="1:7" x14ac:dyDescent="0.25">
      <c r="A199" s="11"/>
      <c r="B199" s="3"/>
      <c r="C199" s="11"/>
      <c r="D199" s="11">
        <f t="shared" si="8"/>
        <v>0</v>
      </c>
      <c r="E199" s="11">
        <f t="shared" si="7"/>
        <v>0</v>
      </c>
      <c r="F199" s="11">
        <f t="shared" si="5"/>
        <v>0</v>
      </c>
      <c r="G199" s="11"/>
    </row>
    <row r="200" spans="1:7" x14ac:dyDescent="0.25">
      <c r="A200" s="11"/>
      <c r="B200" s="3">
        <v>0</v>
      </c>
      <c r="C200" s="11">
        <v>0</v>
      </c>
      <c r="D200" s="11">
        <f t="shared" si="8"/>
        <v>0</v>
      </c>
      <c r="E200" s="11">
        <f t="shared" si="7"/>
        <v>0</v>
      </c>
      <c r="F200" s="11">
        <f t="shared" si="5"/>
        <v>0</v>
      </c>
      <c r="G200" s="11"/>
    </row>
    <row r="201" spans="1:7" x14ac:dyDescent="0.25">
      <c r="A201" s="11"/>
      <c r="B201" s="3"/>
      <c r="C201" s="11"/>
      <c r="D201" s="11">
        <f t="shared" si="8"/>
        <v>0</v>
      </c>
      <c r="E201" s="11">
        <f t="shared" si="7"/>
        <v>0</v>
      </c>
      <c r="F201" s="11">
        <f t="shared" ref="F201" si="9">B201*(D201-E201)</f>
        <v>0</v>
      </c>
      <c r="G201" s="11"/>
    </row>
    <row r="202" spans="1:7" x14ac:dyDescent="0.25">
      <c r="A202" s="11"/>
      <c r="B202" s="29">
        <f>SUM(B2:B200)</f>
        <v>1616399</v>
      </c>
      <c r="C202" s="11"/>
      <c r="D202" s="11"/>
      <c r="E202" s="11"/>
      <c r="F202" s="29">
        <f>SUM(F2:F200)</f>
        <v>18253408497</v>
      </c>
      <c r="G202" s="11"/>
    </row>
    <row r="203" spans="1:7" x14ac:dyDescent="0.25">
      <c r="A203" s="11"/>
      <c r="B203" s="11" t="s">
        <v>283</v>
      </c>
      <c r="C203" s="11"/>
      <c r="D203" s="11"/>
      <c r="E203" s="11"/>
      <c r="F203" s="11" t="s">
        <v>284</v>
      </c>
      <c r="G203" s="11"/>
    </row>
    <row r="204" spans="1:7" x14ac:dyDescent="0.25">
      <c r="A204" s="11"/>
      <c r="B204" s="11"/>
      <c r="C204" s="11"/>
      <c r="D204" s="11"/>
      <c r="E204" s="11"/>
      <c r="F204" s="11"/>
      <c r="G204" s="11"/>
    </row>
    <row r="205" spans="1:7" x14ac:dyDescent="0.25">
      <c r="A205" s="11"/>
      <c r="B205" s="11"/>
      <c r="C205" s="11"/>
      <c r="D205" s="11"/>
      <c r="E205" s="11"/>
      <c r="F205" s="3">
        <f>F202/D2</f>
        <v>27825317.830792684</v>
      </c>
      <c r="G205" s="11"/>
    </row>
    <row r="206" spans="1:7" x14ac:dyDescent="0.25">
      <c r="A206" s="11"/>
      <c r="B206" s="11"/>
      <c r="C206" s="11"/>
      <c r="D206" s="11"/>
      <c r="E206" s="11"/>
      <c r="F206" s="11" t="s">
        <v>286</v>
      </c>
      <c r="G206" s="11"/>
    </row>
    <row r="211" spans="2:5" x14ac:dyDescent="0.25">
      <c r="D211" t="s">
        <v>25</v>
      </c>
    </row>
    <row r="212" spans="2:5" x14ac:dyDescent="0.25">
      <c r="B212" s="7"/>
    </row>
    <row r="214" spans="2:5" ht="75" x14ac:dyDescent="0.25">
      <c r="E214" s="22" t="s">
        <v>560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5"/>
  <sheetViews>
    <sheetView tabSelected="1" topLeftCell="E1" zoomScaleNormal="100" workbookViewId="0">
      <selection activeCell="N31" sqref="N31"/>
    </sheetView>
  </sheetViews>
  <sheetFormatPr defaultRowHeight="15" x14ac:dyDescent="0.25"/>
  <cols>
    <col min="1" max="1" width="5" bestFit="1" customWidth="1"/>
    <col min="2" max="2" width="3" bestFit="1" customWidth="1"/>
    <col min="3" max="3" width="16.140625" bestFit="1" customWidth="1"/>
    <col min="4" max="4" width="15.140625" bestFit="1" customWidth="1"/>
    <col min="5" max="6" width="16.140625" bestFit="1" customWidth="1"/>
    <col min="7" max="7" width="17.28515625" bestFit="1" customWidth="1"/>
    <col min="8" max="8" width="38.140625" bestFit="1" customWidth="1"/>
    <col min="9" max="9" width="14.140625" bestFit="1" customWidth="1"/>
    <col min="10" max="10" width="38.28515625" bestFit="1" customWidth="1"/>
    <col min="11" max="11" width="27.5703125" bestFit="1" customWidth="1"/>
    <col min="12" max="12" width="19.42578125" bestFit="1" customWidth="1"/>
    <col min="13" max="13" width="28" bestFit="1" customWidth="1"/>
    <col min="14" max="14" width="16.140625" bestFit="1" customWidth="1"/>
    <col min="15" max="15" width="26.5703125" bestFit="1" customWidth="1"/>
    <col min="16" max="16" width="28" bestFit="1" customWidth="1"/>
    <col min="17" max="17" width="18.7109375" customWidth="1"/>
    <col min="18" max="18" width="16.140625" bestFit="1" customWidth="1"/>
    <col min="19" max="19" width="10.7109375" bestFit="1" customWidth="1"/>
    <col min="20" max="20" width="15.85546875" bestFit="1" customWidth="1"/>
    <col min="21" max="21" width="16.140625" bestFit="1" customWidth="1"/>
    <col min="22" max="22" width="16.85546875" bestFit="1" customWidth="1"/>
    <col min="23" max="23" width="46.5703125" bestFit="1" customWidth="1"/>
  </cols>
  <sheetData>
    <row r="1" spans="1:23" x14ac:dyDescent="0.25">
      <c r="A1" s="11" t="s">
        <v>449</v>
      </c>
      <c r="B1" s="11" t="s">
        <v>447</v>
      </c>
      <c r="C1" s="11" t="s">
        <v>715</v>
      </c>
      <c r="D1" s="11" t="s">
        <v>448</v>
      </c>
      <c r="E1" s="11" t="s">
        <v>548</v>
      </c>
      <c r="F1" s="11" t="s">
        <v>455</v>
      </c>
      <c r="G1" s="11" t="s">
        <v>456</v>
      </c>
      <c r="H1" s="11" t="s">
        <v>8</v>
      </c>
      <c r="K1" s="11" t="s">
        <v>450</v>
      </c>
      <c r="L1" s="11" t="s">
        <v>451</v>
      </c>
      <c r="M1" s="11" t="s">
        <v>955</v>
      </c>
      <c r="N1" s="11" t="s">
        <v>453</v>
      </c>
      <c r="O1" s="11" t="s">
        <v>756</v>
      </c>
      <c r="P1" s="70" t="s">
        <v>8</v>
      </c>
      <c r="S1" s="29" t="s">
        <v>180</v>
      </c>
      <c r="T1" s="29" t="s">
        <v>267</v>
      </c>
      <c r="U1" s="11" t="s">
        <v>183</v>
      </c>
      <c r="V1" s="70" t="s">
        <v>282</v>
      </c>
      <c r="W1" s="70" t="s">
        <v>8</v>
      </c>
    </row>
    <row r="2" spans="1:23" x14ac:dyDescent="0.25">
      <c r="A2" s="11"/>
      <c r="B2" s="11">
        <v>0</v>
      </c>
      <c r="C2" s="3">
        <v>0</v>
      </c>
      <c r="D2" s="3">
        <v>0</v>
      </c>
      <c r="E2" s="3">
        <v>52000000</v>
      </c>
      <c r="F2" s="45">
        <v>52000000</v>
      </c>
      <c r="G2" s="29">
        <f t="shared" ref="G2:G14" si="0">E2-F2</f>
        <v>0</v>
      </c>
      <c r="H2" s="11" t="s">
        <v>515</v>
      </c>
      <c r="K2" s="11">
        <v>1.01</v>
      </c>
      <c r="L2" s="11">
        <v>1.02</v>
      </c>
      <c r="M2" s="11" t="s">
        <v>301</v>
      </c>
      <c r="N2" s="29">
        <v>78000000</v>
      </c>
      <c r="O2" s="29">
        <v>145000000</v>
      </c>
      <c r="P2" s="11" t="s">
        <v>959</v>
      </c>
      <c r="S2" s="29" t="s">
        <v>725</v>
      </c>
      <c r="T2" s="29">
        <v>30000000</v>
      </c>
      <c r="U2" s="11">
        <v>16</v>
      </c>
      <c r="V2" s="29">
        <f t="shared" ref="V2:V8" si="1">T2*U2</f>
        <v>480000000</v>
      </c>
      <c r="W2" s="11" t="s">
        <v>762</v>
      </c>
    </row>
    <row r="3" spans="1:23" x14ac:dyDescent="0.25">
      <c r="A3" s="23">
        <v>96</v>
      </c>
      <c r="B3" s="11">
        <v>1</v>
      </c>
      <c r="C3" s="44">
        <v>3000000</v>
      </c>
      <c r="D3" s="3">
        <v>2500000</v>
      </c>
      <c r="E3" s="3">
        <f>E2*$L$2+C3-D3</f>
        <v>53540000</v>
      </c>
      <c r="F3" s="45">
        <v>54000000</v>
      </c>
      <c r="G3" s="29">
        <f t="shared" si="0"/>
        <v>-460000</v>
      </c>
      <c r="H3" s="11" t="s">
        <v>519</v>
      </c>
      <c r="M3" s="11" t="s">
        <v>716</v>
      </c>
      <c r="N3" s="29">
        <v>46000000</v>
      </c>
      <c r="O3" s="29">
        <v>40000000</v>
      </c>
      <c r="P3" s="11" t="s">
        <v>957</v>
      </c>
      <c r="S3" s="29" t="s">
        <v>761</v>
      </c>
      <c r="T3" s="29">
        <v>6000000</v>
      </c>
      <c r="U3" s="11">
        <v>25</v>
      </c>
      <c r="V3" s="29">
        <f t="shared" si="1"/>
        <v>150000000</v>
      </c>
      <c r="W3" s="11" t="s">
        <v>763</v>
      </c>
    </row>
    <row r="4" spans="1:23" x14ac:dyDescent="0.25">
      <c r="A4" s="23">
        <v>96</v>
      </c>
      <c r="B4" s="11">
        <v>2</v>
      </c>
      <c r="C4" s="44">
        <f t="shared" ref="C4:C35" si="2">C3*$K$2</f>
        <v>3030000</v>
      </c>
      <c r="D4" s="3">
        <f>D3*$K$2</f>
        <v>2525000</v>
      </c>
      <c r="E4" s="3">
        <f t="shared" ref="E4:E34" si="3">E3*$L$2+C4-D4</f>
        <v>55115800</v>
      </c>
      <c r="F4" s="45">
        <v>56000000</v>
      </c>
      <c r="G4" s="29">
        <f t="shared" si="0"/>
        <v>-884200</v>
      </c>
      <c r="H4" s="11" t="s">
        <v>547</v>
      </c>
      <c r="M4" s="11" t="s">
        <v>302</v>
      </c>
      <c r="N4" s="29">
        <v>0</v>
      </c>
      <c r="O4" s="29"/>
      <c r="P4" s="11"/>
      <c r="S4" s="29" t="s">
        <v>788</v>
      </c>
      <c r="T4" s="29">
        <v>3500000</v>
      </c>
      <c r="U4" s="11">
        <v>19</v>
      </c>
      <c r="V4" s="29">
        <f t="shared" si="1"/>
        <v>66500000</v>
      </c>
      <c r="W4" s="11" t="s">
        <v>791</v>
      </c>
    </row>
    <row r="5" spans="1:23" x14ac:dyDescent="0.25">
      <c r="A5" s="23">
        <v>96</v>
      </c>
      <c r="B5" s="11">
        <v>3</v>
      </c>
      <c r="C5" s="44">
        <f t="shared" si="2"/>
        <v>3060300</v>
      </c>
      <c r="D5" s="3">
        <f t="shared" ref="D5:D35" si="4">D4*$K$2</f>
        <v>2550250</v>
      </c>
      <c r="E5" s="3">
        <f t="shared" si="3"/>
        <v>56728166</v>
      </c>
      <c r="F5" s="45">
        <v>58000000</v>
      </c>
      <c r="G5" s="29">
        <f t="shared" si="0"/>
        <v>-1271834</v>
      </c>
      <c r="H5" s="11" t="s">
        <v>591</v>
      </c>
      <c r="M5" s="11" t="s">
        <v>717</v>
      </c>
      <c r="N5" s="29">
        <v>24000000</v>
      </c>
      <c r="O5" s="29">
        <v>40000000</v>
      </c>
      <c r="P5" s="11" t="s">
        <v>717</v>
      </c>
      <c r="S5" s="29" t="s">
        <v>814</v>
      </c>
      <c r="T5" s="29">
        <v>500000</v>
      </c>
      <c r="U5" s="11">
        <v>3</v>
      </c>
      <c r="V5" s="29">
        <f t="shared" si="1"/>
        <v>1500000</v>
      </c>
      <c r="W5" s="11" t="s">
        <v>817</v>
      </c>
    </row>
    <row r="6" spans="1:23" x14ac:dyDescent="0.25">
      <c r="A6" s="23">
        <v>96</v>
      </c>
      <c r="B6" s="11">
        <v>4</v>
      </c>
      <c r="C6" s="49">
        <f t="shared" si="2"/>
        <v>3090903</v>
      </c>
      <c r="D6" s="3">
        <f t="shared" si="4"/>
        <v>2575752.5</v>
      </c>
      <c r="E6" s="3">
        <f t="shared" si="3"/>
        <v>58377879.82</v>
      </c>
      <c r="F6" s="66">
        <v>60000000</v>
      </c>
      <c r="G6" s="29">
        <f t="shared" si="0"/>
        <v>-1622120.1799999997</v>
      </c>
      <c r="H6" s="11" t="s">
        <v>627</v>
      </c>
      <c r="M6" s="11" t="s">
        <v>304</v>
      </c>
      <c r="N6" s="29">
        <v>-37600000</v>
      </c>
      <c r="O6" s="29">
        <v>-25000000</v>
      </c>
      <c r="P6" s="11" t="s">
        <v>958</v>
      </c>
      <c r="S6" s="29" t="s">
        <v>816</v>
      </c>
      <c r="T6" s="29">
        <v>-2500000</v>
      </c>
      <c r="U6" s="11">
        <v>1</v>
      </c>
      <c r="V6" s="29">
        <f t="shared" si="1"/>
        <v>-2500000</v>
      </c>
      <c r="W6" s="11" t="s">
        <v>821</v>
      </c>
    </row>
    <row r="7" spans="1:23" x14ac:dyDescent="0.25">
      <c r="A7" s="23">
        <v>96</v>
      </c>
      <c r="B7" s="11">
        <v>5</v>
      </c>
      <c r="C7" s="49">
        <f t="shared" si="2"/>
        <v>3121812.03</v>
      </c>
      <c r="D7" s="3">
        <f t="shared" si="4"/>
        <v>2601510.0249999999</v>
      </c>
      <c r="E7" s="3">
        <f t="shared" si="3"/>
        <v>60065739.421400003</v>
      </c>
      <c r="F7" s="66">
        <v>56000000</v>
      </c>
      <c r="G7" s="29">
        <f t="shared" si="0"/>
        <v>4065739.4214000031</v>
      </c>
      <c r="H7" s="11" t="s">
        <v>722</v>
      </c>
      <c r="M7" s="11" t="s">
        <v>718</v>
      </c>
      <c r="N7" s="29">
        <v>57000000</v>
      </c>
      <c r="O7" s="29"/>
      <c r="P7" s="11"/>
      <c r="S7" s="29" t="s">
        <v>822</v>
      </c>
      <c r="T7" s="29">
        <v>-5800000</v>
      </c>
      <c r="U7" s="11">
        <v>2</v>
      </c>
      <c r="V7" s="29">
        <f t="shared" si="1"/>
        <v>-11600000</v>
      </c>
      <c r="W7" s="11" t="s">
        <v>823</v>
      </c>
    </row>
    <row r="8" spans="1:23" x14ac:dyDescent="0.25">
      <c r="A8" s="23">
        <v>96</v>
      </c>
      <c r="B8" s="11">
        <v>6</v>
      </c>
      <c r="C8" s="49">
        <f t="shared" si="2"/>
        <v>3153030.1502999999</v>
      </c>
      <c r="D8" s="3">
        <f t="shared" si="4"/>
        <v>2627525.12525</v>
      </c>
      <c r="E8" s="3">
        <f t="shared" si="3"/>
        <v>61792559.234878004</v>
      </c>
      <c r="F8" s="66">
        <v>58000000</v>
      </c>
      <c r="G8" s="29">
        <f t="shared" si="0"/>
        <v>3792559.2348780036</v>
      </c>
      <c r="H8" s="11" t="s">
        <v>709</v>
      </c>
      <c r="M8" s="11" t="s">
        <v>956</v>
      </c>
      <c r="N8" s="29">
        <v>10000000</v>
      </c>
      <c r="O8" s="29"/>
      <c r="P8" s="11"/>
      <c r="S8" s="29" t="s">
        <v>826</v>
      </c>
      <c r="T8" s="29">
        <v>-7500000</v>
      </c>
      <c r="U8" s="11">
        <v>4</v>
      </c>
      <c r="V8" s="29">
        <f t="shared" si="1"/>
        <v>-30000000</v>
      </c>
      <c r="W8" s="11" t="s">
        <v>827</v>
      </c>
    </row>
    <row r="9" spans="1:23" x14ac:dyDescent="0.25">
      <c r="A9" s="23">
        <v>96</v>
      </c>
      <c r="B9" s="11">
        <v>7</v>
      </c>
      <c r="C9" s="50">
        <f t="shared" si="2"/>
        <v>3184560.4518029997</v>
      </c>
      <c r="D9" s="3">
        <f t="shared" si="4"/>
        <v>2653800.3765024999</v>
      </c>
      <c r="E9" s="3">
        <f t="shared" si="3"/>
        <v>63559170.494876064</v>
      </c>
      <c r="F9" s="66">
        <v>63665000</v>
      </c>
      <c r="G9" s="29">
        <f t="shared" si="0"/>
        <v>-105829.50512393564</v>
      </c>
      <c r="H9" s="11" t="s">
        <v>737</v>
      </c>
      <c r="M9" s="11" t="s">
        <v>25</v>
      </c>
      <c r="N9" s="29"/>
      <c r="O9" s="29"/>
      <c r="P9" s="11"/>
      <c r="S9" s="29" t="s">
        <v>834</v>
      </c>
      <c r="T9" s="29">
        <v>-8500000</v>
      </c>
      <c r="U9" s="11">
        <v>7</v>
      </c>
      <c r="V9" s="29">
        <f>T9*U9</f>
        <v>-59500000</v>
      </c>
      <c r="W9" s="11" t="s">
        <v>836</v>
      </c>
    </row>
    <row r="10" spans="1:23" x14ac:dyDescent="0.25">
      <c r="A10" s="23">
        <v>96</v>
      </c>
      <c r="B10" s="11">
        <v>8</v>
      </c>
      <c r="C10" s="50">
        <f t="shared" si="2"/>
        <v>3216406.0563210296</v>
      </c>
      <c r="D10" s="3">
        <f t="shared" si="4"/>
        <v>2680338.3802675251</v>
      </c>
      <c r="E10" s="3">
        <f t="shared" si="3"/>
        <v>65366421.580827095</v>
      </c>
      <c r="F10" s="45">
        <v>66250000</v>
      </c>
      <c r="G10" s="29">
        <f t="shared" si="0"/>
        <v>-883578.41917290539</v>
      </c>
      <c r="H10" s="11" t="s">
        <v>787</v>
      </c>
      <c r="M10" s="11" t="s">
        <v>720</v>
      </c>
      <c r="N10" s="29">
        <f>SUM(N2:N6)</f>
        <v>110400000</v>
      </c>
      <c r="O10" s="29"/>
      <c r="P10" s="11"/>
      <c r="S10" s="29" t="s">
        <v>847</v>
      </c>
      <c r="T10" s="29">
        <v>-10500000</v>
      </c>
      <c r="U10" s="11">
        <v>20</v>
      </c>
      <c r="V10" s="29">
        <f t="shared" ref="V10:V14" si="5">T10*U10</f>
        <v>-210000000</v>
      </c>
      <c r="W10" s="11" t="s">
        <v>849</v>
      </c>
    </row>
    <row r="11" spans="1:23" ht="21.75" customHeight="1" x14ac:dyDescent="0.25">
      <c r="A11" s="23">
        <v>96</v>
      </c>
      <c r="B11" s="11">
        <v>9</v>
      </c>
      <c r="C11" s="50">
        <f t="shared" si="2"/>
        <v>3248570.1168842399</v>
      </c>
      <c r="D11" s="3">
        <f t="shared" si="4"/>
        <v>2707141.7640702003</v>
      </c>
      <c r="E11" s="3">
        <f t="shared" si="3"/>
        <v>67215178.36525768</v>
      </c>
      <c r="F11" s="69">
        <v>68665000</v>
      </c>
      <c r="G11" s="29">
        <f t="shared" si="0"/>
        <v>-1449821.6347423196</v>
      </c>
      <c r="H11" s="11" t="s">
        <v>833</v>
      </c>
      <c r="M11" s="11" t="s">
        <v>721</v>
      </c>
      <c r="N11" s="29">
        <f>SUM(N2:N9)</f>
        <v>177400000</v>
      </c>
      <c r="O11" s="29">
        <f>SUM(O2:O9)</f>
        <v>200000000</v>
      </c>
      <c r="P11" s="11"/>
      <c r="S11" s="29" t="s">
        <v>870</v>
      </c>
      <c r="T11" s="29">
        <v>-7500000</v>
      </c>
      <c r="U11" s="11">
        <v>30</v>
      </c>
      <c r="V11" s="29">
        <f t="shared" si="5"/>
        <v>-225000000</v>
      </c>
      <c r="W11" s="76" t="s">
        <v>871</v>
      </c>
    </row>
    <row r="12" spans="1:23" x14ac:dyDescent="0.25">
      <c r="A12" s="23">
        <v>96</v>
      </c>
      <c r="B12" s="11">
        <v>10</v>
      </c>
      <c r="C12" s="3">
        <f t="shared" si="2"/>
        <v>3281055.8180530826</v>
      </c>
      <c r="D12" s="3">
        <f t="shared" si="4"/>
        <v>2734213.1817109021</v>
      </c>
      <c r="E12" s="3">
        <f t="shared" si="3"/>
        <v>69106324.568905011</v>
      </c>
      <c r="F12" s="3">
        <v>71000000</v>
      </c>
      <c r="G12" s="29">
        <f t="shared" si="0"/>
        <v>-1893675.4310949892</v>
      </c>
      <c r="H12" s="11" t="s">
        <v>878</v>
      </c>
      <c r="S12" s="29" t="s">
        <v>908</v>
      </c>
      <c r="T12" s="29">
        <v>-4500000</v>
      </c>
      <c r="U12" s="11">
        <v>21</v>
      </c>
      <c r="V12" s="29">
        <f t="shared" si="5"/>
        <v>-94500000</v>
      </c>
      <c r="W12" s="11" t="s">
        <v>949</v>
      </c>
    </row>
    <row r="13" spans="1:23" x14ac:dyDescent="0.25">
      <c r="A13" s="23">
        <v>96</v>
      </c>
      <c r="B13" s="11">
        <v>11</v>
      </c>
      <c r="C13" s="3">
        <f t="shared" si="2"/>
        <v>3313866.3762336136</v>
      </c>
      <c r="D13" s="3">
        <f t="shared" si="4"/>
        <v>2761555.3135280111</v>
      </c>
      <c r="E13" s="3">
        <f t="shared" si="3"/>
        <v>71040762.122988701</v>
      </c>
      <c r="F13" s="3">
        <v>73900000</v>
      </c>
      <c r="G13" s="29">
        <f t="shared" si="0"/>
        <v>-2859237.8770112991</v>
      </c>
      <c r="H13" s="11" t="s">
        <v>916</v>
      </c>
      <c r="S13" s="29" t="s">
        <v>941</v>
      </c>
      <c r="T13" s="29">
        <v>-3500000</v>
      </c>
      <c r="U13" s="11">
        <v>5</v>
      </c>
      <c r="V13" s="29">
        <f t="shared" si="5"/>
        <v>-17500000</v>
      </c>
      <c r="W13" s="11" t="s">
        <v>950</v>
      </c>
    </row>
    <row r="14" spans="1:23" x14ac:dyDescent="0.25">
      <c r="A14" s="23">
        <v>96</v>
      </c>
      <c r="B14" s="11">
        <v>12</v>
      </c>
      <c r="C14" s="3">
        <f t="shared" si="2"/>
        <v>3347005.0399959497</v>
      </c>
      <c r="D14" s="3">
        <f t="shared" si="4"/>
        <v>2789170.8666632911</v>
      </c>
      <c r="E14" s="46">
        <f t="shared" si="3"/>
        <v>73019411.538781136</v>
      </c>
      <c r="F14" s="3">
        <f>L26</f>
        <v>85172910.675000012</v>
      </c>
      <c r="G14" s="29">
        <f t="shared" si="0"/>
        <v>-12153499.136218876</v>
      </c>
      <c r="H14" s="11"/>
      <c r="L14" s="25"/>
      <c r="O14" s="25"/>
      <c r="R14" s="25"/>
      <c r="S14" s="29" t="s">
        <v>960</v>
      </c>
      <c r="T14" s="29">
        <v>-500000</v>
      </c>
      <c r="U14" s="11">
        <v>100</v>
      </c>
      <c r="V14" s="29">
        <f t="shared" si="5"/>
        <v>-50000000</v>
      </c>
      <c r="W14" s="11" t="s">
        <v>1064</v>
      </c>
    </row>
    <row r="15" spans="1:23" x14ac:dyDescent="0.25">
      <c r="A15" s="60">
        <v>97</v>
      </c>
      <c r="B15" s="11">
        <v>13</v>
      </c>
      <c r="C15" s="44">
        <v>3650000</v>
      </c>
      <c r="D15" s="3">
        <v>2965000</v>
      </c>
      <c r="E15" s="3">
        <v>80600000</v>
      </c>
      <c r="F15" s="3"/>
      <c r="G15" s="29"/>
      <c r="H15" s="11"/>
      <c r="K15" s="2" t="s">
        <v>452</v>
      </c>
      <c r="L15" s="2" t="s">
        <v>453</v>
      </c>
      <c r="M15" s="11"/>
      <c r="N15" s="11" t="s">
        <v>756</v>
      </c>
      <c r="R15" s="25"/>
      <c r="S15" s="29"/>
      <c r="T15" s="29"/>
      <c r="U15" s="11"/>
      <c r="V15" s="29"/>
      <c r="W15" s="11"/>
    </row>
    <row r="16" spans="1:23" x14ac:dyDescent="0.25">
      <c r="A16" s="60">
        <v>97</v>
      </c>
      <c r="B16" s="11">
        <v>14</v>
      </c>
      <c r="C16" s="44">
        <f>C15*$K$2</f>
        <v>3686500</v>
      </c>
      <c r="D16" s="3">
        <f t="shared" si="4"/>
        <v>2994650</v>
      </c>
      <c r="E16" s="3">
        <f>E15*$L$2+C16-D16</f>
        <v>82903850</v>
      </c>
      <c r="F16" s="3"/>
      <c r="G16" s="29"/>
      <c r="H16" s="11"/>
      <c r="K16" s="19" t="s">
        <v>300</v>
      </c>
      <c r="L16" s="43">
        <f>'مسکن ایلیا'!B202</f>
        <v>1616399</v>
      </c>
      <c r="M16" s="11" t="s">
        <v>757</v>
      </c>
      <c r="N16" s="29">
        <f>'مسکن مریم یاران'!B127</f>
        <v>7314793</v>
      </c>
      <c r="P16" s="28"/>
      <c r="Q16" s="25"/>
      <c r="R16" s="25"/>
      <c r="S16" s="29" t="s">
        <v>25</v>
      </c>
      <c r="T16" s="29"/>
      <c r="U16" s="11"/>
      <c r="V16" s="29"/>
      <c r="W16" s="11"/>
    </row>
    <row r="17" spans="1:23" x14ac:dyDescent="0.25">
      <c r="A17" s="60">
        <v>97</v>
      </c>
      <c r="B17" s="11">
        <v>15</v>
      </c>
      <c r="C17" s="44">
        <f t="shared" si="2"/>
        <v>3723365</v>
      </c>
      <c r="D17" s="3">
        <f t="shared" si="4"/>
        <v>3024596.5</v>
      </c>
      <c r="E17" s="3">
        <f t="shared" si="3"/>
        <v>85260695.5</v>
      </c>
      <c r="F17" s="3"/>
      <c r="G17" s="29"/>
      <c r="H17" s="11"/>
      <c r="K17" s="2" t="s">
        <v>454</v>
      </c>
      <c r="L17" s="43">
        <f>'مسکن علی سید الشهدا'!B70</f>
        <v>635093</v>
      </c>
      <c r="M17" s="11" t="s">
        <v>658</v>
      </c>
      <c r="N17" s="29">
        <f>سارا!D156</f>
        <v>671813</v>
      </c>
      <c r="P17" s="28"/>
      <c r="Q17" s="25"/>
      <c r="R17" s="25"/>
      <c r="S17" s="29"/>
      <c r="T17" s="29"/>
      <c r="U17" s="11"/>
      <c r="V17" s="29"/>
      <c r="W17" s="11"/>
    </row>
    <row r="18" spans="1:23" x14ac:dyDescent="0.25">
      <c r="A18" s="60">
        <v>97</v>
      </c>
      <c r="B18" s="11">
        <v>16</v>
      </c>
      <c r="C18" s="49">
        <f t="shared" si="2"/>
        <v>3760598.65</v>
      </c>
      <c r="D18" s="3">
        <f t="shared" si="4"/>
        <v>3054842.4649999999</v>
      </c>
      <c r="E18" s="3">
        <f t="shared" si="3"/>
        <v>87671665.594999999</v>
      </c>
      <c r="F18" s="3"/>
      <c r="G18" s="29"/>
      <c r="H18" s="11"/>
      <c r="K18" s="2" t="s">
        <v>684</v>
      </c>
      <c r="L18" s="43">
        <v>1000000</v>
      </c>
      <c r="M18" s="11" t="s">
        <v>758</v>
      </c>
      <c r="N18" s="29">
        <v>30000000</v>
      </c>
      <c r="S18" s="11"/>
      <c r="T18" s="29"/>
      <c r="U18" s="29"/>
      <c r="V18" s="29">
        <f>SUM(V2:V17)</f>
        <v>-2600000</v>
      </c>
      <c r="W18" s="11"/>
    </row>
    <row r="19" spans="1:23" x14ac:dyDescent="0.25">
      <c r="A19" s="60">
        <v>97</v>
      </c>
      <c r="B19" s="11">
        <v>17</v>
      </c>
      <c r="C19" s="49">
        <f t="shared" si="2"/>
        <v>3798204.6365</v>
      </c>
      <c r="D19" s="3">
        <f t="shared" si="4"/>
        <v>3085390.8896499998</v>
      </c>
      <c r="E19" s="3">
        <f t="shared" si="3"/>
        <v>90137912.653750002</v>
      </c>
      <c r="F19" s="3"/>
      <c r="G19" s="29"/>
      <c r="H19" s="11"/>
      <c r="K19" s="2" t="s">
        <v>85</v>
      </c>
      <c r="L19" s="43">
        <v>-7100000</v>
      </c>
      <c r="M19" s="11" t="s">
        <v>765</v>
      </c>
      <c r="N19" s="29">
        <v>4500000</v>
      </c>
      <c r="S19" s="11"/>
      <c r="T19" s="11" t="s">
        <v>25</v>
      </c>
      <c r="U19" s="11"/>
      <c r="V19" s="70" t="s">
        <v>6</v>
      </c>
      <c r="W19" s="29"/>
    </row>
    <row r="20" spans="1:23" x14ac:dyDescent="0.25">
      <c r="A20" s="60">
        <v>97</v>
      </c>
      <c r="B20" s="11">
        <v>18</v>
      </c>
      <c r="C20" s="49">
        <f t="shared" si="2"/>
        <v>3836186.6828649999</v>
      </c>
      <c r="D20" s="3">
        <f t="shared" si="4"/>
        <v>3116244.7985465</v>
      </c>
      <c r="E20" s="3">
        <f t="shared" si="3"/>
        <v>92660612.791143507</v>
      </c>
      <c r="F20" s="3"/>
      <c r="G20" s="29"/>
      <c r="H20" s="11"/>
      <c r="K20" s="2" t="s">
        <v>457</v>
      </c>
      <c r="L20" s="43">
        <v>550000</v>
      </c>
      <c r="M20" s="11" t="s">
        <v>766</v>
      </c>
      <c r="N20" s="29">
        <v>2000000</v>
      </c>
      <c r="S20" s="11"/>
      <c r="T20" s="11"/>
      <c r="U20" s="11"/>
      <c r="V20" s="29"/>
      <c r="W20" s="11"/>
    </row>
    <row r="21" spans="1:23" x14ac:dyDescent="0.25">
      <c r="A21" s="60">
        <v>97</v>
      </c>
      <c r="B21" s="11">
        <v>19</v>
      </c>
      <c r="C21" s="50">
        <f t="shared" si="2"/>
        <v>3874548.5496936501</v>
      </c>
      <c r="D21" s="3">
        <f t="shared" si="4"/>
        <v>3147407.2465319652</v>
      </c>
      <c r="E21" s="3">
        <f t="shared" si="3"/>
        <v>95240966.350128055</v>
      </c>
      <c r="F21" s="3"/>
      <c r="G21" s="29"/>
      <c r="H21" s="11"/>
      <c r="J21" s="25"/>
      <c r="K21" s="2" t="s">
        <v>736</v>
      </c>
      <c r="L21" s="43">
        <v>0</v>
      </c>
      <c r="M21" s="11" t="s">
        <v>767</v>
      </c>
      <c r="N21" s="29">
        <f>-1*L19</f>
        <v>7100000</v>
      </c>
      <c r="S21" s="29"/>
      <c r="T21" s="11"/>
      <c r="U21" s="11"/>
      <c r="V21" s="11"/>
      <c r="W21" s="11" t="s">
        <v>724</v>
      </c>
    </row>
    <row r="22" spans="1:23" x14ac:dyDescent="0.25">
      <c r="A22" s="60">
        <v>97</v>
      </c>
      <c r="B22" s="11">
        <v>20</v>
      </c>
      <c r="C22" s="50">
        <f t="shared" si="2"/>
        <v>3913294.0351905865</v>
      </c>
      <c r="D22" s="3">
        <f t="shared" si="4"/>
        <v>3178881.3189972849</v>
      </c>
      <c r="E22" s="3">
        <f t="shared" si="3"/>
        <v>97880198.393323928</v>
      </c>
      <c r="F22" s="3"/>
      <c r="G22" s="29"/>
      <c r="H22" s="11"/>
      <c r="J22" s="25"/>
      <c r="K22" s="2" t="s">
        <v>940</v>
      </c>
      <c r="L22" s="43">
        <v>4800000</v>
      </c>
      <c r="M22" s="11" t="s">
        <v>759</v>
      </c>
      <c r="N22" s="29">
        <v>1350000</v>
      </c>
      <c r="S22" s="11"/>
      <c r="T22" s="11"/>
      <c r="U22" s="11"/>
      <c r="V22" s="11"/>
      <c r="W22" s="11" t="s">
        <v>760</v>
      </c>
    </row>
    <row r="23" spans="1:23" x14ac:dyDescent="0.25">
      <c r="A23" s="60">
        <v>97</v>
      </c>
      <c r="B23" s="11">
        <v>21</v>
      </c>
      <c r="C23" s="50">
        <f t="shared" si="2"/>
        <v>3952426.9755424922</v>
      </c>
      <c r="D23" s="3">
        <f t="shared" si="4"/>
        <v>3210670.1321872575</v>
      </c>
      <c r="E23" s="3">
        <f t="shared" si="3"/>
        <v>100579559.20454563</v>
      </c>
      <c r="F23" s="3"/>
      <c r="G23" s="29"/>
      <c r="H23" s="11"/>
      <c r="I23" s="7"/>
      <c r="J23" s="28"/>
      <c r="K23" s="2" t="s">
        <v>953</v>
      </c>
      <c r="L23" s="43">
        <f>'لیست خرید و فروش'!C75</f>
        <v>171208508.67500001</v>
      </c>
      <c r="M23" s="11" t="s">
        <v>771</v>
      </c>
      <c r="N23" s="29">
        <v>1200000</v>
      </c>
    </row>
    <row r="24" spans="1:23" x14ac:dyDescent="0.25">
      <c r="A24" s="60">
        <v>97</v>
      </c>
      <c r="B24" s="11">
        <v>22</v>
      </c>
      <c r="C24" s="3">
        <f t="shared" si="2"/>
        <v>3991951.2452979172</v>
      </c>
      <c r="D24" s="3">
        <f t="shared" si="4"/>
        <v>3242776.8335091299</v>
      </c>
      <c r="E24" s="3">
        <f t="shared" si="3"/>
        <v>103340324.80042534</v>
      </c>
      <c r="F24" s="3"/>
      <c r="G24" s="11"/>
      <c r="H24" s="11"/>
      <c r="J24" s="55"/>
      <c r="K24" s="11" t="s">
        <v>1061</v>
      </c>
      <c r="L24" s="43">
        <f>-'لیست خرید و فروش'!F93</f>
        <v>-87537090</v>
      </c>
      <c r="M24" s="11" t="s">
        <v>907</v>
      </c>
      <c r="N24" s="29">
        <v>5500000</v>
      </c>
    </row>
    <row r="25" spans="1:23" x14ac:dyDescent="0.25">
      <c r="A25" s="60">
        <v>97</v>
      </c>
      <c r="B25" s="11">
        <v>23</v>
      </c>
      <c r="C25" s="3">
        <f t="shared" si="2"/>
        <v>4031870.7577508963</v>
      </c>
      <c r="D25" s="3">
        <f t="shared" si="4"/>
        <v>3275204.6018442214</v>
      </c>
      <c r="E25" s="3">
        <f t="shared" si="3"/>
        <v>106163797.45234053</v>
      </c>
      <c r="F25" s="3"/>
      <c r="G25" s="11"/>
      <c r="H25" s="11"/>
      <c r="J25" s="25"/>
      <c r="K25" s="11"/>
      <c r="L25" s="43"/>
      <c r="M25" s="11" t="s">
        <v>1062</v>
      </c>
      <c r="N25" s="29">
        <f>-L24</f>
        <v>87537090</v>
      </c>
    </row>
    <row r="26" spans="1:23" x14ac:dyDescent="0.25">
      <c r="A26" s="60">
        <v>97</v>
      </c>
      <c r="B26" s="11">
        <v>24</v>
      </c>
      <c r="C26" s="3">
        <f t="shared" si="2"/>
        <v>4072189.4653284051</v>
      </c>
      <c r="D26" s="3">
        <f t="shared" si="4"/>
        <v>3307956.6478626635</v>
      </c>
      <c r="E26" s="46">
        <f t="shared" si="3"/>
        <v>109051306.21885309</v>
      </c>
      <c r="F26" s="3"/>
      <c r="G26" s="11"/>
      <c r="H26" s="11"/>
      <c r="J26" s="25"/>
      <c r="K26" s="2" t="s">
        <v>599</v>
      </c>
      <c r="L26" s="3">
        <f>SUM(L16:L24)</f>
        <v>85172910.675000012</v>
      </c>
      <c r="M26" s="11"/>
      <c r="N26" s="29"/>
      <c r="U26" s="28"/>
      <c r="V26" s="25"/>
      <c r="W26" s="25"/>
    </row>
    <row r="27" spans="1:23" x14ac:dyDescent="0.25">
      <c r="A27" s="61">
        <v>98</v>
      </c>
      <c r="B27" s="11">
        <v>25</v>
      </c>
      <c r="C27" s="44">
        <f t="shared" si="2"/>
        <v>4112911.3599816891</v>
      </c>
      <c r="D27" s="3">
        <f t="shared" si="4"/>
        <v>3341036.2143412903</v>
      </c>
      <c r="E27" s="3">
        <f t="shared" si="3"/>
        <v>112004207.48887053</v>
      </c>
      <c r="F27" s="3"/>
      <c r="G27" s="11"/>
      <c r="H27" s="11"/>
      <c r="J27" s="25"/>
      <c r="K27" s="2" t="s">
        <v>600</v>
      </c>
      <c r="L27" s="3">
        <f>L16+L17+L20</f>
        <v>2801492</v>
      </c>
      <c r="M27" s="11"/>
      <c r="N27" s="11"/>
      <c r="U27" s="25"/>
      <c r="V27" s="25"/>
      <c r="W27" s="25"/>
    </row>
    <row r="28" spans="1:23" x14ac:dyDescent="0.25">
      <c r="A28" s="61">
        <v>98</v>
      </c>
      <c r="B28" s="11">
        <v>26</v>
      </c>
      <c r="C28" s="44">
        <f t="shared" si="2"/>
        <v>4154040.4735815059</v>
      </c>
      <c r="D28" s="3">
        <f t="shared" si="4"/>
        <v>3374446.5764847035</v>
      </c>
      <c r="E28" s="3">
        <f t="shared" si="3"/>
        <v>115023885.53574474</v>
      </c>
      <c r="F28" s="3"/>
      <c r="G28" s="11"/>
      <c r="H28" s="11"/>
      <c r="K28" s="56" t="s">
        <v>719</v>
      </c>
      <c r="L28" s="1">
        <f>L26+N7</f>
        <v>142172910.67500001</v>
      </c>
      <c r="M28" s="29" t="s">
        <v>6</v>
      </c>
      <c r="N28" s="29">
        <f>SUM(N16:N27)</f>
        <v>147173696</v>
      </c>
      <c r="V28" s="25"/>
      <c r="W28" s="25"/>
    </row>
    <row r="29" spans="1:23" x14ac:dyDescent="0.25">
      <c r="A29" s="61">
        <v>98</v>
      </c>
      <c r="B29" s="11">
        <v>27</v>
      </c>
      <c r="C29" s="44">
        <f t="shared" si="2"/>
        <v>4195580.8783173207</v>
      </c>
      <c r="D29" s="3">
        <f t="shared" si="4"/>
        <v>3408191.0422495506</v>
      </c>
      <c r="E29" s="3">
        <f t="shared" si="3"/>
        <v>118111753.08252741</v>
      </c>
      <c r="F29" s="3"/>
      <c r="G29" s="11"/>
      <c r="H29" s="11"/>
      <c r="V29" s="25"/>
      <c r="W29" s="25"/>
    </row>
    <row r="30" spans="1:23" x14ac:dyDescent="0.25">
      <c r="A30" s="61">
        <v>98</v>
      </c>
      <c r="B30" s="11">
        <v>28</v>
      </c>
      <c r="C30" s="49">
        <f t="shared" si="2"/>
        <v>4237536.6871004943</v>
      </c>
      <c r="D30" s="3">
        <f t="shared" si="4"/>
        <v>3442272.9526720461</v>
      </c>
      <c r="E30" s="3">
        <f t="shared" si="3"/>
        <v>121269251.87860641</v>
      </c>
      <c r="F30" s="3"/>
      <c r="G30" s="11"/>
      <c r="H30" s="11"/>
      <c r="J30" s="25"/>
      <c r="M30" s="25"/>
      <c r="V30" s="25"/>
    </row>
    <row r="31" spans="1:23" x14ac:dyDescent="0.25">
      <c r="A31" s="61">
        <v>98</v>
      </c>
      <c r="B31" s="11">
        <v>29</v>
      </c>
      <c r="C31" s="49">
        <f t="shared" si="2"/>
        <v>4279912.0539714992</v>
      </c>
      <c r="D31" s="3">
        <f t="shared" si="4"/>
        <v>3476695.6821987666</v>
      </c>
      <c r="E31" s="3">
        <f t="shared" si="3"/>
        <v>124497853.28795128</v>
      </c>
      <c r="F31" s="3"/>
      <c r="G31" s="11"/>
      <c r="H31" s="11"/>
      <c r="J31" s="25"/>
      <c r="M31" s="25"/>
      <c r="V31" s="25"/>
    </row>
    <row r="32" spans="1:23" x14ac:dyDescent="0.25">
      <c r="A32" s="61">
        <v>98</v>
      </c>
      <c r="B32" s="11">
        <v>30</v>
      </c>
      <c r="C32" s="49">
        <f t="shared" si="2"/>
        <v>4322711.1745112138</v>
      </c>
      <c r="D32" s="3">
        <f t="shared" si="4"/>
        <v>3511462.6390207545</v>
      </c>
      <c r="E32" s="3">
        <f t="shared" si="3"/>
        <v>127799058.88920076</v>
      </c>
      <c r="F32" s="3"/>
      <c r="G32" s="11"/>
      <c r="H32" s="11"/>
      <c r="J32" s="55"/>
      <c r="M32" s="26"/>
      <c r="O32" s="25"/>
      <c r="V32" s="25"/>
      <c r="W32" s="25"/>
    </row>
    <row r="33" spans="1:22" x14ac:dyDescent="0.25">
      <c r="A33" s="61">
        <v>98</v>
      </c>
      <c r="B33" s="11">
        <v>31</v>
      </c>
      <c r="C33" s="50">
        <f t="shared" si="2"/>
        <v>4365938.2862563264</v>
      </c>
      <c r="D33" s="3">
        <f t="shared" si="4"/>
        <v>3546577.265410962</v>
      </c>
      <c r="E33" s="3">
        <f t="shared" si="3"/>
        <v>131174401.08783013</v>
      </c>
      <c r="F33" s="3"/>
      <c r="G33" s="11"/>
      <c r="H33" s="11"/>
      <c r="J33" s="25"/>
      <c r="K33" s="3"/>
      <c r="L33" s="11" t="s">
        <v>305</v>
      </c>
      <c r="M33" s="25"/>
      <c r="N33" s="25"/>
    </row>
    <row r="34" spans="1:22" x14ac:dyDescent="0.25">
      <c r="A34" s="61">
        <v>98</v>
      </c>
      <c r="B34" s="11">
        <v>32</v>
      </c>
      <c r="C34" s="50">
        <f t="shared" si="2"/>
        <v>4409597.6691188896</v>
      </c>
      <c r="D34" s="3">
        <f t="shared" si="4"/>
        <v>3582043.0380650717</v>
      </c>
      <c r="E34" s="3">
        <f t="shared" si="3"/>
        <v>134625443.74064055</v>
      </c>
      <c r="F34" s="3"/>
      <c r="G34" s="11"/>
      <c r="H34" s="11"/>
      <c r="K34" s="1" t="s">
        <v>306</v>
      </c>
      <c r="L34" s="1">
        <v>70000</v>
      </c>
      <c r="M34" s="25"/>
      <c r="N34" t="s">
        <v>25</v>
      </c>
    </row>
    <row r="35" spans="1:22" x14ac:dyDescent="0.25">
      <c r="A35" s="61">
        <v>98</v>
      </c>
      <c r="B35" s="11">
        <v>33</v>
      </c>
      <c r="C35" s="50">
        <f t="shared" si="2"/>
        <v>4453693.6458100788</v>
      </c>
      <c r="D35" s="3">
        <f t="shared" si="4"/>
        <v>3617863.4684457225</v>
      </c>
      <c r="E35" s="3">
        <f t="shared" ref="E35:E62" si="6">E34*$L$2+C35-D35</f>
        <v>138153782.79281771</v>
      </c>
      <c r="F35" s="3"/>
      <c r="G35" s="11"/>
      <c r="H35" s="11"/>
      <c r="K35" s="1" t="s">
        <v>322</v>
      </c>
      <c r="L35" s="1">
        <v>100000</v>
      </c>
      <c r="M35" t="s">
        <v>25</v>
      </c>
    </row>
    <row r="36" spans="1:22" x14ac:dyDescent="0.25">
      <c r="A36" s="61">
        <v>98</v>
      </c>
      <c r="B36" s="11">
        <v>34</v>
      </c>
      <c r="C36" s="3">
        <f t="shared" ref="C36:C62" si="7">C35*$K$2</f>
        <v>4498230.5822681794</v>
      </c>
      <c r="D36" s="3">
        <f t="shared" ref="D36:D62" si="8">D35*$K$2</f>
        <v>3654042.1031301799</v>
      </c>
      <c r="E36" s="3">
        <f t="shared" si="6"/>
        <v>141761046.92781207</v>
      </c>
      <c r="F36" s="3"/>
      <c r="G36" s="11"/>
      <c r="H36" s="11"/>
      <c r="K36" s="1" t="s">
        <v>307</v>
      </c>
      <c r="L36" s="1">
        <v>80000</v>
      </c>
      <c r="V36" t="s">
        <v>25</v>
      </c>
    </row>
    <row r="37" spans="1:22" x14ac:dyDescent="0.25">
      <c r="A37" s="61">
        <v>98</v>
      </c>
      <c r="B37" s="11">
        <v>35</v>
      </c>
      <c r="C37" s="3">
        <f t="shared" si="7"/>
        <v>4543212.888090861</v>
      </c>
      <c r="D37" s="3">
        <f t="shared" si="8"/>
        <v>3690582.5241614818</v>
      </c>
      <c r="E37" s="3">
        <f t="shared" si="6"/>
        <v>145448898.23029768</v>
      </c>
      <c r="F37" s="3"/>
      <c r="G37" s="11"/>
      <c r="H37" s="11"/>
      <c r="K37" s="31" t="s">
        <v>308</v>
      </c>
      <c r="L37" s="1">
        <v>150000</v>
      </c>
    </row>
    <row r="38" spans="1:22" x14ac:dyDescent="0.25">
      <c r="A38" s="61">
        <v>98</v>
      </c>
      <c r="B38" s="11">
        <v>36</v>
      </c>
      <c r="C38" s="3">
        <f t="shared" si="7"/>
        <v>4588645.0169717697</v>
      </c>
      <c r="D38" s="3">
        <f t="shared" si="8"/>
        <v>3727488.3494030968</v>
      </c>
      <c r="E38" s="46">
        <f t="shared" si="6"/>
        <v>149219032.86247233</v>
      </c>
      <c r="F38" s="3"/>
      <c r="G38" s="11"/>
      <c r="H38" s="11"/>
      <c r="K38" s="31" t="s">
        <v>309</v>
      </c>
      <c r="L38" s="1">
        <v>300000</v>
      </c>
    </row>
    <row r="39" spans="1:22" x14ac:dyDescent="0.25">
      <c r="A39" s="62">
        <v>99</v>
      </c>
      <c r="B39" s="11">
        <v>37</v>
      </c>
      <c r="C39" s="44">
        <f t="shared" si="7"/>
        <v>4634531.4671414876</v>
      </c>
      <c r="D39" s="3">
        <f t="shared" si="8"/>
        <v>3764763.232897128</v>
      </c>
      <c r="E39" s="3">
        <f t="shared" si="6"/>
        <v>153073181.75396612</v>
      </c>
      <c r="F39" s="3"/>
      <c r="G39" s="11"/>
      <c r="H39" s="11"/>
      <c r="K39" s="31" t="s">
        <v>310</v>
      </c>
      <c r="L39" s="1">
        <v>100000</v>
      </c>
    </row>
    <row r="40" spans="1:22" x14ac:dyDescent="0.25">
      <c r="A40" s="62">
        <v>99</v>
      </c>
      <c r="B40" s="11">
        <v>38</v>
      </c>
      <c r="C40" s="44">
        <f t="shared" si="7"/>
        <v>4680876.7818129025</v>
      </c>
      <c r="D40" s="3">
        <f t="shared" si="8"/>
        <v>3802410.8652260993</v>
      </c>
      <c r="E40" s="3">
        <f t="shared" si="6"/>
        <v>157013111.30563226</v>
      </c>
      <c r="F40" s="3"/>
      <c r="G40" s="11"/>
      <c r="H40" s="11"/>
      <c r="K40" s="31" t="s">
        <v>311</v>
      </c>
      <c r="L40" s="1">
        <v>200000</v>
      </c>
      <c r="P40" s="25"/>
    </row>
    <row r="41" spans="1:22" x14ac:dyDescent="0.25">
      <c r="A41" s="62">
        <v>99</v>
      </c>
      <c r="B41" s="11">
        <v>39</v>
      </c>
      <c r="C41" s="44">
        <f t="shared" si="7"/>
        <v>4727685.5496310312</v>
      </c>
      <c r="D41" s="3">
        <f t="shared" si="8"/>
        <v>3840434.9738783604</v>
      </c>
      <c r="E41" s="3">
        <f t="shared" si="6"/>
        <v>161040624.10749757</v>
      </c>
      <c r="F41" s="3"/>
      <c r="G41" s="11"/>
      <c r="H41" s="11"/>
      <c r="K41" s="18" t="s">
        <v>312</v>
      </c>
      <c r="L41" s="18">
        <v>300000</v>
      </c>
      <c r="P41" s="25"/>
    </row>
    <row r="42" spans="1:22" x14ac:dyDescent="0.25">
      <c r="A42" s="62">
        <v>99</v>
      </c>
      <c r="B42" s="11">
        <v>40</v>
      </c>
      <c r="C42" s="49">
        <f t="shared" si="7"/>
        <v>4774962.4051273419</v>
      </c>
      <c r="D42" s="3">
        <f t="shared" si="8"/>
        <v>3878839.323617144</v>
      </c>
      <c r="E42" s="3">
        <f t="shared" si="6"/>
        <v>165157559.67115775</v>
      </c>
      <c r="F42" s="3"/>
      <c r="G42" s="11"/>
      <c r="H42" s="11"/>
      <c r="K42" s="32" t="s">
        <v>313</v>
      </c>
      <c r="L42" s="1">
        <v>200000</v>
      </c>
    </row>
    <row r="43" spans="1:22" x14ac:dyDescent="0.25">
      <c r="A43" s="62">
        <v>99</v>
      </c>
      <c r="B43" s="11">
        <v>41</v>
      </c>
      <c r="C43" s="49">
        <f t="shared" si="7"/>
        <v>4822712.0291786157</v>
      </c>
      <c r="D43" s="3">
        <f t="shared" si="8"/>
        <v>3917627.7168533155</v>
      </c>
      <c r="E43" s="3">
        <f t="shared" si="6"/>
        <v>169365795.1769062</v>
      </c>
      <c r="F43" s="3"/>
      <c r="G43" s="11"/>
      <c r="H43" s="11"/>
      <c r="K43" s="32" t="s">
        <v>314</v>
      </c>
      <c r="L43" s="1">
        <v>20000</v>
      </c>
    </row>
    <row r="44" spans="1:22" x14ac:dyDescent="0.25">
      <c r="A44" s="62">
        <v>99</v>
      </c>
      <c r="B44" s="11">
        <v>42</v>
      </c>
      <c r="C44" s="49">
        <f t="shared" si="7"/>
        <v>4870939.1494704019</v>
      </c>
      <c r="D44" s="3">
        <f t="shared" si="8"/>
        <v>3956803.9940218488</v>
      </c>
      <c r="E44" s="3">
        <f t="shared" si="6"/>
        <v>173667246.23589286</v>
      </c>
      <c r="F44" s="3"/>
      <c r="G44" s="11"/>
      <c r="H44" s="11"/>
      <c r="K44" s="32" t="s">
        <v>316</v>
      </c>
      <c r="L44" s="1">
        <v>50000</v>
      </c>
    </row>
    <row r="45" spans="1:22" x14ac:dyDescent="0.25">
      <c r="A45" s="62">
        <v>99</v>
      </c>
      <c r="B45" s="11">
        <v>43</v>
      </c>
      <c r="C45" s="50">
        <f t="shared" si="7"/>
        <v>4919648.5409651063</v>
      </c>
      <c r="D45" s="3">
        <f t="shared" si="8"/>
        <v>3996372.0339620672</v>
      </c>
      <c r="E45" s="3">
        <f t="shared" si="6"/>
        <v>178063867.66761377</v>
      </c>
      <c r="F45" s="3"/>
      <c r="G45" s="11"/>
      <c r="H45" s="11"/>
      <c r="K45" s="32" t="s">
        <v>317</v>
      </c>
      <c r="L45" s="1">
        <v>90000</v>
      </c>
    </row>
    <row r="46" spans="1:22" x14ac:dyDescent="0.25">
      <c r="A46" s="62">
        <v>99</v>
      </c>
      <c r="B46" s="11">
        <v>44</v>
      </c>
      <c r="C46" s="50">
        <f t="shared" si="7"/>
        <v>4968845.0263747573</v>
      </c>
      <c r="D46" s="3">
        <f t="shared" si="8"/>
        <v>4036335.7543016877</v>
      </c>
      <c r="E46" s="3">
        <f t="shared" si="6"/>
        <v>182557654.29303911</v>
      </c>
      <c r="F46" s="3"/>
      <c r="G46" s="11"/>
      <c r="H46" s="11"/>
      <c r="K46" s="32" t="s">
        <v>318</v>
      </c>
      <c r="L46" s="1">
        <v>50000</v>
      </c>
    </row>
    <row r="47" spans="1:22" x14ac:dyDescent="0.25">
      <c r="A47" s="62">
        <v>99</v>
      </c>
      <c r="B47" s="11">
        <v>45</v>
      </c>
      <c r="C47" s="50">
        <f t="shared" si="7"/>
        <v>5018533.4766385052</v>
      </c>
      <c r="D47" s="3">
        <f t="shared" si="8"/>
        <v>4076699.1118447045</v>
      </c>
      <c r="E47" s="3">
        <f t="shared" si="6"/>
        <v>187150641.74369368</v>
      </c>
      <c r="F47" s="3"/>
      <c r="G47" s="11"/>
      <c r="H47" s="11"/>
      <c r="K47" s="32" t="s">
        <v>328</v>
      </c>
      <c r="L47" s="1">
        <v>150000</v>
      </c>
    </row>
    <row r="48" spans="1:22" x14ac:dyDescent="0.25">
      <c r="A48" s="64">
        <v>99</v>
      </c>
      <c r="B48" s="64">
        <v>46</v>
      </c>
      <c r="C48" s="65">
        <f t="shared" si="7"/>
        <v>5068718.8114048904</v>
      </c>
      <c r="D48" s="65">
        <f t="shared" si="8"/>
        <v>4117466.1029631514</v>
      </c>
      <c r="E48" s="65">
        <f t="shared" si="6"/>
        <v>191844907.2870093</v>
      </c>
      <c r="F48" s="3"/>
      <c r="G48" s="11"/>
      <c r="H48" s="11" t="s">
        <v>612</v>
      </c>
      <c r="K48" s="32" t="s">
        <v>319</v>
      </c>
      <c r="L48" s="1">
        <v>15000</v>
      </c>
    </row>
    <row r="49" spans="1:12" x14ac:dyDescent="0.25">
      <c r="A49" s="62">
        <v>99</v>
      </c>
      <c r="B49" s="11">
        <v>47</v>
      </c>
      <c r="C49" s="3">
        <f t="shared" si="7"/>
        <v>5119405.9995189393</v>
      </c>
      <c r="D49" s="3">
        <f t="shared" si="8"/>
        <v>4158640.7639927831</v>
      </c>
      <c r="E49" s="3">
        <f t="shared" si="6"/>
        <v>196642570.66827562</v>
      </c>
      <c r="F49" s="3"/>
      <c r="G49" s="11"/>
      <c r="H49" s="11"/>
      <c r="K49" s="32" t="s">
        <v>320</v>
      </c>
      <c r="L49" s="1">
        <v>20000</v>
      </c>
    </row>
    <row r="50" spans="1:12" x14ac:dyDescent="0.25">
      <c r="A50" s="62">
        <v>99</v>
      </c>
      <c r="B50" s="11">
        <v>48</v>
      </c>
      <c r="C50" s="51">
        <f t="shared" si="7"/>
        <v>5170600.0595141286</v>
      </c>
      <c r="D50" s="51">
        <f t="shared" si="8"/>
        <v>4200227.1716327108</v>
      </c>
      <c r="E50" s="52">
        <f t="shared" si="6"/>
        <v>201545794.96952257</v>
      </c>
      <c r="F50" s="51"/>
      <c r="G50" s="11"/>
      <c r="H50" s="11"/>
      <c r="K50" s="32" t="s">
        <v>321</v>
      </c>
      <c r="L50" s="1">
        <v>40000</v>
      </c>
    </row>
    <row r="51" spans="1:12" x14ac:dyDescent="0.25">
      <c r="A51" s="63">
        <v>1400</v>
      </c>
      <c r="B51" s="11">
        <v>49</v>
      </c>
      <c r="C51" s="44">
        <f t="shared" si="7"/>
        <v>5222306.0601092698</v>
      </c>
      <c r="D51" s="3">
        <f t="shared" si="8"/>
        <v>4242229.4433490383</v>
      </c>
      <c r="E51" s="3">
        <f t="shared" si="6"/>
        <v>206556787.48567325</v>
      </c>
      <c r="F51" s="3"/>
      <c r="G51" s="11"/>
      <c r="H51" s="11"/>
      <c r="K51" s="32" t="s">
        <v>323</v>
      </c>
      <c r="L51" s="1">
        <v>150000</v>
      </c>
    </row>
    <row r="52" spans="1:12" x14ac:dyDescent="0.25">
      <c r="A52" s="63">
        <v>1400</v>
      </c>
      <c r="B52" s="11">
        <v>50</v>
      </c>
      <c r="C52" s="44">
        <f t="shared" si="7"/>
        <v>5274529.1207103627</v>
      </c>
      <c r="D52" s="3">
        <f t="shared" si="8"/>
        <v>4284651.7377825286</v>
      </c>
      <c r="E52" s="3">
        <f t="shared" si="6"/>
        <v>211677800.61831456</v>
      </c>
      <c r="F52" s="3"/>
      <c r="G52" s="11"/>
      <c r="H52" s="11"/>
      <c r="K52" s="32" t="s">
        <v>325</v>
      </c>
      <c r="L52" s="1">
        <v>75000</v>
      </c>
    </row>
    <row r="53" spans="1:12" x14ac:dyDescent="0.25">
      <c r="A53" s="63">
        <v>1400</v>
      </c>
      <c r="B53" s="11">
        <v>51</v>
      </c>
      <c r="C53" s="44">
        <f t="shared" si="7"/>
        <v>5327274.4119174667</v>
      </c>
      <c r="D53" s="3">
        <f t="shared" si="8"/>
        <v>4327498.2551603541</v>
      </c>
      <c r="E53" s="3">
        <f t="shared" si="6"/>
        <v>216911132.78743798</v>
      </c>
      <c r="F53" s="3"/>
      <c r="G53" s="11"/>
      <c r="H53" s="11"/>
      <c r="K53" s="32" t="s">
        <v>315</v>
      </c>
      <c r="L53" s="1">
        <v>140000</v>
      </c>
    </row>
    <row r="54" spans="1:12" x14ac:dyDescent="0.25">
      <c r="A54" s="63">
        <v>1400</v>
      </c>
      <c r="B54" s="11">
        <v>52</v>
      </c>
      <c r="C54" s="49">
        <f t="shared" si="7"/>
        <v>5380547.1560366414</v>
      </c>
      <c r="D54" s="3">
        <f t="shared" si="8"/>
        <v>4370773.2377119577</v>
      </c>
      <c r="E54" s="3">
        <f t="shared" si="6"/>
        <v>222259129.36151141</v>
      </c>
      <c r="F54" s="3"/>
      <c r="G54" s="11"/>
      <c r="H54" s="11"/>
      <c r="K54" s="2" t="s">
        <v>479</v>
      </c>
      <c r="L54" s="3">
        <v>830000</v>
      </c>
    </row>
    <row r="55" spans="1:12" x14ac:dyDescent="0.25">
      <c r="A55" s="63">
        <v>1400</v>
      </c>
      <c r="B55" s="11">
        <v>53</v>
      </c>
      <c r="C55" s="49">
        <f t="shared" si="7"/>
        <v>5434352.6275970079</v>
      </c>
      <c r="D55" s="3">
        <f t="shared" si="8"/>
        <v>4414480.970089077</v>
      </c>
      <c r="E55" s="3">
        <f t="shared" si="6"/>
        <v>227724183.60624957</v>
      </c>
      <c r="F55" s="3"/>
      <c r="G55" s="11"/>
      <c r="H55" s="11"/>
      <c r="K55" s="2"/>
      <c r="L55" s="3"/>
    </row>
    <row r="56" spans="1:12" x14ac:dyDescent="0.25">
      <c r="A56" s="63">
        <v>1400</v>
      </c>
      <c r="B56" s="11">
        <v>54</v>
      </c>
      <c r="C56" s="49">
        <f t="shared" si="7"/>
        <v>5488696.1538729779</v>
      </c>
      <c r="D56" s="3">
        <f t="shared" si="8"/>
        <v>4458625.7797899675</v>
      </c>
      <c r="E56" s="3">
        <f t="shared" si="6"/>
        <v>233308737.65245757</v>
      </c>
      <c r="F56" s="3"/>
      <c r="G56" s="11"/>
      <c r="H56" s="11"/>
      <c r="K56" s="2"/>
      <c r="L56" s="3"/>
    </row>
    <row r="57" spans="1:12" x14ac:dyDescent="0.25">
      <c r="A57" s="63">
        <v>1400</v>
      </c>
      <c r="B57" s="11">
        <v>55</v>
      </c>
      <c r="C57" s="50">
        <f t="shared" si="7"/>
        <v>5543583.1154117081</v>
      </c>
      <c r="D57" s="3">
        <f t="shared" si="8"/>
        <v>4503212.0375878671</v>
      </c>
      <c r="E57" s="3">
        <f t="shared" si="6"/>
        <v>239015283.48333055</v>
      </c>
      <c r="F57" s="3"/>
      <c r="G57" s="11"/>
      <c r="H57" s="11"/>
      <c r="K57" s="2" t="s">
        <v>6</v>
      </c>
      <c r="L57" s="3">
        <f>SUM(L34:L55)</f>
        <v>3130000</v>
      </c>
    </row>
    <row r="58" spans="1:12" x14ac:dyDescent="0.25">
      <c r="A58" s="63">
        <v>1400</v>
      </c>
      <c r="B58" s="11">
        <v>56</v>
      </c>
      <c r="C58" s="50">
        <f t="shared" si="7"/>
        <v>5599018.9465658255</v>
      </c>
      <c r="D58" s="3">
        <f t="shared" si="8"/>
        <v>4548244.1579637462</v>
      </c>
      <c r="E58" s="3">
        <f t="shared" si="6"/>
        <v>244846363.94159925</v>
      </c>
      <c r="F58" s="3"/>
      <c r="G58" s="11"/>
      <c r="H58" s="11"/>
      <c r="K58" s="2" t="s">
        <v>329</v>
      </c>
      <c r="L58" s="3">
        <f>L57/30</f>
        <v>104333.33333333333</v>
      </c>
    </row>
    <row r="59" spans="1:12" x14ac:dyDescent="0.25">
      <c r="A59" s="63">
        <v>1400</v>
      </c>
      <c r="B59" s="11">
        <v>57</v>
      </c>
      <c r="C59" s="50">
        <f t="shared" si="7"/>
        <v>5655009.1360314842</v>
      </c>
      <c r="D59" s="3">
        <f t="shared" si="8"/>
        <v>4593726.5995433833</v>
      </c>
      <c r="E59" s="3">
        <f t="shared" si="6"/>
        <v>250804573.75691932</v>
      </c>
      <c r="F59" s="3"/>
      <c r="G59" s="11"/>
      <c r="H59" s="11"/>
    </row>
    <row r="60" spans="1:12" x14ac:dyDescent="0.25">
      <c r="A60" s="63">
        <v>1400</v>
      </c>
      <c r="B60" s="11">
        <v>58</v>
      </c>
      <c r="C60" s="3">
        <f t="shared" si="7"/>
        <v>5711559.227391799</v>
      </c>
      <c r="D60" s="3">
        <f t="shared" si="8"/>
        <v>4639663.8655388169</v>
      </c>
      <c r="E60" s="3">
        <f t="shared" si="6"/>
        <v>256892560.59391072</v>
      </c>
      <c r="F60" s="3"/>
      <c r="G60" s="11"/>
      <c r="H60" s="11"/>
    </row>
    <row r="61" spans="1:12" x14ac:dyDescent="0.25">
      <c r="A61" s="63">
        <v>1400</v>
      </c>
      <c r="B61" s="11">
        <v>59</v>
      </c>
      <c r="C61" s="3">
        <f t="shared" si="7"/>
        <v>5768674.819665717</v>
      </c>
      <c r="D61" s="3">
        <f t="shared" si="8"/>
        <v>4686060.5041942047</v>
      </c>
      <c r="E61" s="3">
        <f t="shared" si="6"/>
        <v>263113026.12126046</v>
      </c>
      <c r="F61" s="3"/>
      <c r="G61" s="11"/>
      <c r="H61" s="11"/>
    </row>
    <row r="62" spans="1:12" x14ac:dyDescent="0.25">
      <c r="A62" s="63">
        <v>1400</v>
      </c>
      <c r="B62" s="11">
        <v>60</v>
      </c>
      <c r="C62" s="3">
        <f t="shared" si="7"/>
        <v>5826361.5678623738</v>
      </c>
      <c r="D62" s="3">
        <f t="shared" si="8"/>
        <v>4732921.1092361463</v>
      </c>
      <c r="E62" s="46">
        <f t="shared" si="6"/>
        <v>269468727.10231191</v>
      </c>
      <c r="F62" s="3"/>
      <c r="G62" s="11"/>
      <c r="H62" s="11"/>
    </row>
    <row r="63" spans="1:12" x14ac:dyDescent="0.25">
      <c r="E63" s="26"/>
    </row>
    <row r="64" spans="1:12" x14ac:dyDescent="0.25">
      <c r="E64" s="26"/>
      <c r="K64" s="48" t="s">
        <v>800</v>
      </c>
      <c r="L64" s="48" t="s">
        <v>477</v>
      </c>
    </row>
    <row r="65" spans="1:12" x14ac:dyDescent="0.25">
      <c r="K65" s="47">
        <v>500000</v>
      </c>
      <c r="L65" s="48" t="s">
        <v>480</v>
      </c>
    </row>
    <row r="66" spans="1:12" x14ac:dyDescent="0.25">
      <c r="K66" s="47">
        <v>130000</v>
      </c>
      <c r="L66" s="48" t="s">
        <v>559</v>
      </c>
    </row>
    <row r="67" spans="1:12" x14ac:dyDescent="0.25">
      <c r="A67" t="s">
        <v>25</v>
      </c>
      <c r="K67" s="47">
        <v>300000</v>
      </c>
      <c r="L67" s="48" t="s">
        <v>796</v>
      </c>
    </row>
    <row r="68" spans="1:12" x14ac:dyDescent="0.25">
      <c r="K68" s="47">
        <v>500000</v>
      </c>
      <c r="L68" s="48" t="s">
        <v>797</v>
      </c>
    </row>
    <row r="69" spans="1:12" x14ac:dyDescent="0.25">
      <c r="K69" s="47">
        <v>500000</v>
      </c>
      <c r="L69" s="48" t="s">
        <v>798</v>
      </c>
    </row>
    <row r="70" spans="1:12" x14ac:dyDescent="0.25">
      <c r="K70" s="47">
        <v>75000</v>
      </c>
      <c r="L70" s="48" t="s">
        <v>799</v>
      </c>
    </row>
    <row r="71" spans="1:12" x14ac:dyDescent="0.25">
      <c r="K71" s="47">
        <v>450000</v>
      </c>
      <c r="L71" s="48" t="s">
        <v>801</v>
      </c>
    </row>
    <row r="72" spans="1:12" x14ac:dyDescent="0.25">
      <c r="K72" s="47">
        <v>500000</v>
      </c>
      <c r="L72" s="48" t="s">
        <v>565</v>
      </c>
    </row>
    <row r="73" spans="1:12" x14ac:dyDescent="0.25">
      <c r="K73" s="47">
        <v>50000</v>
      </c>
      <c r="L73" s="48" t="s">
        <v>804</v>
      </c>
    </row>
    <row r="74" spans="1:12" x14ac:dyDescent="0.25">
      <c r="K74" s="47">
        <v>140000</v>
      </c>
      <c r="L74" s="48" t="s">
        <v>315</v>
      </c>
    </row>
    <row r="75" spans="1:12" x14ac:dyDescent="0.25">
      <c r="K75" s="47">
        <f>SUM(K65:K74)</f>
        <v>3145000</v>
      </c>
      <c r="L75" s="48" t="s">
        <v>6</v>
      </c>
    </row>
  </sheetData>
  <conditionalFormatting sqref="G3:G6">
    <cfRule type="cellIs" dxfId="2" priority="3" operator="greaterThan">
      <formula>0</formula>
    </cfRule>
  </conditionalFormatting>
  <conditionalFormatting sqref="G2:G62">
    <cfRule type="cellIs" dxfId="1" priority="2" operator="greaterThan">
      <formula>0</formula>
    </cfRule>
  </conditionalFormatting>
  <conditionalFormatting sqref="G1:G1048576">
    <cfRule type="cellIs" dxfId="0" priority="1" operator="lessThan">
      <formula>0</formula>
    </cfRule>
  </conditionalFormatting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D13" sqref="D13"/>
    </sheetView>
  </sheetViews>
  <sheetFormatPr defaultRowHeight="15" x14ac:dyDescent="0.25"/>
  <cols>
    <col min="1" max="1" width="10.7109375" bestFit="1" customWidth="1"/>
    <col min="2" max="2" width="16.85546875" bestFit="1" customWidth="1"/>
    <col min="3" max="3" width="35" bestFit="1" customWidth="1"/>
    <col min="4" max="4" width="12.28515625" customWidth="1"/>
    <col min="5" max="5" width="21.42578125" customWidth="1"/>
    <col min="6" max="6" width="12.85546875" customWidth="1"/>
    <col min="7" max="7" width="17.85546875" bestFit="1" customWidth="1"/>
  </cols>
  <sheetData>
    <row r="1" spans="1:7" ht="35.25" customHeight="1" x14ac:dyDescent="0.25">
      <c r="A1" t="s">
        <v>180</v>
      </c>
      <c r="B1" t="s">
        <v>267</v>
      </c>
      <c r="C1" t="s">
        <v>8</v>
      </c>
      <c r="D1" s="22" t="s">
        <v>280</v>
      </c>
      <c r="E1" s="22" t="s">
        <v>281</v>
      </c>
      <c r="F1" s="22" t="s">
        <v>285</v>
      </c>
      <c r="G1" t="s">
        <v>282</v>
      </c>
    </row>
    <row r="2" spans="1:7" x14ac:dyDescent="0.25">
      <c r="A2" t="s">
        <v>292</v>
      </c>
      <c r="B2" s="3">
        <v>50000</v>
      </c>
      <c r="C2" t="s">
        <v>1</v>
      </c>
      <c r="D2">
        <v>6</v>
      </c>
      <c r="E2">
        <f>E3+D2</f>
        <v>393</v>
      </c>
      <c r="F2">
        <v>1</v>
      </c>
      <c r="G2">
        <f>B2*(E2-F2)</f>
        <v>19600000</v>
      </c>
    </row>
    <row r="3" spans="1:7" x14ac:dyDescent="0.25">
      <c r="A3" t="s">
        <v>331</v>
      </c>
      <c r="B3" s="3">
        <v>15000000</v>
      </c>
      <c r="C3" t="s">
        <v>332</v>
      </c>
      <c r="D3">
        <v>2</v>
      </c>
      <c r="E3">
        <f t="shared" ref="E3:E19" si="0">E4+D3</f>
        <v>387</v>
      </c>
      <c r="F3">
        <v>1</v>
      </c>
      <c r="G3">
        <f t="shared" ref="G3:G21" si="1">B3*(E3-F3)</f>
        <v>5790000000</v>
      </c>
    </row>
    <row r="4" spans="1:7" x14ac:dyDescent="0.25">
      <c r="A4" t="s">
        <v>344</v>
      </c>
      <c r="B4" s="3">
        <v>-3000000</v>
      </c>
      <c r="C4" t="s">
        <v>345</v>
      </c>
      <c r="D4">
        <v>1</v>
      </c>
      <c r="E4">
        <f t="shared" si="0"/>
        <v>385</v>
      </c>
      <c r="F4">
        <v>0</v>
      </c>
      <c r="G4">
        <f t="shared" si="1"/>
        <v>-1155000000</v>
      </c>
    </row>
    <row r="5" spans="1:7" x14ac:dyDescent="0.25">
      <c r="A5" t="s">
        <v>410</v>
      </c>
      <c r="B5" s="3">
        <v>-3200900</v>
      </c>
      <c r="C5" t="s">
        <v>412</v>
      </c>
      <c r="D5">
        <v>2</v>
      </c>
      <c r="E5">
        <f t="shared" si="0"/>
        <v>384</v>
      </c>
      <c r="F5">
        <v>0</v>
      </c>
      <c r="G5">
        <f t="shared" si="1"/>
        <v>-1229145600</v>
      </c>
    </row>
    <row r="6" spans="1:7" x14ac:dyDescent="0.25">
      <c r="A6" t="s">
        <v>422</v>
      </c>
      <c r="B6" s="3">
        <v>-3000900</v>
      </c>
      <c r="C6" t="s">
        <v>423</v>
      </c>
      <c r="D6">
        <v>2</v>
      </c>
      <c r="E6">
        <f t="shared" si="0"/>
        <v>382</v>
      </c>
      <c r="F6">
        <v>0</v>
      </c>
      <c r="G6">
        <f t="shared" si="1"/>
        <v>-1146343800</v>
      </c>
    </row>
    <row r="7" spans="1:7" x14ac:dyDescent="0.25">
      <c r="A7" t="s">
        <v>435</v>
      </c>
      <c r="B7" s="3">
        <v>-5805900</v>
      </c>
      <c r="C7" t="s">
        <v>436</v>
      </c>
      <c r="D7">
        <v>22</v>
      </c>
      <c r="E7">
        <f t="shared" si="0"/>
        <v>380</v>
      </c>
      <c r="F7">
        <v>0</v>
      </c>
      <c r="G7">
        <f t="shared" si="1"/>
        <v>-2206242000</v>
      </c>
    </row>
    <row r="8" spans="1:7" x14ac:dyDescent="0.25">
      <c r="A8" t="s">
        <v>472</v>
      </c>
      <c r="B8" s="3">
        <v>54417</v>
      </c>
      <c r="C8" s="9" t="s">
        <v>476</v>
      </c>
      <c r="D8" s="9">
        <v>272</v>
      </c>
      <c r="E8">
        <f t="shared" si="0"/>
        <v>358</v>
      </c>
      <c r="F8">
        <v>0</v>
      </c>
      <c r="G8">
        <f t="shared" si="1"/>
        <v>19481286</v>
      </c>
    </row>
    <row r="9" spans="1:7" x14ac:dyDescent="0.25">
      <c r="A9" t="s">
        <v>816</v>
      </c>
      <c r="B9" s="3">
        <v>-80000</v>
      </c>
      <c r="C9" t="s">
        <v>828</v>
      </c>
      <c r="D9">
        <v>65</v>
      </c>
      <c r="E9">
        <f t="shared" si="0"/>
        <v>86</v>
      </c>
      <c r="F9">
        <v>1</v>
      </c>
      <c r="G9">
        <f>B9*(E9-F9)</f>
        <v>-6800000</v>
      </c>
    </row>
    <row r="10" spans="1:7" x14ac:dyDescent="0.25">
      <c r="A10" t="s">
        <v>911</v>
      </c>
      <c r="B10" s="3">
        <v>850000</v>
      </c>
      <c r="C10" t="s">
        <v>917</v>
      </c>
      <c r="D10">
        <v>14</v>
      </c>
      <c r="E10">
        <f t="shared" si="0"/>
        <v>21</v>
      </c>
      <c r="F10">
        <v>1</v>
      </c>
      <c r="G10">
        <f t="shared" si="1"/>
        <v>17000000</v>
      </c>
    </row>
    <row r="11" spans="1:7" x14ac:dyDescent="0.25">
      <c r="A11" t="s">
        <v>933</v>
      </c>
      <c r="B11" s="3">
        <v>-700000</v>
      </c>
      <c r="C11" t="s">
        <v>943</v>
      </c>
      <c r="D11">
        <v>6</v>
      </c>
      <c r="E11">
        <f t="shared" si="0"/>
        <v>7</v>
      </c>
      <c r="F11">
        <v>1</v>
      </c>
      <c r="G11">
        <f t="shared" si="1"/>
        <v>-4200000</v>
      </c>
    </row>
    <row r="12" spans="1:7" x14ac:dyDescent="0.25">
      <c r="A12" t="s">
        <v>941</v>
      </c>
      <c r="B12" s="3">
        <v>1000000</v>
      </c>
      <c r="C12" t="s">
        <v>944</v>
      </c>
      <c r="D12">
        <v>1</v>
      </c>
      <c r="E12">
        <f t="shared" si="0"/>
        <v>1</v>
      </c>
      <c r="F12">
        <v>1</v>
      </c>
      <c r="G12">
        <f t="shared" si="1"/>
        <v>0</v>
      </c>
    </row>
    <row r="13" spans="1:7" x14ac:dyDescent="0.25">
      <c r="B13" s="3"/>
      <c r="D13">
        <v>0</v>
      </c>
      <c r="E13">
        <f t="shared" si="0"/>
        <v>0</v>
      </c>
      <c r="F13">
        <v>1</v>
      </c>
      <c r="G13">
        <f t="shared" si="1"/>
        <v>0</v>
      </c>
    </row>
    <row r="14" spans="1:7" x14ac:dyDescent="0.25">
      <c r="B14" s="3"/>
      <c r="D14">
        <v>0</v>
      </c>
      <c r="E14">
        <f t="shared" si="0"/>
        <v>0</v>
      </c>
      <c r="F14">
        <v>1</v>
      </c>
      <c r="G14">
        <f t="shared" si="1"/>
        <v>0</v>
      </c>
    </row>
    <row r="15" spans="1:7" x14ac:dyDescent="0.25">
      <c r="B15" s="3"/>
      <c r="D15">
        <v>0</v>
      </c>
      <c r="E15">
        <f t="shared" si="0"/>
        <v>0</v>
      </c>
      <c r="F15">
        <v>1</v>
      </c>
      <c r="G15">
        <f t="shared" si="1"/>
        <v>0</v>
      </c>
    </row>
    <row r="16" spans="1:7" x14ac:dyDescent="0.25">
      <c r="B16" s="3"/>
      <c r="D16">
        <v>0</v>
      </c>
      <c r="E16">
        <f t="shared" si="0"/>
        <v>0</v>
      </c>
      <c r="F16">
        <v>1</v>
      </c>
      <c r="G16">
        <f t="shared" si="1"/>
        <v>0</v>
      </c>
    </row>
    <row r="17" spans="2:7" x14ac:dyDescent="0.25">
      <c r="B17" s="3"/>
      <c r="D17">
        <v>0</v>
      </c>
      <c r="E17">
        <f t="shared" si="0"/>
        <v>0</v>
      </c>
      <c r="F17">
        <v>1</v>
      </c>
      <c r="G17">
        <f t="shared" si="1"/>
        <v>0</v>
      </c>
    </row>
    <row r="18" spans="2:7" x14ac:dyDescent="0.25">
      <c r="B18" s="3"/>
      <c r="D18">
        <v>0</v>
      </c>
      <c r="E18">
        <f t="shared" si="0"/>
        <v>0</v>
      </c>
      <c r="F18">
        <v>1</v>
      </c>
      <c r="G18">
        <f t="shared" si="1"/>
        <v>0</v>
      </c>
    </row>
    <row r="19" spans="2:7" x14ac:dyDescent="0.25">
      <c r="B19" s="3"/>
      <c r="D19">
        <v>0</v>
      </c>
      <c r="E19">
        <f t="shared" si="0"/>
        <v>0</v>
      </c>
      <c r="F19">
        <v>1</v>
      </c>
      <c r="G19">
        <f t="shared" si="1"/>
        <v>0</v>
      </c>
    </row>
    <row r="20" spans="2:7" x14ac:dyDescent="0.25">
      <c r="B20" s="3"/>
      <c r="D20">
        <v>0</v>
      </c>
      <c r="E20">
        <f>E21+D20</f>
        <v>0</v>
      </c>
      <c r="F20">
        <v>1</v>
      </c>
      <c r="G20">
        <f t="shared" si="1"/>
        <v>0</v>
      </c>
    </row>
    <row r="21" spans="2:7" x14ac:dyDescent="0.25">
      <c r="B21" s="3"/>
      <c r="D21">
        <v>0</v>
      </c>
      <c r="E21">
        <f>D21</f>
        <v>0</v>
      </c>
      <c r="F21">
        <v>1</v>
      </c>
      <c r="G21">
        <f t="shared" si="1"/>
        <v>0</v>
      </c>
    </row>
    <row r="24" spans="2:7" x14ac:dyDescent="0.25">
      <c r="D24" t="s">
        <v>25</v>
      </c>
    </row>
    <row r="27" spans="2:7" x14ac:dyDescent="0.25">
      <c r="B27" s="7">
        <f>SUM(B2:B25)</f>
        <v>1166717</v>
      </c>
      <c r="G27" s="7">
        <f>SUM(G2:G21)</f>
        <v>98349886</v>
      </c>
    </row>
    <row r="28" spans="2:7" x14ac:dyDescent="0.25">
      <c r="B28" t="s">
        <v>283</v>
      </c>
      <c r="G28" t="s">
        <v>284</v>
      </c>
    </row>
    <row r="30" spans="2:7" x14ac:dyDescent="0.25">
      <c r="G30" s="3">
        <f>G27/E2</f>
        <v>250254.16284987278</v>
      </c>
    </row>
    <row r="31" spans="2:7" x14ac:dyDescent="0.25">
      <c r="G31" t="s">
        <v>286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8"/>
  <sheetViews>
    <sheetView topLeftCell="F16" workbookViewId="0">
      <selection activeCell="Q30" sqref="Q30"/>
    </sheetView>
  </sheetViews>
  <sheetFormatPr defaultRowHeight="15" x14ac:dyDescent="0.25"/>
  <cols>
    <col min="1" max="1" width="10.7109375" bestFit="1" customWidth="1"/>
    <col min="2" max="2" width="16.85546875" bestFit="1" customWidth="1"/>
    <col min="3" max="3" width="16.140625" bestFit="1" customWidth="1"/>
    <col min="4" max="4" width="35.28515625" bestFit="1" customWidth="1"/>
    <col min="6" max="6" width="18.85546875" bestFit="1" customWidth="1"/>
    <col min="7" max="7" width="16.7109375" bestFit="1" customWidth="1"/>
    <col min="8" max="8" width="10.7109375" bestFit="1" customWidth="1"/>
    <col min="9" max="9" width="10.42578125" bestFit="1" customWidth="1"/>
    <col min="10" max="10" width="22.85546875" bestFit="1" customWidth="1"/>
    <col min="14" max="14" width="11.28515625" bestFit="1" customWidth="1"/>
    <col min="15" max="15" width="18.85546875" bestFit="1" customWidth="1"/>
    <col min="16" max="16" width="15.7109375" bestFit="1" customWidth="1"/>
    <col min="17" max="19" width="17.85546875" bestFit="1" customWidth="1"/>
    <col min="20" max="20" width="19.28515625" customWidth="1"/>
    <col min="21" max="22" width="17.85546875" bestFit="1" customWidth="1"/>
    <col min="23" max="23" width="19.85546875" customWidth="1"/>
  </cols>
  <sheetData>
    <row r="1" spans="1:21" x14ac:dyDescent="0.25">
      <c r="A1" t="s">
        <v>180</v>
      </c>
      <c r="B1" t="s">
        <v>181</v>
      </c>
      <c r="C1" s="18" t="s">
        <v>182</v>
      </c>
      <c r="D1" s="18" t="s">
        <v>8</v>
      </c>
      <c r="E1" t="s">
        <v>183</v>
      </c>
    </row>
    <row r="2" spans="1:21" x14ac:dyDescent="0.25">
      <c r="A2" t="s">
        <v>179</v>
      </c>
      <c r="B2" s="18">
        <v>64500000</v>
      </c>
      <c r="C2" s="18">
        <f>B2</f>
        <v>64500000</v>
      </c>
      <c r="D2" s="18" t="s">
        <v>185</v>
      </c>
      <c r="E2">
        <v>45</v>
      </c>
      <c r="F2" s="18">
        <f>C2*E2</f>
        <v>2902500000</v>
      </c>
    </row>
    <row r="3" spans="1:21" x14ac:dyDescent="0.25">
      <c r="A3" t="s">
        <v>143</v>
      </c>
      <c r="B3" s="18">
        <v>-16000000</v>
      </c>
      <c r="C3" s="18">
        <f>C2+B3</f>
        <v>48500000</v>
      </c>
      <c r="D3" s="18" t="s">
        <v>186</v>
      </c>
      <c r="E3">
        <v>25</v>
      </c>
      <c r="F3" s="18">
        <f t="shared" ref="F3" si="0">C3*E3</f>
        <v>1212500000</v>
      </c>
    </row>
    <row r="4" spans="1:21" x14ac:dyDescent="0.25">
      <c r="A4" t="s">
        <v>184</v>
      </c>
      <c r="B4" s="18">
        <v>-30000000</v>
      </c>
      <c r="C4" s="18">
        <f t="shared" ref="C4:C19" si="1">C3+B4</f>
        <v>18500000</v>
      </c>
      <c r="D4" s="18" t="s">
        <v>187</v>
      </c>
      <c r="E4">
        <v>1</v>
      </c>
      <c r="F4" s="18">
        <f>C4*E4</f>
        <v>18500000</v>
      </c>
    </row>
    <row r="5" spans="1:21" x14ac:dyDescent="0.25">
      <c r="A5" t="s">
        <v>188</v>
      </c>
      <c r="B5" s="18">
        <v>-10000000</v>
      </c>
      <c r="C5" s="18">
        <f t="shared" si="1"/>
        <v>8500000</v>
      </c>
      <c r="D5" s="18" t="s">
        <v>186</v>
      </c>
      <c r="E5">
        <v>1</v>
      </c>
      <c r="F5" s="18">
        <f t="shared" ref="F5:F10" si="2">C5*E5</f>
        <v>8500000</v>
      </c>
    </row>
    <row r="6" spans="1:21" x14ac:dyDescent="0.25">
      <c r="A6" t="s">
        <v>196</v>
      </c>
      <c r="B6" s="18">
        <v>-4000000</v>
      </c>
      <c r="C6" s="18">
        <f t="shared" si="1"/>
        <v>4500000</v>
      </c>
      <c r="D6" s="18" t="s">
        <v>197</v>
      </c>
      <c r="E6">
        <v>106</v>
      </c>
      <c r="F6" s="18">
        <f t="shared" si="2"/>
        <v>477000000</v>
      </c>
    </row>
    <row r="7" spans="1:21" x14ac:dyDescent="0.25">
      <c r="A7" t="s">
        <v>461</v>
      </c>
      <c r="B7" s="18">
        <v>-4000000</v>
      </c>
      <c r="C7" s="18">
        <f t="shared" si="1"/>
        <v>500000</v>
      </c>
      <c r="D7" s="18" t="s">
        <v>463</v>
      </c>
      <c r="E7">
        <v>1</v>
      </c>
      <c r="F7" s="18">
        <f>C7*E7</f>
        <v>500000</v>
      </c>
    </row>
    <row r="8" spans="1:21" x14ac:dyDescent="0.25">
      <c r="B8" s="18"/>
      <c r="C8" s="18">
        <f t="shared" si="1"/>
        <v>500000</v>
      </c>
      <c r="D8" s="18"/>
      <c r="F8" s="18">
        <f t="shared" si="2"/>
        <v>0</v>
      </c>
    </row>
    <row r="9" spans="1:21" x14ac:dyDescent="0.25">
      <c r="B9" s="18"/>
      <c r="C9" s="18">
        <f t="shared" si="1"/>
        <v>500000</v>
      </c>
      <c r="D9" s="18"/>
      <c r="F9" s="18">
        <f t="shared" si="2"/>
        <v>0</v>
      </c>
    </row>
    <row r="10" spans="1:21" x14ac:dyDescent="0.25">
      <c r="B10" s="18"/>
      <c r="C10" s="18">
        <f t="shared" si="1"/>
        <v>500000</v>
      </c>
      <c r="D10" s="18"/>
      <c r="F10" s="18">
        <f t="shared" si="2"/>
        <v>0</v>
      </c>
    </row>
    <row r="11" spans="1:21" x14ac:dyDescent="0.25">
      <c r="B11" s="18"/>
      <c r="C11" s="18">
        <f t="shared" si="1"/>
        <v>500000</v>
      </c>
      <c r="D11" s="18"/>
      <c r="F11" s="18"/>
    </row>
    <row r="12" spans="1:21" ht="45" x14ac:dyDescent="0.25">
      <c r="B12" s="18"/>
      <c r="C12" s="18">
        <f t="shared" si="1"/>
        <v>500000</v>
      </c>
      <c r="D12" s="18"/>
      <c r="F12" s="18"/>
      <c r="O12" s="67" t="s">
        <v>232</v>
      </c>
      <c r="P12" s="67" t="s">
        <v>234</v>
      </c>
      <c r="Q12" s="67" t="s">
        <v>233</v>
      </c>
      <c r="R12" s="67" t="s">
        <v>235</v>
      </c>
      <c r="S12" s="11"/>
      <c r="T12" s="11"/>
      <c r="U12" s="11"/>
    </row>
    <row r="13" spans="1:21" x14ac:dyDescent="0.25">
      <c r="B13" s="18"/>
      <c r="C13" s="18">
        <f t="shared" si="1"/>
        <v>500000</v>
      </c>
      <c r="D13" s="18"/>
      <c r="F13" s="18"/>
      <c r="O13" s="68">
        <v>6</v>
      </c>
      <c r="P13" s="68">
        <v>36</v>
      </c>
      <c r="Q13" s="67">
        <v>0.5</v>
      </c>
      <c r="R13" s="11">
        <f>P13/Q13</f>
        <v>72</v>
      </c>
      <c r="S13" s="11">
        <f>$R$13*$O$13/O13</f>
        <v>72</v>
      </c>
      <c r="T13" s="11"/>
      <c r="U13" s="11">
        <f>O13*R13*30.5</f>
        <v>13176</v>
      </c>
    </row>
    <row r="14" spans="1:21" x14ac:dyDescent="0.25">
      <c r="B14" s="18"/>
      <c r="C14" s="18">
        <f t="shared" si="1"/>
        <v>500000</v>
      </c>
      <c r="D14" s="18"/>
      <c r="F14" s="18"/>
      <c r="O14" s="68">
        <v>9</v>
      </c>
      <c r="P14" s="68">
        <v>37</v>
      </c>
      <c r="Q14" s="67">
        <v>0.75</v>
      </c>
      <c r="R14" s="11">
        <f t="shared" ref="R14:R19" si="3">P14/Q14</f>
        <v>49.333333333333336</v>
      </c>
      <c r="S14" s="11">
        <f>$R$13*$O$13/O14</f>
        <v>48</v>
      </c>
      <c r="T14" s="11"/>
      <c r="U14" s="11">
        <f t="shared" ref="U14:U19" si="4">O14*R14*30.5</f>
        <v>13542</v>
      </c>
    </row>
    <row r="15" spans="1:21" x14ac:dyDescent="0.25">
      <c r="B15" s="18"/>
      <c r="C15" s="18">
        <f t="shared" si="1"/>
        <v>500000</v>
      </c>
      <c r="D15" s="18"/>
      <c r="F15" s="18"/>
      <c r="O15" s="68">
        <v>12</v>
      </c>
      <c r="P15" s="68">
        <v>38</v>
      </c>
      <c r="Q15" s="67">
        <v>1</v>
      </c>
      <c r="R15" s="11">
        <f t="shared" si="3"/>
        <v>38</v>
      </c>
      <c r="S15" s="11">
        <f t="shared" ref="S15:S19" si="5">$R$13*$O$13/O15</f>
        <v>36</v>
      </c>
      <c r="T15" s="11"/>
      <c r="U15" s="11">
        <f t="shared" si="4"/>
        <v>13908</v>
      </c>
    </row>
    <row r="16" spans="1:21" x14ac:dyDescent="0.25">
      <c r="B16" s="18"/>
      <c r="C16" s="18">
        <f t="shared" si="1"/>
        <v>500000</v>
      </c>
      <c r="D16" s="18"/>
      <c r="F16" s="18"/>
      <c r="O16" s="68">
        <v>18</v>
      </c>
      <c r="P16" s="68">
        <v>41</v>
      </c>
      <c r="Q16" s="67">
        <v>2</v>
      </c>
      <c r="R16" s="11">
        <f t="shared" si="3"/>
        <v>20.5</v>
      </c>
      <c r="S16" s="11">
        <f t="shared" si="5"/>
        <v>24</v>
      </c>
      <c r="T16" s="11"/>
      <c r="U16" s="11">
        <f>O16*R16*30.5</f>
        <v>11254.5</v>
      </c>
    </row>
    <row r="17" spans="2:21" x14ac:dyDescent="0.25">
      <c r="B17" s="18"/>
      <c r="C17" s="18">
        <f t="shared" si="1"/>
        <v>500000</v>
      </c>
      <c r="D17" s="18"/>
      <c r="F17" s="18"/>
      <c r="O17" s="68">
        <v>24</v>
      </c>
      <c r="P17" s="68">
        <v>44</v>
      </c>
      <c r="Q17" s="67">
        <v>3</v>
      </c>
      <c r="R17" s="11">
        <f t="shared" si="3"/>
        <v>14.666666666666666</v>
      </c>
      <c r="S17" s="11">
        <f t="shared" si="5"/>
        <v>18</v>
      </c>
      <c r="T17" s="11"/>
      <c r="U17" s="11">
        <f t="shared" si="4"/>
        <v>10736</v>
      </c>
    </row>
    <row r="18" spans="2:21" x14ac:dyDescent="0.25">
      <c r="B18" s="18"/>
      <c r="C18" s="18">
        <f t="shared" si="1"/>
        <v>500000</v>
      </c>
      <c r="D18" s="18"/>
      <c r="F18" s="18"/>
      <c r="O18" s="68">
        <v>30</v>
      </c>
      <c r="P18" s="68">
        <v>47</v>
      </c>
      <c r="Q18" s="67">
        <v>4</v>
      </c>
      <c r="R18" s="11">
        <f t="shared" si="3"/>
        <v>11.75</v>
      </c>
      <c r="S18" s="11">
        <f t="shared" si="5"/>
        <v>14.4</v>
      </c>
      <c r="T18" s="11"/>
      <c r="U18" s="11">
        <f t="shared" si="4"/>
        <v>10751.25</v>
      </c>
    </row>
    <row r="19" spans="2:21" x14ac:dyDescent="0.25">
      <c r="B19" s="18"/>
      <c r="C19" s="18">
        <f t="shared" si="1"/>
        <v>500000</v>
      </c>
      <c r="D19" s="18"/>
      <c r="F19" s="18"/>
      <c r="O19" s="68">
        <v>36</v>
      </c>
      <c r="P19" s="68">
        <v>50</v>
      </c>
      <c r="Q19" s="67">
        <v>5</v>
      </c>
      <c r="R19" s="11">
        <f t="shared" si="3"/>
        <v>10</v>
      </c>
      <c r="S19" s="11">
        <f t="shared" si="5"/>
        <v>12</v>
      </c>
      <c r="T19" s="11"/>
      <c r="U19" s="11">
        <f t="shared" si="4"/>
        <v>10980</v>
      </c>
    </row>
    <row r="20" spans="2:21" x14ac:dyDescent="0.25">
      <c r="F20" s="18">
        <f>SUM(F2:F15)</f>
        <v>4619500000</v>
      </c>
      <c r="G20" t="s">
        <v>189</v>
      </c>
      <c r="H20">
        <v>24</v>
      </c>
      <c r="I20" t="s">
        <v>190</v>
      </c>
    </row>
    <row r="21" spans="2:21" x14ac:dyDescent="0.25">
      <c r="P21" t="s">
        <v>25</v>
      </c>
    </row>
    <row r="22" spans="2:21" x14ac:dyDescent="0.25">
      <c r="F22" s="18">
        <f>F20*H20/36500</f>
        <v>3037479.4520547944</v>
      </c>
      <c r="G22" t="s">
        <v>191</v>
      </c>
    </row>
    <row r="28" spans="2:21" x14ac:dyDescent="0.25">
      <c r="G28" s="11" t="s">
        <v>573</v>
      </c>
      <c r="H28" s="11" t="s">
        <v>180</v>
      </c>
      <c r="I28" s="11" t="s">
        <v>572</v>
      </c>
      <c r="J28" s="11" t="s">
        <v>564</v>
      </c>
    </row>
    <row r="29" spans="2:21" x14ac:dyDescent="0.25">
      <c r="G29" s="11">
        <f t="shared" ref="G29:G41" si="6">$I$47-I29</f>
        <v>66000</v>
      </c>
      <c r="H29" s="11" t="s">
        <v>570</v>
      </c>
      <c r="I29" s="11">
        <v>165000</v>
      </c>
      <c r="J29" s="11" t="s">
        <v>565</v>
      </c>
    </row>
    <row r="30" spans="2:21" x14ac:dyDescent="0.25">
      <c r="G30" s="11">
        <f t="shared" si="6"/>
        <v>31000</v>
      </c>
      <c r="H30" s="11" t="s">
        <v>571</v>
      </c>
      <c r="I30" s="11">
        <v>200000</v>
      </c>
      <c r="J30" s="11" t="s">
        <v>566</v>
      </c>
    </row>
    <row r="31" spans="2:21" x14ac:dyDescent="0.25">
      <c r="G31" s="11">
        <f t="shared" si="6"/>
        <v>6500</v>
      </c>
      <c r="H31" s="11" t="s">
        <v>712</v>
      </c>
      <c r="I31" s="11">
        <v>224500</v>
      </c>
      <c r="J31" s="11" t="s">
        <v>478</v>
      </c>
    </row>
    <row r="32" spans="2:21" x14ac:dyDescent="0.25">
      <c r="G32" s="11">
        <f t="shared" si="6"/>
        <v>46000</v>
      </c>
      <c r="H32" s="59" t="s">
        <v>806</v>
      </c>
      <c r="I32" s="11">
        <v>185000</v>
      </c>
      <c r="J32" s="11" t="s">
        <v>559</v>
      </c>
    </row>
    <row r="33" spans="6:23" x14ac:dyDescent="0.25">
      <c r="G33" s="11">
        <f t="shared" si="6"/>
        <v>6500</v>
      </c>
      <c r="H33" s="11" t="s">
        <v>712</v>
      </c>
      <c r="I33" s="11">
        <v>224500</v>
      </c>
      <c r="J33" s="11" t="s">
        <v>567</v>
      </c>
    </row>
    <row r="34" spans="6:23" x14ac:dyDescent="0.25">
      <c r="G34" s="11">
        <f t="shared" si="6"/>
        <v>6500</v>
      </c>
      <c r="H34" s="11" t="s">
        <v>712</v>
      </c>
      <c r="I34" s="11">
        <v>224500</v>
      </c>
      <c r="J34" s="11" t="s">
        <v>568</v>
      </c>
    </row>
    <row r="35" spans="6:23" x14ac:dyDescent="0.25">
      <c r="G35" s="11">
        <f t="shared" si="6"/>
        <v>6500</v>
      </c>
      <c r="H35" s="11" t="s">
        <v>712</v>
      </c>
      <c r="I35" s="11">
        <v>224500</v>
      </c>
      <c r="J35" s="11" t="s">
        <v>569</v>
      </c>
    </row>
    <row r="36" spans="6:23" x14ac:dyDescent="0.25">
      <c r="F36" t="s">
        <v>25</v>
      </c>
      <c r="G36" s="11">
        <f t="shared" si="6"/>
        <v>12000</v>
      </c>
      <c r="H36" s="11" t="s">
        <v>643</v>
      </c>
      <c r="I36" s="11">
        <v>219000</v>
      </c>
      <c r="J36" s="11" t="s">
        <v>642</v>
      </c>
      <c r="O36" s="22"/>
    </row>
    <row r="37" spans="6:23" x14ac:dyDescent="0.25">
      <c r="G37" s="11">
        <f t="shared" si="6"/>
        <v>13000</v>
      </c>
      <c r="H37" s="11" t="s">
        <v>652</v>
      </c>
      <c r="I37" s="11">
        <v>218000</v>
      </c>
      <c r="J37" s="11" t="s">
        <v>653</v>
      </c>
    </row>
    <row r="38" spans="6:23" x14ac:dyDescent="0.25">
      <c r="G38" s="11">
        <f t="shared" si="6"/>
        <v>6500</v>
      </c>
      <c r="H38" s="11" t="s">
        <v>711</v>
      </c>
      <c r="I38" s="11">
        <v>224500</v>
      </c>
      <c r="J38" s="11" t="s">
        <v>710</v>
      </c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6:23" x14ac:dyDescent="0.25">
      <c r="G39" s="11">
        <f t="shared" si="6"/>
        <v>41000</v>
      </c>
      <c r="H39" s="11" t="s">
        <v>749</v>
      </c>
      <c r="I39" s="11">
        <v>190000</v>
      </c>
      <c r="J39" s="11" t="s">
        <v>748</v>
      </c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6:23" x14ac:dyDescent="0.25">
      <c r="G40" s="11">
        <f t="shared" si="6"/>
        <v>6000</v>
      </c>
      <c r="H40" s="11" t="s">
        <v>747</v>
      </c>
      <c r="I40" s="11">
        <v>225000</v>
      </c>
      <c r="J40" s="11" t="s">
        <v>746</v>
      </c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6:23" x14ac:dyDescent="0.25">
      <c r="G41" s="11">
        <f t="shared" si="6"/>
        <v>15000</v>
      </c>
      <c r="H41" s="11" t="s">
        <v>794</v>
      </c>
      <c r="I41" s="11">
        <v>216000</v>
      </c>
      <c r="J41" s="11" t="s">
        <v>793</v>
      </c>
      <c r="M41" s="25"/>
      <c r="N41" s="25"/>
      <c r="O41" s="72"/>
      <c r="P41" s="25"/>
      <c r="Q41" s="72"/>
      <c r="R41" s="72"/>
      <c r="S41" s="28"/>
      <c r="T41" s="28"/>
      <c r="U41" s="28"/>
      <c r="V41" s="28"/>
      <c r="W41" s="28"/>
    </row>
    <row r="42" spans="6:23" x14ac:dyDescent="0.25">
      <c r="G42" s="11">
        <f>$I$47-I42</f>
        <v>15000</v>
      </c>
      <c r="H42" s="11" t="s">
        <v>794</v>
      </c>
      <c r="I42" s="11">
        <v>216000</v>
      </c>
      <c r="J42" s="11" t="s">
        <v>795</v>
      </c>
      <c r="M42" s="25"/>
      <c r="N42" s="25"/>
      <c r="O42" s="72"/>
      <c r="P42" s="25"/>
      <c r="Q42" s="72"/>
      <c r="R42" s="72"/>
      <c r="S42" s="28"/>
      <c r="T42" s="28"/>
      <c r="U42" s="25"/>
      <c r="V42" s="28"/>
      <c r="W42" s="28"/>
    </row>
    <row r="43" spans="6:23" x14ac:dyDescent="0.25">
      <c r="G43" s="11">
        <f>$I$47-I43</f>
        <v>4000</v>
      </c>
      <c r="H43" s="11" t="s">
        <v>829</v>
      </c>
      <c r="I43" s="11">
        <v>227000</v>
      </c>
      <c r="J43" s="11" t="s">
        <v>830</v>
      </c>
      <c r="M43" s="25"/>
      <c r="N43" s="25"/>
      <c r="O43" s="25"/>
      <c r="P43" s="25"/>
      <c r="Q43" s="28"/>
      <c r="R43" s="25"/>
      <c r="S43" s="28"/>
      <c r="T43" s="25"/>
      <c r="U43" s="25"/>
      <c r="V43" s="25"/>
      <c r="W43" s="25"/>
    </row>
    <row r="44" spans="6:23" x14ac:dyDescent="0.25">
      <c r="G44" s="11">
        <f>$I$47-I44</f>
        <v>2000</v>
      </c>
      <c r="H44" s="11" t="s">
        <v>895</v>
      </c>
      <c r="I44" s="11">
        <v>229000</v>
      </c>
      <c r="J44" s="11" t="s">
        <v>481</v>
      </c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6:23" x14ac:dyDescent="0.25">
      <c r="G45" s="11"/>
      <c r="H45" s="11"/>
      <c r="I45" s="11"/>
      <c r="J45" s="11" t="s">
        <v>25</v>
      </c>
      <c r="M45" s="25"/>
      <c r="N45" s="25"/>
      <c r="O45" s="25"/>
      <c r="P45" s="25"/>
      <c r="Q45" s="25"/>
      <c r="R45" s="25"/>
      <c r="S45" s="28"/>
      <c r="T45" s="25"/>
      <c r="U45" s="25"/>
      <c r="V45" s="25"/>
      <c r="W45" s="25"/>
    </row>
    <row r="46" spans="6:23" x14ac:dyDescent="0.25">
      <c r="G46" s="11"/>
      <c r="H46" s="11"/>
      <c r="I46" s="11"/>
      <c r="J46" s="11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6:23" x14ac:dyDescent="0.25">
      <c r="G47" s="11"/>
      <c r="H47" s="11"/>
      <c r="I47" s="11">
        <v>231000</v>
      </c>
      <c r="J47" s="11" t="s">
        <v>574</v>
      </c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6:23" x14ac:dyDescent="0.25"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3:23" x14ac:dyDescent="0.25"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3:23" x14ac:dyDescent="0.25"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3:23" x14ac:dyDescent="0.25">
      <c r="M51" s="25"/>
      <c r="N51" s="25"/>
      <c r="O51" s="25"/>
      <c r="P51" s="25"/>
      <c r="Q51" s="72"/>
      <c r="R51" s="25"/>
      <c r="S51" s="72"/>
      <c r="T51" s="25"/>
      <c r="U51" s="28"/>
      <c r="V51" s="25"/>
      <c r="W51" s="25"/>
    </row>
    <row r="52" spans="13:23" x14ac:dyDescent="0.25">
      <c r="M52" s="25"/>
      <c r="N52" s="25"/>
      <c r="O52" s="71"/>
      <c r="P52" s="25"/>
      <c r="Q52" s="72"/>
      <c r="R52" s="25"/>
      <c r="S52" s="72"/>
      <c r="T52" s="25"/>
      <c r="U52" s="28"/>
      <c r="V52" s="25"/>
      <c r="W52" s="25"/>
    </row>
    <row r="53" spans="13:23" x14ac:dyDescent="0.25">
      <c r="M53" s="25"/>
      <c r="N53" s="25"/>
      <c r="O53" s="71"/>
      <c r="P53" s="25"/>
      <c r="Q53" s="72"/>
      <c r="R53" s="25"/>
      <c r="S53" s="72"/>
      <c r="T53" s="25"/>
      <c r="U53" s="25"/>
      <c r="V53" s="25"/>
      <c r="W53" s="25"/>
    </row>
    <row r="54" spans="13:23" x14ac:dyDescent="0.25">
      <c r="M54" s="25"/>
      <c r="N54" s="25"/>
      <c r="O54" s="25"/>
      <c r="P54" s="25"/>
      <c r="Q54" s="72"/>
      <c r="R54" s="25"/>
      <c r="S54" s="72"/>
      <c r="T54" s="25"/>
      <c r="U54" s="25"/>
      <c r="V54" s="25"/>
      <c r="W54" s="25"/>
    </row>
    <row r="55" spans="13:23" x14ac:dyDescent="0.25">
      <c r="M55" s="25"/>
      <c r="N55" s="25"/>
      <c r="O55" s="25"/>
      <c r="P55" s="25"/>
      <c r="Q55" s="72"/>
      <c r="R55" s="25"/>
      <c r="S55" s="72"/>
      <c r="T55" s="25"/>
      <c r="U55" s="28"/>
      <c r="V55" s="25"/>
      <c r="W55" s="25"/>
    </row>
    <row r="56" spans="13:23" x14ac:dyDescent="0.25">
      <c r="M56" s="25"/>
      <c r="N56" s="25"/>
      <c r="O56" s="25"/>
      <c r="P56" s="25"/>
      <c r="Q56" s="72"/>
      <c r="R56" s="25"/>
      <c r="S56" s="72"/>
      <c r="T56" s="25"/>
      <c r="U56" s="25"/>
      <c r="V56" s="25"/>
      <c r="W56" s="25"/>
    </row>
    <row r="57" spans="13:23" x14ac:dyDescent="0.25">
      <c r="M57" s="25"/>
      <c r="N57" s="25"/>
      <c r="O57" s="25"/>
      <c r="P57" s="25"/>
      <c r="Q57" s="72"/>
      <c r="R57" s="25"/>
      <c r="S57" s="72"/>
      <c r="T57" s="25"/>
      <c r="U57" s="25"/>
      <c r="V57" s="25"/>
      <c r="W57" s="25"/>
    </row>
    <row r="58" spans="13:23" x14ac:dyDescent="0.25">
      <c r="M58" s="25"/>
      <c r="N58" s="25"/>
      <c r="O58" s="25"/>
      <c r="P58" s="25"/>
      <c r="Q58" s="72"/>
      <c r="R58" s="25"/>
      <c r="S58" s="72"/>
      <c r="T58" s="25"/>
      <c r="U58" s="25"/>
      <c r="V58" s="25"/>
      <c r="W58" s="25"/>
    </row>
    <row r="59" spans="13:23" x14ac:dyDescent="0.25">
      <c r="M59" s="25"/>
      <c r="N59" s="25"/>
      <c r="O59" s="25"/>
      <c r="P59" s="25"/>
      <c r="Q59" s="72"/>
      <c r="R59" s="25"/>
      <c r="S59" s="72"/>
      <c r="T59" s="25"/>
      <c r="U59" s="25"/>
      <c r="V59" s="25"/>
      <c r="W59" s="25"/>
    </row>
    <row r="60" spans="13:23" x14ac:dyDescent="0.25">
      <c r="M60" s="25"/>
      <c r="N60" s="25"/>
      <c r="O60" s="25"/>
      <c r="P60" s="25"/>
      <c r="Q60" s="72"/>
      <c r="R60" s="25"/>
      <c r="S60" s="72"/>
      <c r="T60" s="25"/>
      <c r="U60" s="25"/>
      <c r="V60" s="25"/>
      <c r="W60" s="25"/>
    </row>
    <row r="61" spans="13:23" x14ac:dyDescent="0.25">
      <c r="M61" s="25"/>
      <c r="N61" s="25"/>
      <c r="O61" s="25"/>
      <c r="P61" s="25"/>
      <c r="Q61" s="72"/>
      <c r="R61" s="25"/>
      <c r="S61" s="72"/>
      <c r="T61" s="25"/>
      <c r="U61" s="25"/>
      <c r="V61" s="25"/>
      <c r="W61" s="25"/>
    </row>
    <row r="62" spans="13:23" x14ac:dyDescent="0.25">
      <c r="M62" s="25"/>
      <c r="N62" s="25"/>
      <c r="O62" s="25"/>
      <c r="P62" s="25"/>
      <c r="Q62" s="25"/>
      <c r="R62" s="25"/>
      <c r="S62" s="72"/>
      <c r="T62" s="25"/>
      <c r="U62" s="25"/>
      <c r="V62" s="25"/>
      <c r="W62" s="25"/>
    </row>
    <row r="63" spans="13:23" x14ac:dyDescent="0.25">
      <c r="M63" s="25"/>
      <c r="N63" s="25"/>
      <c r="O63" s="25"/>
      <c r="P63" s="25"/>
      <c r="Q63" s="25"/>
      <c r="R63" s="25"/>
      <c r="S63" s="28"/>
      <c r="T63" s="25"/>
      <c r="U63" s="25"/>
      <c r="V63" s="25"/>
      <c r="W63" s="25"/>
    </row>
    <row r="64" spans="13:23" x14ac:dyDescent="0.25"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73" spans="15:17" x14ac:dyDescent="0.25">
      <c r="O73">
        <v>105</v>
      </c>
      <c r="P73">
        <v>5.5</v>
      </c>
      <c r="Q73">
        <f>O73*P73</f>
        <v>577.5</v>
      </c>
    </row>
    <row r="74" spans="15:17" x14ac:dyDescent="0.25">
      <c r="O74">
        <v>75</v>
      </c>
      <c r="P74">
        <v>10</v>
      </c>
      <c r="Q74">
        <f t="shared" ref="Q74:Q76" si="7">O74*P74</f>
        <v>750</v>
      </c>
    </row>
    <row r="75" spans="15:17" x14ac:dyDescent="0.25">
      <c r="O75">
        <v>45</v>
      </c>
      <c r="P75">
        <v>5.5</v>
      </c>
      <c r="Q75">
        <f t="shared" si="7"/>
        <v>247.5</v>
      </c>
    </row>
    <row r="76" spans="15:17" x14ac:dyDescent="0.25">
      <c r="O76">
        <v>15</v>
      </c>
      <c r="P76">
        <v>10</v>
      </c>
      <c r="Q76">
        <f t="shared" si="7"/>
        <v>150</v>
      </c>
    </row>
    <row r="78" spans="15:17" x14ac:dyDescent="0.25">
      <c r="Q78" s="18">
        <f>SUM(Q73:Q76)*1000000</f>
        <v>1725000000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workbookViewId="0">
      <selection activeCell="I27" sqref="I27"/>
    </sheetView>
  </sheetViews>
  <sheetFormatPr defaultRowHeight="15" x14ac:dyDescent="0.25"/>
  <cols>
    <col min="1" max="1" width="8.7109375" bestFit="1" customWidth="1"/>
    <col min="2" max="3" width="16.140625" bestFit="1" customWidth="1"/>
    <col min="4" max="4" width="15.85546875" bestFit="1" customWidth="1"/>
    <col min="5" max="5" width="22.85546875" bestFit="1" customWidth="1"/>
    <col min="6" max="6" width="18.85546875" bestFit="1" customWidth="1"/>
    <col min="7" max="7" width="13.85546875" bestFit="1" customWidth="1"/>
    <col min="8" max="9" width="12.42578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0</v>
      </c>
      <c r="B2" s="1">
        <v>16700</v>
      </c>
      <c r="C2" s="1">
        <v>16700</v>
      </c>
      <c r="D2" s="3">
        <f>B2-C2</f>
        <v>0</v>
      </c>
      <c r="E2" s="2" t="s">
        <v>1</v>
      </c>
      <c r="F2">
        <v>43</v>
      </c>
      <c r="G2">
        <f>B2*F2</f>
        <v>718100</v>
      </c>
      <c r="H2">
        <f>C2*F2</f>
        <v>718100</v>
      </c>
      <c r="I2">
        <f>D2*F2</f>
        <v>0</v>
      </c>
    </row>
    <row r="3" spans="1:17" x14ac:dyDescent="0.25">
      <c r="A3" s="2" t="s">
        <v>2</v>
      </c>
      <c r="B3" s="1">
        <v>19900000</v>
      </c>
      <c r="C3" s="1">
        <v>11387000</v>
      </c>
      <c r="D3" s="3">
        <f t="shared" ref="D3:D21" si="0">B3-C3</f>
        <v>8513000</v>
      </c>
      <c r="E3" s="2" t="s">
        <v>9</v>
      </c>
      <c r="F3">
        <v>42</v>
      </c>
      <c r="G3">
        <f t="shared" ref="G3:G19" si="1">B3*F3</f>
        <v>835800000</v>
      </c>
      <c r="H3">
        <f t="shared" ref="H3:H19" si="2">C3*F3</f>
        <v>478254000</v>
      </c>
      <c r="I3">
        <f t="shared" ref="I3:I19" si="3">D3*F3</f>
        <v>357546000</v>
      </c>
    </row>
    <row r="4" spans="1:17" x14ac:dyDescent="0.25">
      <c r="A4" s="2" t="s">
        <v>2</v>
      </c>
      <c r="B4" s="1">
        <v>0</v>
      </c>
      <c r="C4" s="1">
        <v>8500</v>
      </c>
      <c r="D4" s="3">
        <f t="shared" si="0"/>
        <v>-8500</v>
      </c>
      <c r="E4" s="2" t="s">
        <v>10</v>
      </c>
      <c r="F4">
        <v>43</v>
      </c>
      <c r="G4">
        <f t="shared" si="1"/>
        <v>0</v>
      </c>
      <c r="H4">
        <f t="shared" si="2"/>
        <v>365500</v>
      </c>
      <c r="I4">
        <f t="shared" si="3"/>
        <v>-365500</v>
      </c>
      <c r="O4">
        <v>18</v>
      </c>
      <c r="P4">
        <v>43</v>
      </c>
      <c r="Q4">
        <v>44</v>
      </c>
    </row>
    <row r="5" spans="1:17" x14ac:dyDescent="0.25">
      <c r="A5" s="2" t="s">
        <v>3</v>
      </c>
      <c r="B5" s="1">
        <v>2000000</v>
      </c>
      <c r="C5" s="1">
        <v>0</v>
      </c>
      <c r="D5" s="3">
        <f t="shared" si="0"/>
        <v>2000000</v>
      </c>
      <c r="E5" s="2" t="s">
        <v>11</v>
      </c>
      <c r="F5">
        <v>40</v>
      </c>
      <c r="G5">
        <f t="shared" si="1"/>
        <v>80000000</v>
      </c>
      <c r="H5">
        <f t="shared" si="2"/>
        <v>0</v>
      </c>
      <c r="I5">
        <f t="shared" si="3"/>
        <v>80000000</v>
      </c>
      <c r="O5">
        <v>19</v>
      </c>
      <c r="P5">
        <v>42</v>
      </c>
      <c r="Q5">
        <v>43</v>
      </c>
    </row>
    <row r="6" spans="1:17" x14ac:dyDescent="0.25">
      <c r="A6" s="2" t="s">
        <v>7</v>
      </c>
      <c r="B6" s="1">
        <v>-5000</v>
      </c>
      <c r="C6" s="1">
        <v>0</v>
      </c>
      <c r="D6" s="3">
        <f t="shared" si="0"/>
        <v>-5000</v>
      </c>
      <c r="E6" s="2" t="s">
        <v>12</v>
      </c>
      <c r="F6">
        <v>34</v>
      </c>
      <c r="G6">
        <f t="shared" si="1"/>
        <v>-170000</v>
      </c>
      <c r="H6">
        <f t="shared" si="2"/>
        <v>0</v>
      </c>
      <c r="I6">
        <f t="shared" si="3"/>
        <v>-170000</v>
      </c>
      <c r="O6">
        <v>20</v>
      </c>
      <c r="P6">
        <v>41</v>
      </c>
      <c r="Q6">
        <v>42</v>
      </c>
    </row>
    <row r="7" spans="1:17" x14ac:dyDescent="0.25">
      <c r="A7" s="4">
        <v>34701</v>
      </c>
      <c r="B7" s="1">
        <v>-1200500</v>
      </c>
      <c r="C7" s="1">
        <v>0</v>
      </c>
      <c r="D7" s="3">
        <f t="shared" si="0"/>
        <v>-1200500</v>
      </c>
      <c r="E7" s="2" t="s">
        <v>13</v>
      </c>
      <c r="F7">
        <v>31</v>
      </c>
      <c r="G7">
        <f t="shared" si="1"/>
        <v>-37215500</v>
      </c>
      <c r="H7">
        <f t="shared" si="2"/>
        <v>0</v>
      </c>
      <c r="I7">
        <f t="shared" si="3"/>
        <v>-37215500</v>
      </c>
      <c r="O7">
        <v>21</v>
      </c>
      <c r="P7">
        <v>40</v>
      </c>
      <c r="Q7">
        <v>41</v>
      </c>
    </row>
    <row r="8" spans="1:17" x14ac:dyDescent="0.25">
      <c r="A8" s="4">
        <v>34732</v>
      </c>
      <c r="B8" s="1">
        <v>-200000</v>
      </c>
      <c r="C8" s="1">
        <v>0</v>
      </c>
      <c r="D8" s="3">
        <f t="shared" si="0"/>
        <v>-200000</v>
      </c>
      <c r="E8" s="2" t="s">
        <v>14</v>
      </c>
      <c r="F8">
        <v>30</v>
      </c>
      <c r="G8">
        <f t="shared" si="1"/>
        <v>-6000000</v>
      </c>
      <c r="H8">
        <f t="shared" si="2"/>
        <v>0</v>
      </c>
      <c r="I8">
        <f t="shared" si="3"/>
        <v>-6000000</v>
      </c>
      <c r="O8">
        <v>22</v>
      </c>
      <c r="P8">
        <v>39</v>
      </c>
      <c r="Q8">
        <v>40</v>
      </c>
    </row>
    <row r="9" spans="1:17" x14ac:dyDescent="0.25">
      <c r="A9" s="4">
        <v>34791</v>
      </c>
      <c r="B9" s="1">
        <v>-705500</v>
      </c>
      <c r="C9" s="1">
        <v>0</v>
      </c>
      <c r="D9" s="3">
        <f t="shared" si="0"/>
        <v>-705500</v>
      </c>
      <c r="E9" s="2" t="s">
        <v>15</v>
      </c>
      <c r="F9">
        <v>28</v>
      </c>
      <c r="G9">
        <f t="shared" si="1"/>
        <v>-19754000</v>
      </c>
      <c r="H9">
        <f t="shared" si="2"/>
        <v>0</v>
      </c>
      <c r="I9">
        <f t="shared" si="3"/>
        <v>-19754000</v>
      </c>
      <c r="O9">
        <v>23</v>
      </c>
      <c r="P9">
        <v>38</v>
      </c>
      <c r="Q9">
        <v>39</v>
      </c>
    </row>
    <row r="10" spans="1:17" x14ac:dyDescent="0.25">
      <c r="A10" s="2" t="s">
        <v>16</v>
      </c>
      <c r="B10" s="1">
        <v>-200000</v>
      </c>
      <c r="C10" s="1">
        <v>0</v>
      </c>
      <c r="D10" s="3">
        <f t="shared" si="0"/>
        <v>-200000</v>
      </c>
      <c r="E10" s="2" t="s">
        <v>18</v>
      </c>
      <c r="F10">
        <v>19</v>
      </c>
      <c r="G10">
        <f t="shared" si="1"/>
        <v>-3800000</v>
      </c>
      <c r="H10">
        <f t="shared" si="2"/>
        <v>0</v>
      </c>
      <c r="I10">
        <f t="shared" si="3"/>
        <v>-3800000</v>
      </c>
      <c r="O10">
        <v>24</v>
      </c>
      <c r="P10">
        <v>37</v>
      </c>
      <c r="Q10">
        <v>38</v>
      </c>
    </row>
    <row r="11" spans="1:17" x14ac:dyDescent="0.25">
      <c r="A11" s="2" t="s">
        <v>16</v>
      </c>
      <c r="B11" s="1">
        <v>1000000</v>
      </c>
      <c r="C11" s="1">
        <v>0</v>
      </c>
      <c r="D11" s="3">
        <f t="shared" si="0"/>
        <v>1000000</v>
      </c>
      <c r="E11" s="2" t="s">
        <v>17</v>
      </c>
      <c r="F11">
        <v>18</v>
      </c>
      <c r="G11">
        <f t="shared" si="1"/>
        <v>18000000</v>
      </c>
      <c r="H11">
        <f t="shared" si="2"/>
        <v>0</v>
      </c>
      <c r="I11">
        <f t="shared" si="3"/>
        <v>18000000</v>
      </c>
      <c r="O11">
        <v>25</v>
      </c>
      <c r="P11">
        <v>36</v>
      </c>
      <c r="Q11">
        <v>37</v>
      </c>
    </row>
    <row r="12" spans="1:17" x14ac:dyDescent="0.25">
      <c r="A12" s="2" t="s">
        <v>19</v>
      </c>
      <c r="B12" s="1">
        <v>-300000</v>
      </c>
      <c r="C12" s="1">
        <v>0</v>
      </c>
      <c r="D12" s="3">
        <f t="shared" si="0"/>
        <v>-300000</v>
      </c>
      <c r="E12" s="2" t="s">
        <v>20</v>
      </c>
      <c r="F12">
        <v>15</v>
      </c>
      <c r="G12">
        <f t="shared" si="1"/>
        <v>-4500000</v>
      </c>
      <c r="H12">
        <f t="shared" si="2"/>
        <v>0</v>
      </c>
      <c r="I12">
        <f t="shared" si="3"/>
        <v>-4500000</v>
      </c>
      <c r="O12">
        <v>26</v>
      </c>
      <c r="P12">
        <v>35</v>
      </c>
      <c r="Q12">
        <v>36</v>
      </c>
    </row>
    <row r="13" spans="1:17" x14ac:dyDescent="0.25">
      <c r="A13" s="2" t="s">
        <v>21</v>
      </c>
      <c r="B13" s="1">
        <v>-62000</v>
      </c>
      <c r="C13" s="1">
        <v>0</v>
      </c>
      <c r="D13" s="3">
        <f t="shared" si="0"/>
        <v>-62000</v>
      </c>
      <c r="E13" s="2" t="s">
        <v>22</v>
      </c>
      <c r="F13">
        <v>10</v>
      </c>
      <c r="G13">
        <f t="shared" si="1"/>
        <v>-620000</v>
      </c>
      <c r="H13">
        <f t="shared" si="2"/>
        <v>0</v>
      </c>
      <c r="I13">
        <f t="shared" si="3"/>
        <v>-620000</v>
      </c>
      <c r="O13">
        <v>27</v>
      </c>
      <c r="P13">
        <v>34</v>
      </c>
      <c r="Q13">
        <v>35</v>
      </c>
    </row>
    <row r="14" spans="1:17" x14ac:dyDescent="0.25">
      <c r="A14" s="2" t="s">
        <v>21</v>
      </c>
      <c r="B14" s="1">
        <v>2000000</v>
      </c>
      <c r="C14" s="1">
        <v>0</v>
      </c>
      <c r="D14" s="3">
        <f t="shared" si="0"/>
        <v>2000000</v>
      </c>
      <c r="E14" s="2" t="s">
        <v>24</v>
      </c>
      <c r="F14">
        <v>9</v>
      </c>
      <c r="G14">
        <f t="shared" si="1"/>
        <v>18000000</v>
      </c>
      <c r="H14">
        <f t="shared" si="2"/>
        <v>0</v>
      </c>
      <c r="I14">
        <f t="shared" si="3"/>
        <v>18000000</v>
      </c>
      <c r="O14">
        <v>28</v>
      </c>
      <c r="P14">
        <v>33</v>
      </c>
      <c r="Q14">
        <v>34</v>
      </c>
    </row>
    <row r="15" spans="1:17" x14ac:dyDescent="0.25">
      <c r="A15" s="2" t="s">
        <v>23</v>
      </c>
      <c r="B15" s="1">
        <v>1800000</v>
      </c>
      <c r="C15" s="1">
        <v>0</v>
      </c>
      <c r="D15" s="3">
        <f t="shared" si="0"/>
        <v>1800000</v>
      </c>
      <c r="E15" s="2" t="s">
        <v>24</v>
      </c>
      <c r="F15">
        <v>8</v>
      </c>
      <c r="G15">
        <f t="shared" si="1"/>
        <v>14400000</v>
      </c>
      <c r="H15">
        <f t="shared" si="2"/>
        <v>0</v>
      </c>
      <c r="I15">
        <f t="shared" si="3"/>
        <v>14400000</v>
      </c>
      <c r="O15">
        <v>29</v>
      </c>
      <c r="P15">
        <v>32</v>
      </c>
      <c r="Q15">
        <v>33</v>
      </c>
    </row>
    <row r="16" spans="1:17" x14ac:dyDescent="0.25">
      <c r="A16" s="2" t="s">
        <v>23</v>
      </c>
      <c r="B16" s="1">
        <v>-200000</v>
      </c>
      <c r="C16" s="1">
        <v>0</v>
      </c>
      <c r="D16" s="3">
        <f t="shared" si="0"/>
        <v>-200000</v>
      </c>
      <c r="E16" s="2" t="s">
        <v>26</v>
      </c>
      <c r="F16">
        <v>9</v>
      </c>
      <c r="G16">
        <f t="shared" si="1"/>
        <v>-1800000</v>
      </c>
      <c r="H16">
        <f t="shared" si="2"/>
        <v>0</v>
      </c>
      <c r="I16">
        <f t="shared" si="3"/>
        <v>-1800000</v>
      </c>
      <c r="O16">
        <v>31</v>
      </c>
      <c r="P16">
        <v>31</v>
      </c>
      <c r="Q16">
        <v>32</v>
      </c>
    </row>
    <row r="17" spans="1:17" x14ac:dyDescent="0.25">
      <c r="A17" s="2" t="s">
        <v>27</v>
      </c>
      <c r="B17" s="1">
        <v>-2000000</v>
      </c>
      <c r="C17" s="1">
        <v>0</v>
      </c>
      <c r="D17" s="3">
        <f t="shared" si="0"/>
        <v>-2000000</v>
      </c>
      <c r="E17" s="2" t="s">
        <v>29</v>
      </c>
      <c r="F17">
        <v>5</v>
      </c>
      <c r="G17">
        <f t="shared" si="1"/>
        <v>-10000000</v>
      </c>
      <c r="H17">
        <f t="shared" si="2"/>
        <v>0</v>
      </c>
      <c r="I17">
        <f t="shared" si="3"/>
        <v>-10000000</v>
      </c>
      <c r="O17">
        <v>1</v>
      </c>
      <c r="P17">
        <v>30</v>
      </c>
      <c r="Q17">
        <v>31</v>
      </c>
    </row>
    <row r="18" spans="1:17" x14ac:dyDescent="0.25">
      <c r="A18" s="2" t="s">
        <v>28</v>
      </c>
      <c r="B18" s="1">
        <v>-300000</v>
      </c>
      <c r="C18" s="1">
        <v>0</v>
      </c>
      <c r="D18" s="3">
        <f t="shared" si="0"/>
        <v>-300000</v>
      </c>
      <c r="E18" s="2" t="s">
        <v>29</v>
      </c>
      <c r="F18">
        <v>4</v>
      </c>
      <c r="G18">
        <f t="shared" si="1"/>
        <v>-1200000</v>
      </c>
      <c r="H18">
        <f t="shared" si="2"/>
        <v>0</v>
      </c>
      <c r="I18">
        <f t="shared" si="3"/>
        <v>-1200000</v>
      </c>
      <c r="O18">
        <v>2</v>
      </c>
      <c r="P18">
        <v>29</v>
      </c>
      <c r="Q18">
        <v>30</v>
      </c>
    </row>
    <row r="19" spans="1:17" x14ac:dyDescent="0.25">
      <c r="A19" s="2" t="s">
        <v>30</v>
      </c>
      <c r="B19" s="1">
        <v>-200000</v>
      </c>
      <c r="C19" s="1">
        <v>0</v>
      </c>
      <c r="D19" s="3">
        <f t="shared" si="0"/>
        <v>-200000</v>
      </c>
      <c r="E19" s="2" t="s">
        <v>18</v>
      </c>
      <c r="F19">
        <v>3</v>
      </c>
      <c r="G19">
        <f t="shared" si="1"/>
        <v>-600000</v>
      </c>
      <c r="H19">
        <f t="shared" si="2"/>
        <v>0</v>
      </c>
      <c r="I19">
        <f t="shared" si="3"/>
        <v>-600000</v>
      </c>
      <c r="O19">
        <v>3</v>
      </c>
      <c r="P19">
        <v>28</v>
      </c>
      <c r="Q19">
        <v>29</v>
      </c>
    </row>
    <row r="20" spans="1:17" x14ac:dyDescent="0.25">
      <c r="A20" s="2"/>
      <c r="B20" s="1"/>
      <c r="C20" s="1"/>
      <c r="D20" s="3">
        <f t="shared" si="0"/>
        <v>0</v>
      </c>
      <c r="E20" s="2"/>
      <c r="O20">
        <v>4</v>
      </c>
      <c r="P20">
        <v>27</v>
      </c>
      <c r="Q20">
        <v>28</v>
      </c>
    </row>
    <row r="21" spans="1:17" x14ac:dyDescent="0.25">
      <c r="A21" s="2"/>
      <c r="B21" s="1"/>
      <c r="C21" s="1"/>
      <c r="D21" s="3">
        <f t="shared" si="0"/>
        <v>0</v>
      </c>
      <c r="E21" s="2"/>
      <c r="G21">
        <f>SUM(G2:G19)</f>
        <v>881258600</v>
      </c>
      <c r="H21">
        <f>SUM(H2:H19)</f>
        <v>479337600</v>
      </c>
      <c r="I21">
        <f>SUM(I2:I19)</f>
        <v>401921000</v>
      </c>
      <c r="O21">
        <v>5</v>
      </c>
      <c r="P21">
        <v>26</v>
      </c>
      <c r="Q21">
        <v>27</v>
      </c>
    </row>
    <row r="22" spans="1:17" x14ac:dyDescent="0.25">
      <c r="A22" s="2"/>
      <c r="B22" s="1"/>
      <c r="C22" s="1" t="s">
        <v>25</v>
      </c>
      <c r="D22" s="3"/>
      <c r="E22" s="2"/>
      <c r="G22" t="s">
        <v>35</v>
      </c>
      <c r="H22" t="s">
        <v>36</v>
      </c>
      <c r="I22" t="s">
        <v>37</v>
      </c>
      <c r="O22">
        <v>6</v>
      </c>
      <c r="P22">
        <v>25</v>
      </c>
      <c r="Q22">
        <v>26</v>
      </c>
    </row>
    <row r="23" spans="1:17" x14ac:dyDescent="0.25">
      <c r="A23" s="2"/>
      <c r="B23" s="2" t="s">
        <v>25</v>
      </c>
      <c r="C23" s="2"/>
      <c r="D23" s="2"/>
      <c r="E23" s="2"/>
      <c r="G23" s="1">
        <v>271089</v>
      </c>
      <c r="H23" s="1">
        <f>H21*G23/G21</f>
        <v>147451.78162959203</v>
      </c>
      <c r="I23" s="1">
        <f>I21*G23/G21</f>
        <v>123637.21837040797</v>
      </c>
      <c r="O23">
        <v>7</v>
      </c>
      <c r="P23">
        <v>24</v>
      </c>
      <c r="Q23">
        <v>25</v>
      </c>
    </row>
    <row r="24" spans="1:17" x14ac:dyDescent="0.25">
      <c r="A24" s="2" t="s">
        <v>6</v>
      </c>
      <c r="B24" s="3">
        <f>SUM(B2:B21)</f>
        <v>21343700</v>
      </c>
      <c r="C24" s="3">
        <f>SUM(C2:C21)</f>
        <v>11412200</v>
      </c>
      <c r="D24" s="3">
        <f>SUM(D2:D21)</f>
        <v>9931500</v>
      </c>
      <c r="E24" s="2"/>
      <c r="G24" s="9" t="s">
        <v>66</v>
      </c>
      <c r="H24" s="9" t="s">
        <v>38</v>
      </c>
      <c r="I24" s="9" t="s">
        <v>39</v>
      </c>
      <c r="O24">
        <v>8</v>
      </c>
      <c r="P24">
        <v>23</v>
      </c>
      <c r="Q24">
        <v>24</v>
      </c>
    </row>
    <row r="25" spans="1:17" x14ac:dyDescent="0.25">
      <c r="O25">
        <v>9</v>
      </c>
      <c r="P25">
        <v>22</v>
      </c>
      <c r="Q25">
        <v>23</v>
      </c>
    </row>
    <row r="26" spans="1:17" x14ac:dyDescent="0.25">
      <c r="O26">
        <v>10</v>
      </c>
      <c r="P26">
        <v>21</v>
      </c>
      <c r="Q26">
        <v>22</v>
      </c>
    </row>
    <row r="27" spans="1:17" x14ac:dyDescent="0.25">
      <c r="O27">
        <v>11</v>
      </c>
      <c r="P27">
        <v>20</v>
      </c>
      <c r="Q27">
        <v>21</v>
      </c>
    </row>
    <row r="28" spans="1:17" x14ac:dyDescent="0.25">
      <c r="O28">
        <v>12</v>
      </c>
      <c r="P28">
        <v>19</v>
      </c>
      <c r="Q28">
        <v>20</v>
      </c>
    </row>
    <row r="29" spans="1:17" x14ac:dyDescent="0.25">
      <c r="O29">
        <v>13</v>
      </c>
      <c r="P29">
        <v>18</v>
      </c>
      <c r="Q29">
        <v>19</v>
      </c>
    </row>
    <row r="30" spans="1:17" x14ac:dyDescent="0.25">
      <c r="O30">
        <v>14</v>
      </c>
      <c r="P30">
        <v>17</v>
      </c>
      <c r="Q30">
        <v>18</v>
      </c>
    </row>
    <row r="31" spans="1:17" x14ac:dyDescent="0.25">
      <c r="O31">
        <v>15</v>
      </c>
      <c r="P31">
        <v>16</v>
      </c>
      <c r="Q31">
        <v>17</v>
      </c>
    </row>
    <row r="32" spans="1:17" x14ac:dyDescent="0.25">
      <c r="B32" s="7"/>
      <c r="O32">
        <v>16</v>
      </c>
      <c r="P32">
        <v>15</v>
      </c>
      <c r="Q32">
        <v>16</v>
      </c>
    </row>
    <row r="33" spans="15:17" x14ac:dyDescent="0.25">
      <c r="O33">
        <v>17</v>
      </c>
      <c r="P33">
        <v>14</v>
      </c>
      <c r="Q33">
        <v>15</v>
      </c>
    </row>
    <row r="34" spans="15:17" x14ac:dyDescent="0.25">
      <c r="O34">
        <v>18</v>
      </c>
      <c r="P34">
        <v>13</v>
      </c>
      <c r="Q34">
        <v>14</v>
      </c>
    </row>
    <row r="35" spans="15:17" x14ac:dyDescent="0.25">
      <c r="O35">
        <v>19</v>
      </c>
      <c r="P35">
        <v>12</v>
      </c>
      <c r="Q35">
        <v>13</v>
      </c>
    </row>
    <row r="36" spans="15:17" x14ac:dyDescent="0.25">
      <c r="O36">
        <v>20</v>
      </c>
      <c r="P36">
        <v>11</v>
      </c>
      <c r="Q36">
        <v>12</v>
      </c>
    </row>
    <row r="37" spans="15:17" x14ac:dyDescent="0.25">
      <c r="O37">
        <v>21</v>
      </c>
      <c r="P37">
        <v>10</v>
      </c>
      <c r="Q37">
        <v>11</v>
      </c>
    </row>
    <row r="38" spans="15:17" x14ac:dyDescent="0.25">
      <c r="O38">
        <v>22</v>
      </c>
      <c r="P38">
        <v>9</v>
      </c>
      <c r="Q38">
        <v>10</v>
      </c>
    </row>
    <row r="39" spans="15:17" x14ac:dyDescent="0.25">
      <c r="O39">
        <v>23</v>
      </c>
      <c r="P39">
        <v>8</v>
      </c>
      <c r="Q39">
        <v>9</v>
      </c>
    </row>
    <row r="40" spans="15:17" x14ac:dyDescent="0.25">
      <c r="O40">
        <v>24</v>
      </c>
      <c r="P40">
        <v>7</v>
      </c>
      <c r="Q40">
        <v>8</v>
      </c>
    </row>
    <row r="41" spans="15:17" x14ac:dyDescent="0.25">
      <c r="O41">
        <v>25</v>
      </c>
      <c r="P41">
        <v>6</v>
      </c>
      <c r="Q41">
        <v>7</v>
      </c>
    </row>
    <row r="42" spans="15:17" x14ac:dyDescent="0.25">
      <c r="O42">
        <v>26</v>
      </c>
      <c r="P42">
        <v>5</v>
      </c>
      <c r="Q42">
        <v>6</v>
      </c>
    </row>
    <row r="43" spans="15:17" x14ac:dyDescent="0.25">
      <c r="O43">
        <v>27</v>
      </c>
      <c r="P43">
        <v>4</v>
      </c>
      <c r="Q43">
        <v>5</v>
      </c>
    </row>
    <row r="44" spans="15:17" x14ac:dyDescent="0.25">
      <c r="O44">
        <v>28</v>
      </c>
      <c r="P44">
        <v>3</v>
      </c>
      <c r="Q44">
        <v>4</v>
      </c>
    </row>
    <row r="45" spans="15:17" x14ac:dyDescent="0.25">
      <c r="O45">
        <v>29</v>
      </c>
      <c r="P45">
        <v>2</v>
      </c>
      <c r="Q45">
        <v>3</v>
      </c>
    </row>
    <row r="46" spans="15:17" x14ac:dyDescent="0.25">
      <c r="O46">
        <v>30</v>
      </c>
      <c r="P46">
        <v>1</v>
      </c>
      <c r="Q46">
        <v>2</v>
      </c>
    </row>
    <row r="47" spans="15:17" x14ac:dyDescent="0.25">
      <c r="O47">
        <v>31</v>
      </c>
      <c r="P47">
        <v>0</v>
      </c>
      <c r="Q47">
        <v>1</v>
      </c>
    </row>
    <row r="48" spans="15:17" x14ac:dyDescent="0.25">
      <c r="P48" t="s">
        <v>60</v>
      </c>
      <c r="Q48" t="s">
        <v>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H21" sqref="H21"/>
    </sheetView>
  </sheetViews>
  <sheetFormatPr defaultRowHeight="15" x14ac:dyDescent="0.25"/>
  <cols>
    <col min="1" max="1" width="9.7109375" bestFit="1" customWidth="1"/>
    <col min="2" max="4" width="16.140625" bestFit="1" customWidth="1"/>
    <col min="5" max="5" width="30.85546875" bestFit="1" customWidth="1"/>
    <col min="6" max="6" width="18.85546875" bestFit="1" customWidth="1"/>
    <col min="7" max="7" width="12.42578125" bestFit="1" customWidth="1"/>
    <col min="8" max="8" width="12.7109375" bestFit="1" customWidth="1"/>
    <col min="9" max="9" width="12" bestFit="1" customWidth="1"/>
    <col min="11" max="11" width="7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 x14ac:dyDescent="0.25">
      <c r="A2" s="2" t="s">
        <v>63</v>
      </c>
      <c r="B2" s="1">
        <f>اردیبهشت95!B24</f>
        <v>21343700</v>
      </c>
      <c r="C2" s="1">
        <f>اردیبهشت95!C24</f>
        <v>11412200</v>
      </c>
      <c r="D2" s="3">
        <f>B2-C2</f>
        <v>9931500</v>
      </c>
      <c r="E2" s="2" t="s">
        <v>59</v>
      </c>
      <c r="F2">
        <v>31</v>
      </c>
      <c r="G2">
        <f>B2*F2</f>
        <v>661654700</v>
      </c>
      <c r="H2">
        <f>C2*F2</f>
        <v>353778200</v>
      </c>
      <c r="I2">
        <f>D2*F2</f>
        <v>307876500</v>
      </c>
      <c r="O2">
        <v>2</v>
      </c>
      <c r="P2">
        <v>29</v>
      </c>
      <c r="Q2">
        <v>30</v>
      </c>
    </row>
    <row r="3" spans="1:17" x14ac:dyDescent="0.25">
      <c r="A3" s="4">
        <v>34702</v>
      </c>
      <c r="B3" s="1">
        <v>271089</v>
      </c>
      <c r="C3" s="1">
        <v>147452</v>
      </c>
      <c r="D3" s="3">
        <f>B3-C3</f>
        <v>123637</v>
      </c>
      <c r="E3" s="5" t="s">
        <v>31</v>
      </c>
      <c r="F3">
        <v>30</v>
      </c>
      <c r="G3">
        <f t="shared" ref="G3:G11" si="0">B3*F3</f>
        <v>8132670</v>
      </c>
      <c r="H3">
        <f t="shared" ref="H3:H11" si="1">C3*F3</f>
        <v>4423560</v>
      </c>
      <c r="I3">
        <f t="shared" ref="I3:I11" si="2">D3*F3</f>
        <v>3709110</v>
      </c>
      <c r="O3">
        <v>3</v>
      </c>
      <c r="P3">
        <v>28</v>
      </c>
      <c r="Q3">
        <v>29</v>
      </c>
    </row>
    <row r="4" spans="1:17" x14ac:dyDescent="0.25">
      <c r="A4" s="4">
        <v>34761</v>
      </c>
      <c r="B4" s="1">
        <v>-1505700</v>
      </c>
      <c r="C4" s="1">
        <v>0</v>
      </c>
      <c r="D4" s="3">
        <f t="shared" ref="D4:D9" si="3">B4-C4</f>
        <v>-1505700</v>
      </c>
      <c r="E4" s="2" t="s">
        <v>32</v>
      </c>
      <c r="F4">
        <v>29</v>
      </c>
      <c r="G4">
        <f t="shared" si="0"/>
        <v>-43665300</v>
      </c>
      <c r="H4">
        <f t="shared" si="1"/>
        <v>0</v>
      </c>
      <c r="I4">
        <f t="shared" si="2"/>
        <v>-43665300</v>
      </c>
      <c r="O4">
        <v>4</v>
      </c>
      <c r="P4">
        <v>27</v>
      </c>
      <c r="Q4">
        <v>28</v>
      </c>
    </row>
    <row r="5" spans="1:17" x14ac:dyDescent="0.25">
      <c r="A5" s="4">
        <v>34853</v>
      </c>
      <c r="B5" s="1">
        <v>3000000</v>
      </c>
      <c r="C5" s="1">
        <v>0</v>
      </c>
      <c r="D5" s="3">
        <f t="shared" si="3"/>
        <v>3000000</v>
      </c>
      <c r="E5" s="2" t="s">
        <v>33</v>
      </c>
      <c r="F5">
        <v>25</v>
      </c>
      <c r="G5">
        <f t="shared" si="0"/>
        <v>75000000</v>
      </c>
      <c r="H5">
        <f t="shared" si="1"/>
        <v>0</v>
      </c>
      <c r="I5">
        <f t="shared" si="2"/>
        <v>75000000</v>
      </c>
      <c r="O5">
        <v>5</v>
      </c>
      <c r="P5">
        <v>26</v>
      </c>
      <c r="Q5">
        <v>27</v>
      </c>
    </row>
    <row r="6" spans="1:17" x14ac:dyDescent="0.25">
      <c r="A6" s="4">
        <v>34883</v>
      </c>
      <c r="B6" s="1">
        <v>1000000</v>
      </c>
      <c r="C6" s="1">
        <v>0</v>
      </c>
      <c r="D6" s="3">
        <f t="shared" si="3"/>
        <v>1000000</v>
      </c>
      <c r="E6" s="2" t="s">
        <v>34</v>
      </c>
      <c r="F6">
        <v>24</v>
      </c>
      <c r="G6">
        <f t="shared" si="0"/>
        <v>24000000</v>
      </c>
      <c r="H6">
        <f t="shared" si="1"/>
        <v>0</v>
      </c>
      <c r="I6">
        <f t="shared" si="2"/>
        <v>24000000</v>
      </c>
      <c r="O6">
        <v>6</v>
      </c>
      <c r="P6">
        <v>25</v>
      </c>
      <c r="Q6">
        <v>26</v>
      </c>
    </row>
    <row r="7" spans="1:17" x14ac:dyDescent="0.25">
      <c r="A7" s="4">
        <v>34914</v>
      </c>
      <c r="B7" s="1">
        <v>-3000900</v>
      </c>
      <c r="C7" s="1">
        <v>0</v>
      </c>
      <c r="D7" s="3">
        <f t="shared" si="3"/>
        <v>-3000900</v>
      </c>
      <c r="E7" s="2" t="s">
        <v>43</v>
      </c>
      <c r="F7">
        <v>24</v>
      </c>
      <c r="G7">
        <f t="shared" si="0"/>
        <v>-72021600</v>
      </c>
      <c r="H7">
        <f t="shared" si="1"/>
        <v>0</v>
      </c>
      <c r="I7">
        <f t="shared" si="2"/>
        <v>-72021600</v>
      </c>
      <c r="O7">
        <v>7</v>
      </c>
      <c r="P7">
        <v>24</v>
      </c>
      <c r="Q7">
        <v>25</v>
      </c>
    </row>
    <row r="8" spans="1:17" x14ac:dyDescent="0.25">
      <c r="A8" s="4" t="s">
        <v>44</v>
      </c>
      <c r="B8" s="1">
        <v>1500000</v>
      </c>
      <c r="C8" s="1">
        <v>0</v>
      </c>
      <c r="D8" s="3">
        <f t="shared" si="3"/>
        <v>1500000</v>
      </c>
      <c r="E8" s="2" t="s">
        <v>45</v>
      </c>
      <c r="F8">
        <v>8</v>
      </c>
      <c r="G8">
        <f t="shared" si="0"/>
        <v>12000000</v>
      </c>
      <c r="H8">
        <f t="shared" si="1"/>
        <v>0</v>
      </c>
      <c r="I8">
        <f t="shared" si="2"/>
        <v>12000000</v>
      </c>
      <c r="O8">
        <v>8</v>
      </c>
      <c r="P8">
        <v>23</v>
      </c>
      <c r="Q8">
        <v>24</v>
      </c>
    </row>
    <row r="9" spans="1:17" x14ac:dyDescent="0.25">
      <c r="A9" s="4" t="s">
        <v>46</v>
      </c>
      <c r="B9" s="1">
        <v>-164000</v>
      </c>
      <c r="C9" s="1">
        <v>0</v>
      </c>
      <c r="D9" s="3">
        <f t="shared" si="3"/>
        <v>-164000</v>
      </c>
      <c r="E9" s="2" t="s">
        <v>47</v>
      </c>
      <c r="F9">
        <v>1</v>
      </c>
      <c r="G9">
        <f t="shared" si="0"/>
        <v>-164000</v>
      </c>
      <c r="H9">
        <f t="shared" si="1"/>
        <v>0</v>
      </c>
      <c r="I9">
        <f t="shared" si="2"/>
        <v>-164000</v>
      </c>
      <c r="O9">
        <v>9</v>
      </c>
      <c r="P9">
        <v>22</v>
      </c>
      <c r="Q9">
        <v>23</v>
      </c>
    </row>
    <row r="10" spans="1:17" x14ac:dyDescent="0.25">
      <c r="A10" s="4"/>
      <c r="B10" s="1"/>
      <c r="C10" s="1"/>
      <c r="D10" s="3"/>
      <c r="E10" s="2"/>
      <c r="F10">
        <v>0</v>
      </c>
      <c r="G10">
        <f t="shared" si="0"/>
        <v>0</v>
      </c>
      <c r="H10">
        <f t="shared" si="1"/>
        <v>0</v>
      </c>
      <c r="I10">
        <f t="shared" si="2"/>
        <v>0</v>
      </c>
      <c r="O10">
        <v>10</v>
      </c>
      <c r="P10">
        <v>21</v>
      </c>
      <c r="Q10">
        <v>22</v>
      </c>
    </row>
    <row r="11" spans="1:17" x14ac:dyDescent="0.25">
      <c r="A11" s="4"/>
      <c r="B11" s="1"/>
      <c r="C11" s="1"/>
      <c r="D11" s="3"/>
      <c r="E11" s="2"/>
      <c r="F11">
        <v>0</v>
      </c>
      <c r="G11">
        <f t="shared" si="0"/>
        <v>0</v>
      </c>
      <c r="H11">
        <f t="shared" si="1"/>
        <v>0</v>
      </c>
      <c r="I11">
        <f t="shared" si="2"/>
        <v>0</v>
      </c>
      <c r="O11">
        <v>11</v>
      </c>
      <c r="P11">
        <v>20</v>
      </c>
      <c r="Q11">
        <v>21</v>
      </c>
    </row>
    <row r="12" spans="1:17" x14ac:dyDescent="0.25">
      <c r="A12" s="4"/>
      <c r="B12" s="1"/>
      <c r="C12" s="1"/>
      <c r="D12" s="3"/>
      <c r="E12" s="2"/>
      <c r="G12">
        <f>SUM(G2:G11)</f>
        <v>664936470</v>
      </c>
      <c r="H12">
        <f>SUM(H2:H11)</f>
        <v>358201760</v>
      </c>
      <c r="I12">
        <f>SUM(I2:I11)</f>
        <v>306734710</v>
      </c>
      <c r="O12">
        <v>12</v>
      </c>
      <c r="P12">
        <v>19</v>
      </c>
      <c r="Q12">
        <v>20</v>
      </c>
    </row>
    <row r="13" spans="1:17" x14ac:dyDescent="0.25">
      <c r="A13" s="4"/>
      <c r="B13" s="1"/>
      <c r="C13" s="1"/>
      <c r="D13" s="3"/>
      <c r="E13" s="2"/>
      <c r="G13" t="s">
        <v>62</v>
      </c>
      <c r="H13" t="s">
        <v>36</v>
      </c>
      <c r="I13" t="s">
        <v>37</v>
      </c>
      <c r="O13">
        <v>13</v>
      </c>
      <c r="P13">
        <v>18</v>
      </c>
      <c r="Q13">
        <v>19</v>
      </c>
    </row>
    <row r="14" spans="1:17" x14ac:dyDescent="0.25">
      <c r="A14" s="4"/>
      <c r="B14" s="1"/>
      <c r="C14" s="1"/>
      <c r="D14" s="3"/>
      <c r="E14" s="2"/>
      <c r="O14">
        <v>14</v>
      </c>
      <c r="P14">
        <v>17</v>
      </c>
      <c r="Q14">
        <v>18</v>
      </c>
    </row>
    <row r="15" spans="1:17" x14ac:dyDescent="0.25">
      <c r="A15" s="4"/>
      <c r="B15" s="1"/>
      <c r="C15" s="1"/>
      <c r="D15" s="3"/>
      <c r="E15" s="2"/>
      <c r="O15">
        <v>15</v>
      </c>
      <c r="P15">
        <v>16</v>
      </c>
      <c r="Q15">
        <v>17</v>
      </c>
    </row>
    <row r="16" spans="1:17" x14ac:dyDescent="0.25">
      <c r="A16" s="2"/>
      <c r="B16" s="1"/>
      <c r="C16" s="1"/>
      <c r="D16" s="3"/>
      <c r="E16" s="2"/>
      <c r="O16">
        <v>16</v>
      </c>
      <c r="P16">
        <v>15</v>
      </c>
      <c r="Q16">
        <v>16</v>
      </c>
    </row>
    <row r="17" spans="1:17" x14ac:dyDescent="0.25">
      <c r="A17" s="2"/>
      <c r="B17" s="1"/>
      <c r="C17" s="1"/>
      <c r="D17" s="3"/>
      <c r="E17" s="2"/>
      <c r="G17" s="1">
        <v>199393</v>
      </c>
      <c r="H17" s="1">
        <f>G17*H12/G12</f>
        <v>107413.15411934015</v>
      </c>
      <c r="I17" s="1">
        <f>G17*I12/G12</f>
        <v>91979.84588065985</v>
      </c>
      <c r="O17">
        <v>17</v>
      </c>
      <c r="P17">
        <v>14</v>
      </c>
      <c r="Q17">
        <v>15</v>
      </c>
    </row>
    <row r="18" spans="1:17" x14ac:dyDescent="0.25">
      <c r="A18" s="2"/>
      <c r="B18" s="1"/>
      <c r="C18" s="1"/>
      <c r="D18" s="3"/>
      <c r="E18" s="2"/>
      <c r="G18" s="9" t="s">
        <v>64</v>
      </c>
      <c r="H18" s="9" t="s">
        <v>38</v>
      </c>
      <c r="I18" s="9" t="s">
        <v>39</v>
      </c>
      <c r="O18">
        <v>18</v>
      </c>
      <c r="P18">
        <v>13</v>
      </c>
      <c r="Q18">
        <v>14</v>
      </c>
    </row>
    <row r="19" spans="1:17" x14ac:dyDescent="0.25">
      <c r="A19" s="2"/>
      <c r="B19" s="2"/>
      <c r="C19" s="2"/>
      <c r="D19" s="2"/>
      <c r="E19" s="2"/>
      <c r="O19">
        <v>19</v>
      </c>
      <c r="P19">
        <v>12</v>
      </c>
      <c r="Q19">
        <v>13</v>
      </c>
    </row>
    <row r="20" spans="1:17" x14ac:dyDescent="0.25">
      <c r="A20" s="2"/>
      <c r="B20" s="2"/>
      <c r="C20" s="2"/>
      <c r="D20" s="2"/>
      <c r="E20" s="2"/>
      <c r="O20">
        <v>20</v>
      </c>
      <c r="P20">
        <v>11</v>
      </c>
      <c r="Q20">
        <v>12</v>
      </c>
    </row>
    <row r="21" spans="1:17" x14ac:dyDescent="0.25">
      <c r="A21" s="2" t="s">
        <v>6</v>
      </c>
      <c r="B21" s="3">
        <f>SUM(B2:B18)</f>
        <v>22444189</v>
      </c>
      <c r="C21" s="3">
        <f>SUM(C2:C18)</f>
        <v>11559652</v>
      </c>
      <c r="D21" s="3">
        <f>SUM(D2:D18)</f>
        <v>10884537</v>
      </c>
      <c r="E21" s="2"/>
      <c r="O21">
        <v>21</v>
      </c>
      <c r="P21">
        <v>10</v>
      </c>
      <c r="Q21">
        <v>11</v>
      </c>
    </row>
    <row r="22" spans="1:17" x14ac:dyDescent="0.25">
      <c r="O22">
        <v>22</v>
      </c>
      <c r="P22">
        <v>9</v>
      </c>
      <c r="Q22">
        <v>10</v>
      </c>
    </row>
    <row r="23" spans="1:17" x14ac:dyDescent="0.25">
      <c r="O23">
        <v>23</v>
      </c>
      <c r="P23">
        <v>8</v>
      </c>
      <c r="Q23">
        <v>9</v>
      </c>
    </row>
    <row r="24" spans="1:17" x14ac:dyDescent="0.25">
      <c r="O24">
        <v>24</v>
      </c>
      <c r="P24">
        <v>7</v>
      </c>
      <c r="Q24">
        <v>8</v>
      </c>
    </row>
    <row r="25" spans="1:17" x14ac:dyDescent="0.25">
      <c r="G25">
        <f>G12/31*(11/1200)</f>
        <v>196620.99919354837</v>
      </c>
      <c r="O25">
        <v>25</v>
      </c>
      <c r="P25">
        <v>6</v>
      </c>
      <c r="Q25">
        <v>7</v>
      </c>
    </row>
    <row r="26" spans="1:17" x14ac:dyDescent="0.25">
      <c r="O26">
        <v>26</v>
      </c>
      <c r="P26">
        <v>5</v>
      </c>
      <c r="Q26">
        <v>6</v>
      </c>
    </row>
    <row r="27" spans="1:17" x14ac:dyDescent="0.25">
      <c r="O27">
        <v>27</v>
      </c>
      <c r="P27">
        <v>4</v>
      </c>
      <c r="Q27">
        <v>5</v>
      </c>
    </row>
    <row r="28" spans="1:17" x14ac:dyDescent="0.25">
      <c r="O28">
        <v>28</v>
      </c>
      <c r="P28">
        <v>3</v>
      </c>
      <c r="Q28">
        <v>4</v>
      </c>
    </row>
    <row r="29" spans="1:17" x14ac:dyDescent="0.25">
      <c r="B29" s="7">
        <f>C2+D2</f>
        <v>21343700</v>
      </c>
      <c r="O29">
        <v>29</v>
      </c>
      <c r="P29">
        <v>2</v>
      </c>
      <c r="Q29">
        <v>3</v>
      </c>
    </row>
    <row r="30" spans="1:17" x14ac:dyDescent="0.25">
      <c r="O30">
        <v>30</v>
      </c>
      <c r="P30">
        <v>1</v>
      </c>
      <c r="Q30">
        <v>2</v>
      </c>
    </row>
    <row r="31" spans="1:17" x14ac:dyDescent="0.25">
      <c r="O31">
        <v>31</v>
      </c>
      <c r="P31">
        <v>0</v>
      </c>
      <c r="Q31">
        <v>1</v>
      </c>
    </row>
    <row r="32" spans="1:17" x14ac:dyDescent="0.25">
      <c r="P32" t="s">
        <v>60</v>
      </c>
      <c r="Q32" t="s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I21" sqref="I21"/>
    </sheetView>
  </sheetViews>
  <sheetFormatPr defaultRowHeight="15" x14ac:dyDescent="0.25"/>
  <cols>
    <col min="1" max="1" width="9.7109375" bestFit="1" customWidth="1"/>
    <col min="2" max="4" width="15.85546875" bestFit="1" customWidth="1"/>
    <col min="5" max="5" width="48.28515625" bestFit="1" customWidth="1"/>
    <col min="6" max="6" width="18.85546875" bestFit="1" customWidth="1"/>
    <col min="7" max="9" width="16.140625" bestFit="1" customWidth="1"/>
    <col min="10" max="11" width="12.42578125" bestFit="1" customWidth="1"/>
    <col min="12" max="13" width="15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 x14ac:dyDescent="0.25">
      <c r="A2" s="2" t="s">
        <v>58</v>
      </c>
      <c r="B2" s="1">
        <f>'خرداد 95'!B21</f>
        <v>22444189</v>
      </c>
      <c r="C2" s="1">
        <f>'خرداد 95'!C21</f>
        <v>11559652</v>
      </c>
      <c r="D2" s="3">
        <f>B2-C2</f>
        <v>10884537</v>
      </c>
      <c r="E2" s="2" t="s">
        <v>59</v>
      </c>
      <c r="F2">
        <v>31</v>
      </c>
      <c r="G2">
        <f>B2*F2</f>
        <v>695769859</v>
      </c>
      <c r="H2">
        <f>C2*F2</f>
        <v>358349212</v>
      </c>
      <c r="I2">
        <f>D2*F2</f>
        <v>337420647</v>
      </c>
      <c r="O2">
        <v>2</v>
      </c>
      <c r="P2">
        <v>29</v>
      </c>
      <c r="Q2">
        <v>30</v>
      </c>
    </row>
    <row r="3" spans="1:17" x14ac:dyDescent="0.25">
      <c r="A3" s="4">
        <v>34703</v>
      </c>
      <c r="B3" s="1">
        <v>199393</v>
      </c>
      <c r="C3" s="1">
        <v>107413</v>
      </c>
      <c r="D3" s="3">
        <f t="shared" ref="D3:D18" si="0">B3-C3</f>
        <v>91980</v>
      </c>
      <c r="E3" s="5" t="s">
        <v>48</v>
      </c>
      <c r="F3">
        <v>30</v>
      </c>
      <c r="G3">
        <f t="shared" ref="G3:G11" si="1">B3*F3</f>
        <v>5981790</v>
      </c>
      <c r="H3">
        <f t="shared" ref="H3:H11" si="2">C3*F3</f>
        <v>3222390</v>
      </c>
      <c r="I3">
        <f t="shared" ref="I3:I11" si="3">D3*F3</f>
        <v>2759400</v>
      </c>
      <c r="O3">
        <v>3</v>
      </c>
      <c r="P3">
        <v>28</v>
      </c>
      <c r="Q3">
        <v>29</v>
      </c>
    </row>
    <row r="4" spans="1:17" x14ac:dyDescent="0.25">
      <c r="A4" s="4">
        <v>34762</v>
      </c>
      <c r="B4" s="1">
        <v>-221000</v>
      </c>
      <c r="C4" s="1">
        <v>-221000</v>
      </c>
      <c r="D4" s="3">
        <f>B4-C4</f>
        <v>0</v>
      </c>
      <c r="E4" s="2" t="s">
        <v>49</v>
      </c>
      <c r="F4">
        <v>29</v>
      </c>
      <c r="G4">
        <f t="shared" si="1"/>
        <v>-6409000</v>
      </c>
      <c r="H4">
        <f t="shared" si="2"/>
        <v>-6409000</v>
      </c>
      <c r="I4">
        <f t="shared" si="3"/>
        <v>0</v>
      </c>
      <c r="O4">
        <v>4</v>
      </c>
      <c r="P4">
        <v>27</v>
      </c>
      <c r="Q4">
        <v>28</v>
      </c>
    </row>
    <row r="5" spans="1:17" x14ac:dyDescent="0.25">
      <c r="A5" s="4">
        <v>34762</v>
      </c>
      <c r="B5" s="1">
        <v>-500500</v>
      </c>
      <c r="C5" s="1">
        <v>0</v>
      </c>
      <c r="D5" s="3">
        <f t="shared" si="0"/>
        <v>-500500</v>
      </c>
      <c r="E5" s="2" t="s">
        <v>50</v>
      </c>
      <c r="F5">
        <v>29</v>
      </c>
      <c r="G5">
        <f t="shared" si="1"/>
        <v>-14514500</v>
      </c>
      <c r="H5">
        <f t="shared" si="2"/>
        <v>0</v>
      </c>
      <c r="I5">
        <f t="shared" si="3"/>
        <v>-14514500</v>
      </c>
      <c r="O5">
        <v>5</v>
      </c>
      <c r="P5">
        <v>26</v>
      </c>
      <c r="Q5">
        <v>27</v>
      </c>
    </row>
    <row r="6" spans="1:17" x14ac:dyDescent="0.25">
      <c r="A6" s="4">
        <v>34762</v>
      </c>
      <c r="B6" s="1">
        <v>-15000000</v>
      </c>
      <c r="C6" s="1">
        <v>-15000000</v>
      </c>
      <c r="D6" s="3">
        <f t="shared" si="0"/>
        <v>0</v>
      </c>
      <c r="E6" s="2" t="s">
        <v>51</v>
      </c>
      <c r="F6">
        <v>29</v>
      </c>
      <c r="G6">
        <f t="shared" si="1"/>
        <v>-435000000</v>
      </c>
      <c r="H6">
        <f t="shared" si="2"/>
        <v>-435000000</v>
      </c>
      <c r="I6">
        <f t="shared" si="3"/>
        <v>0</v>
      </c>
      <c r="O6">
        <v>6</v>
      </c>
      <c r="P6">
        <v>25</v>
      </c>
      <c r="Q6">
        <v>26</v>
      </c>
    </row>
    <row r="7" spans="1:17" x14ac:dyDescent="0.25">
      <c r="A7" s="4" t="s">
        <v>52</v>
      </c>
      <c r="B7" s="1">
        <v>-3010900</v>
      </c>
      <c r="C7" s="1">
        <v>0</v>
      </c>
      <c r="D7" s="3">
        <f t="shared" si="0"/>
        <v>-3010900</v>
      </c>
      <c r="E7" s="2" t="s">
        <v>53</v>
      </c>
      <c r="F7">
        <v>12</v>
      </c>
      <c r="G7">
        <f t="shared" si="1"/>
        <v>-36130800</v>
      </c>
      <c r="H7">
        <f t="shared" si="2"/>
        <v>0</v>
      </c>
      <c r="I7">
        <f t="shared" si="3"/>
        <v>-36130800</v>
      </c>
      <c r="O7">
        <v>7</v>
      </c>
      <c r="P7">
        <v>24</v>
      </c>
      <c r="Q7">
        <v>25</v>
      </c>
    </row>
    <row r="8" spans="1:17" x14ac:dyDescent="0.25">
      <c r="A8" s="4" t="s">
        <v>54</v>
      </c>
      <c r="B8" s="1">
        <v>-3005900</v>
      </c>
      <c r="C8" s="1">
        <v>0</v>
      </c>
      <c r="D8" s="3">
        <f t="shared" si="0"/>
        <v>-3005900</v>
      </c>
      <c r="E8" s="2" t="s">
        <v>53</v>
      </c>
      <c r="F8">
        <v>10</v>
      </c>
      <c r="G8">
        <f t="shared" si="1"/>
        <v>-30059000</v>
      </c>
      <c r="H8">
        <f t="shared" si="2"/>
        <v>0</v>
      </c>
      <c r="I8">
        <f t="shared" si="3"/>
        <v>-30059000</v>
      </c>
      <c r="O8">
        <v>8</v>
      </c>
      <c r="P8">
        <v>23</v>
      </c>
      <c r="Q8">
        <v>24</v>
      </c>
    </row>
    <row r="9" spans="1:17" x14ac:dyDescent="0.25">
      <c r="A9" s="4" t="s">
        <v>55</v>
      </c>
      <c r="B9" s="1">
        <v>-895500</v>
      </c>
      <c r="C9" s="1">
        <v>0</v>
      </c>
      <c r="D9" s="3">
        <f t="shared" si="0"/>
        <v>-895500</v>
      </c>
      <c r="E9" s="2" t="s">
        <v>53</v>
      </c>
      <c r="F9">
        <v>9</v>
      </c>
      <c r="G9">
        <f t="shared" si="1"/>
        <v>-8059500</v>
      </c>
      <c r="H9">
        <f t="shared" si="2"/>
        <v>0</v>
      </c>
      <c r="I9">
        <f t="shared" si="3"/>
        <v>-8059500</v>
      </c>
      <c r="O9">
        <v>9</v>
      </c>
      <c r="P9">
        <v>22</v>
      </c>
      <c r="Q9">
        <v>23</v>
      </c>
    </row>
    <row r="10" spans="1:17" x14ac:dyDescent="0.25">
      <c r="A10" s="4" t="s">
        <v>55</v>
      </c>
      <c r="B10" s="1">
        <v>0</v>
      </c>
      <c r="C10" s="1">
        <v>1000000</v>
      </c>
      <c r="D10" s="3">
        <f t="shared" si="0"/>
        <v>-1000000</v>
      </c>
      <c r="E10" s="2" t="s">
        <v>56</v>
      </c>
      <c r="F10">
        <v>9</v>
      </c>
      <c r="G10">
        <f t="shared" si="1"/>
        <v>0</v>
      </c>
      <c r="H10">
        <f t="shared" si="2"/>
        <v>9000000</v>
      </c>
      <c r="I10">
        <f t="shared" si="3"/>
        <v>-9000000</v>
      </c>
      <c r="O10">
        <v>10</v>
      </c>
      <c r="P10">
        <v>21</v>
      </c>
      <c r="Q10">
        <v>22</v>
      </c>
    </row>
    <row r="11" spans="1:17" x14ac:dyDescent="0.25">
      <c r="A11" s="4"/>
      <c r="B11" s="1"/>
      <c r="C11" s="1"/>
      <c r="D11" s="3">
        <f t="shared" si="0"/>
        <v>0</v>
      </c>
      <c r="E11" s="2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11</v>
      </c>
      <c r="P11">
        <v>20</v>
      </c>
      <c r="Q11">
        <v>21</v>
      </c>
    </row>
    <row r="12" spans="1:17" x14ac:dyDescent="0.25">
      <c r="A12" s="4"/>
      <c r="B12" s="1"/>
      <c r="C12" s="1"/>
      <c r="D12" s="3">
        <f t="shared" si="0"/>
        <v>0</v>
      </c>
      <c r="E12" s="2"/>
      <c r="G12">
        <f>SUM(G2:G11)</f>
        <v>171578849</v>
      </c>
      <c r="H12">
        <f>SUM(H2:H11)</f>
        <v>-70837398</v>
      </c>
      <c r="I12">
        <f>SUM(I2:I11)</f>
        <v>242416247</v>
      </c>
      <c r="O12">
        <v>12</v>
      </c>
      <c r="P12">
        <v>19</v>
      </c>
      <c r="Q12">
        <v>20</v>
      </c>
    </row>
    <row r="13" spans="1:17" x14ac:dyDescent="0.25">
      <c r="A13" s="4"/>
      <c r="B13" s="1"/>
      <c r="C13" s="1"/>
      <c r="D13" s="3">
        <f t="shared" si="0"/>
        <v>0</v>
      </c>
      <c r="E13" s="2"/>
      <c r="G13" t="s">
        <v>62</v>
      </c>
      <c r="H13" t="s">
        <v>36</v>
      </c>
      <c r="I13" t="s">
        <v>37</v>
      </c>
      <c r="O13">
        <v>13</v>
      </c>
      <c r="P13">
        <v>18</v>
      </c>
      <c r="Q13">
        <v>19</v>
      </c>
    </row>
    <row r="14" spans="1:17" x14ac:dyDescent="0.25">
      <c r="A14" s="4"/>
      <c r="B14" s="1"/>
      <c r="C14" s="1"/>
      <c r="D14" s="3">
        <f t="shared" si="0"/>
        <v>0</v>
      </c>
      <c r="E14" s="2"/>
      <c r="O14">
        <v>14</v>
      </c>
      <c r="P14">
        <v>17</v>
      </c>
      <c r="Q14">
        <v>18</v>
      </c>
    </row>
    <row r="15" spans="1:17" x14ac:dyDescent="0.25">
      <c r="A15" s="4"/>
      <c r="B15" s="1"/>
      <c r="C15" s="1"/>
      <c r="D15" s="3">
        <f t="shared" si="0"/>
        <v>0</v>
      </c>
      <c r="E15" s="2"/>
      <c r="O15">
        <v>15</v>
      </c>
      <c r="P15">
        <v>16</v>
      </c>
      <c r="Q15">
        <v>17</v>
      </c>
    </row>
    <row r="16" spans="1:17" x14ac:dyDescent="0.25">
      <c r="A16" s="2"/>
      <c r="B16" s="1" t="s">
        <v>25</v>
      </c>
      <c r="C16" s="1"/>
      <c r="D16" s="3">
        <v>0</v>
      </c>
      <c r="E16" s="2"/>
      <c r="O16">
        <v>16</v>
      </c>
      <c r="P16">
        <v>15</v>
      </c>
      <c r="Q16">
        <v>16</v>
      </c>
    </row>
    <row r="17" spans="1:17" x14ac:dyDescent="0.25">
      <c r="A17" s="2"/>
      <c r="B17" s="1"/>
      <c r="C17" s="1"/>
      <c r="D17" s="3">
        <f t="shared" si="0"/>
        <v>0</v>
      </c>
      <c r="E17" s="2"/>
      <c r="G17" s="1">
        <v>52472</v>
      </c>
      <c r="H17" s="1">
        <f>G17*H12/G12</f>
        <v>-21663.39248409342</v>
      </c>
      <c r="I17" s="1">
        <f>I12*G17/G12</f>
        <v>74135.39248409342</v>
      </c>
      <c r="O17">
        <v>17</v>
      </c>
      <c r="P17">
        <v>14</v>
      </c>
      <c r="Q17">
        <v>15</v>
      </c>
    </row>
    <row r="18" spans="1:17" x14ac:dyDescent="0.25">
      <c r="A18" s="2"/>
      <c r="B18" s="1"/>
      <c r="C18" s="1"/>
      <c r="D18" s="3">
        <f t="shared" si="0"/>
        <v>0</v>
      </c>
      <c r="E18" s="2"/>
      <c r="G18" s="9" t="s">
        <v>65</v>
      </c>
      <c r="H18" s="9" t="s">
        <v>38</v>
      </c>
      <c r="I18" s="9" t="s">
        <v>39</v>
      </c>
      <c r="O18">
        <v>18</v>
      </c>
      <c r="P18">
        <v>13</v>
      </c>
      <c r="Q18">
        <v>14</v>
      </c>
    </row>
    <row r="19" spans="1:17" x14ac:dyDescent="0.25">
      <c r="A19" s="2"/>
      <c r="B19" s="2"/>
      <c r="C19" s="2"/>
      <c r="D19" s="2"/>
      <c r="E19" s="2"/>
      <c r="O19">
        <v>19</v>
      </c>
      <c r="P19">
        <v>12</v>
      </c>
      <c r="Q19">
        <v>13</v>
      </c>
    </row>
    <row r="20" spans="1:17" x14ac:dyDescent="0.25">
      <c r="A20" s="2"/>
      <c r="B20" s="2"/>
      <c r="C20" s="2"/>
      <c r="D20" s="2"/>
      <c r="E20" s="2"/>
      <c r="O20">
        <v>20</v>
      </c>
      <c r="P20">
        <v>11</v>
      </c>
      <c r="Q20">
        <v>12</v>
      </c>
    </row>
    <row r="21" spans="1:17" x14ac:dyDescent="0.25">
      <c r="A21" s="2" t="s">
        <v>6</v>
      </c>
      <c r="B21" s="3">
        <f>SUM(B2:B18)</f>
        <v>9782</v>
      </c>
      <c r="C21" s="3">
        <f>SUM(C2:C18)</f>
        <v>-2553935</v>
      </c>
      <c r="D21" s="3">
        <f>SUM(D2:D18)</f>
        <v>2563717</v>
      </c>
      <c r="E21" s="2"/>
      <c r="O21">
        <v>21</v>
      </c>
      <c r="P21">
        <v>10</v>
      </c>
      <c r="Q21">
        <v>11</v>
      </c>
    </row>
    <row r="22" spans="1:17" x14ac:dyDescent="0.25">
      <c r="O22">
        <v>22</v>
      </c>
      <c r="P22">
        <v>9</v>
      </c>
      <c r="Q22">
        <v>10</v>
      </c>
    </row>
    <row r="23" spans="1:17" x14ac:dyDescent="0.25">
      <c r="O23">
        <v>23</v>
      </c>
      <c r="P23">
        <v>8</v>
      </c>
      <c r="Q23">
        <v>9</v>
      </c>
    </row>
    <row r="24" spans="1:17" x14ac:dyDescent="0.25">
      <c r="O24">
        <v>24</v>
      </c>
      <c r="P24">
        <v>7</v>
      </c>
      <c r="Q24">
        <v>8</v>
      </c>
    </row>
    <row r="25" spans="1:17" x14ac:dyDescent="0.25">
      <c r="O25">
        <v>25</v>
      </c>
      <c r="P25">
        <v>6</v>
      </c>
      <c r="Q25">
        <v>7</v>
      </c>
    </row>
    <row r="26" spans="1:17" x14ac:dyDescent="0.25">
      <c r="O26">
        <v>26</v>
      </c>
      <c r="P26">
        <v>5</v>
      </c>
      <c r="Q26">
        <v>6</v>
      </c>
    </row>
    <row r="27" spans="1:17" x14ac:dyDescent="0.25">
      <c r="O27">
        <v>27</v>
      </c>
      <c r="P27">
        <v>4</v>
      </c>
      <c r="Q27">
        <v>5</v>
      </c>
    </row>
    <row r="28" spans="1:17" x14ac:dyDescent="0.25">
      <c r="O28">
        <v>28</v>
      </c>
      <c r="P28">
        <v>3</v>
      </c>
      <c r="Q28">
        <v>4</v>
      </c>
    </row>
    <row r="29" spans="1:17" x14ac:dyDescent="0.25">
      <c r="B29" s="7"/>
      <c r="O29">
        <v>29</v>
      </c>
      <c r="P29">
        <v>2</v>
      </c>
      <c r="Q29">
        <v>3</v>
      </c>
    </row>
    <row r="30" spans="1:17" x14ac:dyDescent="0.25">
      <c r="O30">
        <v>30</v>
      </c>
      <c r="P30">
        <v>1</v>
      </c>
      <c r="Q30">
        <v>2</v>
      </c>
    </row>
    <row r="31" spans="1:17" x14ac:dyDescent="0.25">
      <c r="O31">
        <v>31</v>
      </c>
      <c r="P31">
        <v>0</v>
      </c>
      <c r="Q31">
        <v>1</v>
      </c>
    </row>
    <row r="32" spans="1:17" x14ac:dyDescent="0.25">
      <c r="P32" t="s">
        <v>60</v>
      </c>
      <c r="Q32" t="s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workbookViewId="0">
      <selection activeCell="G27" sqref="G27"/>
    </sheetView>
  </sheetViews>
  <sheetFormatPr defaultRowHeight="15" x14ac:dyDescent="0.25"/>
  <cols>
    <col min="1" max="1" width="9.7109375" bestFit="1" customWidth="1"/>
    <col min="2" max="4" width="15.85546875" bestFit="1" customWidth="1"/>
    <col min="5" max="5" width="47.7109375" bestFit="1" customWidth="1"/>
    <col min="6" max="6" width="18.85546875" bestFit="1" customWidth="1"/>
    <col min="7" max="7" width="12.42578125" bestFit="1" customWidth="1"/>
    <col min="8" max="8" width="12.7109375" bestFit="1" customWidth="1"/>
    <col min="9" max="9" width="12.42578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 x14ac:dyDescent="0.25">
      <c r="A2" s="2" t="s">
        <v>69</v>
      </c>
      <c r="B2" s="3">
        <f>تیرماه95!B21</f>
        <v>9782</v>
      </c>
      <c r="C2" s="1">
        <f>تیرماه95!C21</f>
        <v>-2553935</v>
      </c>
      <c r="D2" s="3">
        <f>B2-C2</f>
        <v>2563717</v>
      </c>
      <c r="E2" s="2" t="s">
        <v>59</v>
      </c>
      <c r="F2">
        <v>31</v>
      </c>
      <c r="G2">
        <f>B2*F2</f>
        <v>303242</v>
      </c>
      <c r="H2">
        <f>C2*F2</f>
        <v>-79171985</v>
      </c>
      <c r="I2">
        <f>D2*F2</f>
        <v>79475227</v>
      </c>
      <c r="O2">
        <v>2</v>
      </c>
      <c r="P2">
        <v>29</v>
      </c>
      <c r="Q2">
        <v>30</v>
      </c>
    </row>
    <row r="3" spans="1:17" x14ac:dyDescent="0.25">
      <c r="A3" s="4" t="s">
        <v>57</v>
      </c>
      <c r="B3" s="1">
        <v>52472</v>
      </c>
      <c r="C3" s="1">
        <v>-21663</v>
      </c>
      <c r="D3" s="3">
        <f t="shared" ref="D3:D19" si="0">B3-C3</f>
        <v>74135</v>
      </c>
      <c r="E3" s="5" t="s">
        <v>68</v>
      </c>
      <c r="F3">
        <v>30</v>
      </c>
      <c r="G3">
        <f t="shared" ref="G3:G15" si="1">B3*F3</f>
        <v>1574160</v>
      </c>
      <c r="H3">
        <f t="shared" ref="H3:H15" si="2">C3*F3</f>
        <v>-649890</v>
      </c>
      <c r="I3">
        <f t="shared" ref="I3:I15" si="3">D3*F3</f>
        <v>2224050</v>
      </c>
      <c r="O3">
        <v>3</v>
      </c>
      <c r="P3">
        <v>28</v>
      </c>
      <c r="Q3">
        <v>29</v>
      </c>
    </row>
    <row r="4" spans="1:17" x14ac:dyDescent="0.25">
      <c r="A4" s="4" t="s">
        <v>57</v>
      </c>
      <c r="B4" s="1">
        <v>0</v>
      </c>
      <c r="C4" s="1">
        <v>21663</v>
      </c>
      <c r="D4" s="3">
        <f t="shared" si="0"/>
        <v>-21663</v>
      </c>
      <c r="E4" s="2" t="s">
        <v>70</v>
      </c>
      <c r="F4">
        <v>30</v>
      </c>
      <c r="G4">
        <f t="shared" si="1"/>
        <v>0</v>
      </c>
      <c r="H4">
        <f t="shared" si="2"/>
        <v>649890</v>
      </c>
      <c r="I4">
        <f t="shared" si="3"/>
        <v>-649890</v>
      </c>
      <c r="O4">
        <v>4</v>
      </c>
      <c r="P4">
        <v>27</v>
      </c>
      <c r="Q4">
        <v>28</v>
      </c>
    </row>
    <row r="5" spans="1:17" x14ac:dyDescent="0.25">
      <c r="A5" s="11" t="s">
        <v>80</v>
      </c>
      <c r="B5" s="1">
        <v>-55000</v>
      </c>
      <c r="C5" s="1">
        <v>0</v>
      </c>
      <c r="D5" s="14">
        <f t="shared" si="0"/>
        <v>-55000</v>
      </c>
      <c r="E5" s="12" t="s">
        <v>81</v>
      </c>
      <c r="F5">
        <v>21</v>
      </c>
      <c r="G5">
        <f t="shared" si="1"/>
        <v>-1155000</v>
      </c>
      <c r="H5">
        <f t="shared" si="2"/>
        <v>0</v>
      </c>
      <c r="I5">
        <f t="shared" si="3"/>
        <v>-1155000</v>
      </c>
      <c r="O5">
        <v>5</v>
      </c>
      <c r="P5">
        <v>26</v>
      </c>
      <c r="Q5">
        <v>27</v>
      </c>
    </row>
    <row r="6" spans="1:17" x14ac:dyDescent="0.25">
      <c r="A6" s="4" t="s">
        <v>71</v>
      </c>
      <c r="B6" s="1">
        <v>3000000</v>
      </c>
      <c r="C6" s="1">
        <v>3000000</v>
      </c>
      <c r="D6" s="3">
        <f t="shared" si="0"/>
        <v>0</v>
      </c>
      <c r="E6" s="2" t="s">
        <v>72</v>
      </c>
      <c r="F6">
        <v>19</v>
      </c>
      <c r="G6">
        <f t="shared" si="1"/>
        <v>57000000</v>
      </c>
      <c r="H6">
        <f t="shared" si="2"/>
        <v>57000000</v>
      </c>
      <c r="I6">
        <f t="shared" si="3"/>
        <v>0</v>
      </c>
      <c r="O6">
        <v>6</v>
      </c>
      <c r="P6">
        <v>25</v>
      </c>
      <c r="Q6">
        <v>26</v>
      </c>
    </row>
    <row r="7" spans="1:17" x14ac:dyDescent="0.25">
      <c r="A7" s="4" t="s">
        <v>73</v>
      </c>
      <c r="B7" s="1">
        <v>2500000</v>
      </c>
      <c r="C7" s="1">
        <v>2500000</v>
      </c>
      <c r="D7" s="3">
        <f t="shared" si="0"/>
        <v>0</v>
      </c>
      <c r="E7" s="2" t="s">
        <v>74</v>
      </c>
      <c r="F7">
        <v>18</v>
      </c>
      <c r="G7">
        <f t="shared" si="1"/>
        <v>45000000</v>
      </c>
      <c r="H7">
        <f t="shared" si="2"/>
        <v>45000000</v>
      </c>
      <c r="I7">
        <f t="shared" si="3"/>
        <v>0</v>
      </c>
      <c r="O7">
        <v>7</v>
      </c>
      <c r="P7">
        <v>24</v>
      </c>
      <c r="Q7">
        <v>25</v>
      </c>
    </row>
    <row r="8" spans="1:17" x14ac:dyDescent="0.25">
      <c r="A8" s="4" t="s">
        <v>73</v>
      </c>
      <c r="B8" s="1">
        <v>-50000</v>
      </c>
      <c r="C8" s="1">
        <v>0</v>
      </c>
      <c r="D8" s="14">
        <f t="shared" si="0"/>
        <v>-50000</v>
      </c>
      <c r="E8" s="13" t="s">
        <v>75</v>
      </c>
      <c r="F8">
        <v>19</v>
      </c>
      <c r="G8">
        <f t="shared" si="1"/>
        <v>-950000</v>
      </c>
      <c r="H8">
        <f t="shared" si="2"/>
        <v>0</v>
      </c>
      <c r="I8">
        <f t="shared" si="3"/>
        <v>-950000</v>
      </c>
      <c r="O8">
        <v>8</v>
      </c>
      <c r="P8">
        <v>23</v>
      </c>
      <c r="Q8">
        <v>24</v>
      </c>
    </row>
    <row r="9" spans="1:17" x14ac:dyDescent="0.25">
      <c r="A9" s="4" t="s">
        <v>73</v>
      </c>
      <c r="B9" s="1">
        <v>3000000</v>
      </c>
      <c r="C9" s="1">
        <v>0</v>
      </c>
      <c r="D9" s="3">
        <f t="shared" si="0"/>
        <v>3000000</v>
      </c>
      <c r="E9" s="2" t="s">
        <v>82</v>
      </c>
      <c r="F9">
        <v>18</v>
      </c>
      <c r="G9">
        <f t="shared" si="1"/>
        <v>54000000</v>
      </c>
      <c r="H9">
        <f t="shared" si="2"/>
        <v>0</v>
      </c>
      <c r="I9">
        <f t="shared" si="3"/>
        <v>54000000</v>
      </c>
      <c r="O9">
        <v>9</v>
      </c>
      <c r="P9">
        <v>22</v>
      </c>
      <c r="Q9">
        <v>23</v>
      </c>
    </row>
    <row r="10" spans="1:17" x14ac:dyDescent="0.25">
      <c r="A10" s="4" t="s">
        <v>76</v>
      </c>
      <c r="B10" s="1">
        <v>-89200</v>
      </c>
      <c r="C10" s="1">
        <v>0</v>
      </c>
      <c r="D10" s="14">
        <f t="shared" si="0"/>
        <v>-89200</v>
      </c>
      <c r="E10" s="13" t="s">
        <v>77</v>
      </c>
      <c r="F10">
        <v>16</v>
      </c>
      <c r="G10">
        <f t="shared" si="1"/>
        <v>-1427200</v>
      </c>
      <c r="H10">
        <f t="shared" si="2"/>
        <v>0</v>
      </c>
      <c r="I10">
        <f t="shared" si="3"/>
        <v>-1427200</v>
      </c>
      <c r="O10">
        <v>10</v>
      </c>
      <c r="P10">
        <v>21</v>
      </c>
      <c r="Q10">
        <v>22</v>
      </c>
    </row>
    <row r="11" spans="1:17" x14ac:dyDescent="0.25">
      <c r="A11" s="4" t="s">
        <v>78</v>
      </c>
      <c r="B11" s="1">
        <v>-200000</v>
      </c>
      <c r="C11" s="1">
        <v>0</v>
      </c>
      <c r="D11" s="14">
        <f t="shared" si="0"/>
        <v>-200000</v>
      </c>
      <c r="E11" s="13" t="s">
        <v>79</v>
      </c>
      <c r="F11">
        <v>12</v>
      </c>
      <c r="G11">
        <f t="shared" si="1"/>
        <v>-2400000</v>
      </c>
      <c r="H11">
        <f t="shared" si="2"/>
        <v>0</v>
      </c>
      <c r="I11">
        <f t="shared" si="3"/>
        <v>-2400000</v>
      </c>
      <c r="O11">
        <v>11</v>
      </c>
      <c r="P11">
        <v>20</v>
      </c>
      <c r="Q11">
        <v>21</v>
      </c>
    </row>
    <row r="12" spans="1:17" x14ac:dyDescent="0.25">
      <c r="A12" s="11" t="s">
        <v>83</v>
      </c>
      <c r="B12" s="1">
        <v>-200000</v>
      </c>
      <c r="C12" s="1">
        <v>0</v>
      </c>
      <c r="D12" s="15">
        <f t="shared" si="0"/>
        <v>-200000</v>
      </c>
      <c r="E12" s="12" t="s">
        <v>26</v>
      </c>
      <c r="F12">
        <v>10</v>
      </c>
      <c r="G12">
        <f t="shared" si="1"/>
        <v>-2000000</v>
      </c>
      <c r="H12">
        <f t="shared" si="2"/>
        <v>0</v>
      </c>
      <c r="I12">
        <f t="shared" si="3"/>
        <v>-2000000</v>
      </c>
      <c r="O12">
        <v>12</v>
      </c>
      <c r="P12">
        <v>19</v>
      </c>
      <c r="Q12">
        <v>20</v>
      </c>
    </row>
    <row r="13" spans="1:17" x14ac:dyDescent="0.25">
      <c r="A13" s="11" t="s">
        <v>83</v>
      </c>
      <c r="B13" s="1">
        <v>-560000</v>
      </c>
      <c r="C13" s="1">
        <v>0</v>
      </c>
      <c r="D13" s="1">
        <f t="shared" si="0"/>
        <v>-560000</v>
      </c>
      <c r="E13" s="11" t="s">
        <v>84</v>
      </c>
      <c r="F13">
        <v>10</v>
      </c>
      <c r="G13">
        <f t="shared" si="1"/>
        <v>-5600000</v>
      </c>
      <c r="H13">
        <f t="shared" si="2"/>
        <v>0</v>
      </c>
      <c r="I13">
        <f t="shared" si="3"/>
        <v>-5600000</v>
      </c>
      <c r="O13">
        <v>13</v>
      </c>
      <c r="P13">
        <v>18</v>
      </c>
      <c r="Q13">
        <v>19</v>
      </c>
    </row>
    <row r="14" spans="1:17" x14ac:dyDescent="0.25">
      <c r="A14" s="11" t="s">
        <v>87</v>
      </c>
      <c r="B14" s="1">
        <v>-705500</v>
      </c>
      <c r="C14" s="1">
        <v>0</v>
      </c>
      <c r="D14" s="15">
        <f t="shared" si="0"/>
        <v>-705500</v>
      </c>
      <c r="E14" s="16" t="s">
        <v>88</v>
      </c>
      <c r="F14">
        <v>6</v>
      </c>
      <c r="G14">
        <f t="shared" si="1"/>
        <v>-4233000</v>
      </c>
      <c r="H14">
        <f t="shared" si="2"/>
        <v>0</v>
      </c>
      <c r="I14">
        <f t="shared" si="3"/>
        <v>-4233000</v>
      </c>
      <c r="O14">
        <v>14</v>
      </c>
      <c r="P14">
        <v>17</v>
      </c>
      <c r="Q14">
        <v>18</v>
      </c>
    </row>
    <row r="15" spans="1:17" x14ac:dyDescent="0.25">
      <c r="A15" s="11"/>
      <c r="B15" s="1"/>
      <c r="C15" s="1"/>
      <c r="D15" s="1">
        <f t="shared" si="0"/>
        <v>0</v>
      </c>
      <c r="E15" s="11"/>
      <c r="G15">
        <f t="shared" si="1"/>
        <v>0</v>
      </c>
      <c r="H15">
        <f t="shared" si="2"/>
        <v>0</v>
      </c>
      <c r="I15">
        <f t="shared" si="3"/>
        <v>0</v>
      </c>
      <c r="O15">
        <v>15</v>
      </c>
      <c r="P15">
        <v>16</v>
      </c>
      <c r="Q15">
        <v>17</v>
      </c>
    </row>
    <row r="16" spans="1:17" x14ac:dyDescent="0.25">
      <c r="A16" s="11"/>
      <c r="B16" s="1"/>
      <c r="C16" s="1"/>
      <c r="D16" s="1">
        <f t="shared" si="0"/>
        <v>0</v>
      </c>
      <c r="E16" s="11"/>
      <c r="O16">
        <v>16</v>
      </c>
      <c r="P16">
        <v>15</v>
      </c>
      <c r="Q16">
        <v>16</v>
      </c>
    </row>
    <row r="17" spans="1:17" x14ac:dyDescent="0.25">
      <c r="A17" s="2"/>
      <c r="B17" s="1"/>
      <c r="C17" s="1"/>
      <c r="D17" s="1">
        <f t="shared" si="0"/>
        <v>0</v>
      </c>
      <c r="E17" s="2"/>
      <c r="O17">
        <v>17</v>
      </c>
      <c r="P17">
        <v>14</v>
      </c>
      <c r="Q17">
        <v>15</v>
      </c>
    </row>
    <row r="18" spans="1:17" x14ac:dyDescent="0.25">
      <c r="A18" s="2"/>
      <c r="B18" s="1"/>
      <c r="C18" s="1"/>
      <c r="D18" s="1">
        <f t="shared" si="0"/>
        <v>0</v>
      </c>
      <c r="E18" s="2"/>
      <c r="O18">
        <v>18</v>
      </c>
      <c r="P18">
        <v>13</v>
      </c>
      <c r="Q18">
        <v>14</v>
      </c>
    </row>
    <row r="19" spans="1:17" x14ac:dyDescent="0.25">
      <c r="A19" s="2"/>
      <c r="B19" s="1"/>
      <c r="C19" s="1"/>
      <c r="D19" s="1">
        <f t="shared" si="0"/>
        <v>0</v>
      </c>
      <c r="E19" s="2"/>
      <c r="G19">
        <f>SUM(G2:G16)</f>
        <v>140112202</v>
      </c>
      <c r="H19">
        <f>SUM(H2:H15)</f>
        <v>22828015</v>
      </c>
      <c r="I19">
        <f>SUM(I2:I17)</f>
        <v>117284187</v>
      </c>
      <c r="O19">
        <v>19</v>
      </c>
      <c r="P19">
        <v>12</v>
      </c>
      <c r="Q19">
        <v>13</v>
      </c>
    </row>
    <row r="20" spans="1:17" x14ac:dyDescent="0.25">
      <c r="A20" s="2"/>
      <c r="B20" s="2"/>
      <c r="C20" s="2"/>
      <c r="D20" s="2"/>
      <c r="E20" s="2"/>
      <c r="G20" t="s">
        <v>62</v>
      </c>
      <c r="H20" t="s">
        <v>36</v>
      </c>
      <c r="I20" t="s">
        <v>37</v>
      </c>
      <c r="O20">
        <v>20</v>
      </c>
      <c r="P20">
        <v>11</v>
      </c>
      <c r="Q20">
        <v>12</v>
      </c>
    </row>
    <row r="21" spans="1:17" x14ac:dyDescent="0.25">
      <c r="A21" s="2" t="s">
        <v>6</v>
      </c>
      <c r="B21" s="3">
        <f>SUM(B2:B18)</f>
        <v>6702554</v>
      </c>
      <c r="C21" s="3">
        <f>SUM(C2:C18)</f>
        <v>2946065</v>
      </c>
      <c r="D21" s="3">
        <f>SUM(D2:D18)</f>
        <v>3756489</v>
      </c>
      <c r="E21" s="2"/>
      <c r="O21">
        <v>21</v>
      </c>
      <c r="P21">
        <v>10</v>
      </c>
      <c r="Q21">
        <v>11</v>
      </c>
    </row>
    <row r="22" spans="1:17" x14ac:dyDescent="0.25">
      <c r="F22" t="s">
        <v>25</v>
      </c>
      <c r="O22">
        <v>22</v>
      </c>
      <c r="P22">
        <v>9</v>
      </c>
      <c r="Q22">
        <v>10</v>
      </c>
    </row>
    <row r="23" spans="1:17" x14ac:dyDescent="0.25">
      <c r="O23">
        <v>23</v>
      </c>
      <c r="P23">
        <v>8</v>
      </c>
      <c r="Q23">
        <v>9</v>
      </c>
    </row>
    <row r="24" spans="1:17" x14ac:dyDescent="0.25">
      <c r="G24" s="15">
        <v>41204</v>
      </c>
      <c r="H24" s="15">
        <f>G24*H19/G19</f>
        <v>6713.2306582406009</v>
      </c>
      <c r="I24" s="15">
        <f>G24*I19/G19</f>
        <v>34490.769341759398</v>
      </c>
      <c r="O24">
        <v>24</v>
      </c>
      <c r="P24">
        <v>7</v>
      </c>
      <c r="Q24">
        <v>8</v>
      </c>
    </row>
    <row r="25" spans="1:17" x14ac:dyDescent="0.25">
      <c r="G25" s="9" t="s">
        <v>67</v>
      </c>
      <c r="H25" s="9" t="s">
        <v>38</v>
      </c>
      <c r="I25" s="9" t="s">
        <v>39</v>
      </c>
      <c r="O25">
        <v>25</v>
      </c>
      <c r="P25">
        <v>6</v>
      </c>
      <c r="Q25">
        <v>7</v>
      </c>
    </row>
    <row r="26" spans="1:17" x14ac:dyDescent="0.25">
      <c r="O26">
        <v>26</v>
      </c>
      <c r="P26">
        <v>5</v>
      </c>
      <c r="Q26">
        <v>6</v>
      </c>
    </row>
    <row r="27" spans="1:17" x14ac:dyDescent="0.25">
      <c r="D27" s="7">
        <v>26000000</v>
      </c>
      <c r="E27" t="s">
        <v>85</v>
      </c>
      <c r="O27">
        <v>27</v>
      </c>
      <c r="P27">
        <v>4</v>
      </c>
      <c r="Q27">
        <v>5</v>
      </c>
    </row>
    <row r="28" spans="1:17" x14ac:dyDescent="0.25">
      <c r="D28" s="7">
        <v>500000</v>
      </c>
      <c r="E28" t="s">
        <v>89</v>
      </c>
      <c r="O28">
        <v>28</v>
      </c>
      <c r="P28">
        <v>3</v>
      </c>
      <c r="Q28">
        <v>4</v>
      </c>
    </row>
    <row r="29" spans="1:17" x14ac:dyDescent="0.25">
      <c r="B29" s="7"/>
      <c r="D29" s="7">
        <f>SUM(D5,D8,D10,D11,D12,D14)*(-1)</f>
        <v>1299700</v>
      </c>
      <c r="G29">
        <f>(G19*0.11)/(31*12)</f>
        <v>41431.02747311828</v>
      </c>
      <c r="O29">
        <v>29</v>
      </c>
      <c r="P29">
        <v>2</v>
      </c>
      <c r="Q29">
        <v>3</v>
      </c>
    </row>
    <row r="30" spans="1:17" x14ac:dyDescent="0.25">
      <c r="E30" t="s">
        <v>86</v>
      </c>
      <c r="O30">
        <v>30</v>
      </c>
      <c r="P30">
        <v>1</v>
      </c>
      <c r="Q30">
        <v>2</v>
      </c>
    </row>
    <row r="31" spans="1:17" x14ac:dyDescent="0.25">
      <c r="D31">
        <v>-95000</v>
      </c>
      <c r="E31" t="s">
        <v>94</v>
      </c>
      <c r="O31">
        <v>31</v>
      </c>
      <c r="P31">
        <v>0</v>
      </c>
      <c r="Q31">
        <v>1</v>
      </c>
    </row>
    <row r="32" spans="1:17" x14ac:dyDescent="0.25">
      <c r="P32" t="s">
        <v>60</v>
      </c>
      <c r="Q32" t="s">
        <v>61</v>
      </c>
    </row>
    <row r="33" spans="4:5" x14ac:dyDescent="0.25">
      <c r="D33" s="7">
        <f>SUM(D27:D31)</f>
        <v>27704700</v>
      </c>
      <c r="E33" t="s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G34" sqref="G34"/>
    </sheetView>
  </sheetViews>
  <sheetFormatPr defaultRowHeight="15" x14ac:dyDescent="0.25"/>
  <cols>
    <col min="1" max="1" width="9.7109375" bestFit="1" customWidth="1"/>
    <col min="2" max="2" width="16.85546875" bestFit="1" customWidth="1"/>
    <col min="3" max="4" width="16.140625" bestFit="1" customWidth="1"/>
    <col min="5" max="5" width="47.7109375" bestFit="1" customWidth="1"/>
    <col min="6" max="6" width="22.5703125" bestFit="1" customWidth="1"/>
    <col min="7" max="7" width="12" bestFit="1" customWidth="1"/>
    <col min="8" max="8" width="12.7109375" bestFit="1" customWidth="1"/>
    <col min="9" max="9" width="12" bestFit="1" customWidth="1"/>
    <col min="10" max="10" width="7.28515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 x14ac:dyDescent="0.25">
      <c r="A2" s="2" t="s">
        <v>90</v>
      </c>
      <c r="B2" s="3">
        <f>'مرداد 95'!B21</f>
        <v>6702554</v>
      </c>
      <c r="C2" s="1">
        <f>'مرداد 95'!C21</f>
        <v>2946065</v>
      </c>
      <c r="D2" s="3">
        <f>B2-C2</f>
        <v>3756489</v>
      </c>
      <c r="E2" s="2" t="s">
        <v>59</v>
      </c>
      <c r="F2">
        <v>31</v>
      </c>
      <c r="G2">
        <f>B2*F2</f>
        <v>207779174</v>
      </c>
      <c r="H2">
        <f>C2*F2</f>
        <v>91328015</v>
      </c>
      <c r="I2">
        <f>D2*F2</f>
        <v>116451159</v>
      </c>
      <c r="O2">
        <v>2</v>
      </c>
      <c r="P2">
        <v>29</v>
      </c>
      <c r="Q2">
        <v>30</v>
      </c>
    </row>
    <row r="3" spans="1:17" x14ac:dyDescent="0.25">
      <c r="A3" s="4" t="s">
        <v>91</v>
      </c>
      <c r="B3" s="1">
        <v>41204</v>
      </c>
      <c r="C3" s="1">
        <v>6713</v>
      </c>
      <c r="D3" s="3">
        <f t="shared" ref="D3:D22" si="0">B3-C3</f>
        <v>34491</v>
      </c>
      <c r="E3" s="5" t="s">
        <v>92</v>
      </c>
      <c r="F3">
        <v>30</v>
      </c>
      <c r="G3">
        <f t="shared" ref="G3:G23" si="1">B3*F3</f>
        <v>1236120</v>
      </c>
      <c r="H3">
        <f t="shared" ref="H3:H23" si="2">C3*F3</f>
        <v>201390</v>
      </c>
      <c r="I3">
        <f t="shared" ref="I3:I23" si="3">D3*F3</f>
        <v>1034730</v>
      </c>
      <c r="O3">
        <v>3</v>
      </c>
      <c r="P3">
        <v>28</v>
      </c>
      <c r="Q3">
        <v>29</v>
      </c>
    </row>
    <row r="4" spans="1:17" x14ac:dyDescent="0.25">
      <c r="A4" s="17" t="s">
        <v>91</v>
      </c>
      <c r="B4" s="18">
        <v>1704700</v>
      </c>
      <c r="C4" s="18">
        <v>0</v>
      </c>
      <c r="D4" s="3">
        <f t="shared" si="0"/>
        <v>1704700</v>
      </c>
      <c r="E4" s="19" t="s">
        <v>93</v>
      </c>
      <c r="F4">
        <v>30</v>
      </c>
      <c r="G4">
        <f t="shared" si="1"/>
        <v>51141000</v>
      </c>
      <c r="H4">
        <f t="shared" si="2"/>
        <v>0</v>
      </c>
      <c r="I4">
        <f t="shared" si="3"/>
        <v>51141000</v>
      </c>
      <c r="O4">
        <v>4</v>
      </c>
      <c r="P4">
        <v>27</v>
      </c>
      <c r="Q4">
        <v>28</v>
      </c>
    </row>
    <row r="5" spans="1:17" x14ac:dyDescent="0.25">
      <c r="A5" s="20" t="s">
        <v>96</v>
      </c>
      <c r="B5" s="18">
        <v>-155000</v>
      </c>
      <c r="C5" s="18">
        <v>0</v>
      </c>
      <c r="D5" s="3">
        <f t="shared" si="0"/>
        <v>-155000</v>
      </c>
      <c r="E5" s="20" t="s">
        <v>97</v>
      </c>
      <c r="F5">
        <v>22</v>
      </c>
      <c r="G5">
        <f t="shared" si="1"/>
        <v>-3410000</v>
      </c>
      <c r="H5">
        <f t="shared" si="2"/>
        <v>0</v>
      </c>
      <c r="I5">
        <f t="shared" si="3"/>
        <v>-3410000</v>
      </c>
      <c r="O5">
        <v>5</v>
      </c>
      <c r="P5">
        <v>26</v>
      </c>
      <c r="Q5">
        <v>27</v>
      </c>
    </row>
    <row r="6" spans="1:17" x14ac:dyDescent="0.25">
      <c r="A6" s="17" t="s">
        <v>96</v>
      </c>
      <c r="B6" s="18">
        <v>-138000</v>
      </c>
      <c r="C6" s="18">
        <v>0</v>
      </c>
      <c r="D6" s="3">
        <f t="shared" si="0"/>
        <v>-138000</v>
      </c>
      <c r="E6" s="19" t="s">
        <v>98</v>
      </c>
      <c r="F6">
        <v>22</v>
      </c>
      <c r="G6">
        <f t="shared" si="1"/>
        <v>-3036000</v>
      </c>
      <c r="H6">
        <f t="shared" si="2"/>
        <v>0</v>
      </c>
      <c r="I6">
        <f t="shared" si="3"/>
        <v>-3036000</v>
      </c>
      <c r="O6">
        <v>6</v>
      </c>
      <c r="P6">
        <v>25</v>
      </c>
      <c r="Q6">
        <v>26</v>
      </c>
    </row>
    <row r="7" spans="1:17" x14ac:dyDescent="0.25">
      <c r="A7" s="17" t="s">
        <v>96</v>
      </c>
      <c r="B7" s="18">
        <v>-740000</v>
      </c>
      <c r="C7" s="18">
        <v>0</v>
      </c>
      <c r="D7" s="3">
        <f t="shared" si="0"/>
        <v>-740000</v>
      </c>
      <c r="E7" s="19" t="s">
        <v>99</v>
      </c>
      <c r="F7">
        <v>22</v>
      </c>
      <c r="G7">
        <f t="shared" si="1"/>
        <v>-16280000</v>
      </c>
      <c r="H7">
        <f t="shared" si="2"/>
        <v>0</v>
      </c>
      <c r="I7">
        <f t="shared" si="3"/>
        <v>-16280000</v>
      </c>
      <c r="O7">
        <v>7</v>
      </c>
      <c r="P7">
        <v>24</v>
      </c>
      <c r="Q7">
        <v>25</v>
      </c>
    </row>
    <row r="8" spans="1:17" x14ac:dyDescent="0.25">
      <c r="A8" s="17" t="s">
        <v>96</v>
      </c>
      <c r="B8" s="18">
        <v>-200000</v>
      </c>
      <c r="C8" s="18">
        <v>0</v>
      </c>
      <c r="D8" s="3">
        <f t="shared" si="0"/>
        <v>-200000</v>
      </c>
      <c r="E8" s="19" t="s">
        <v>100</v>
      </c>
      <c r="F8">
        <v>22</v>
      </c>
      <c r="G8">
        <f t="shared" si="1"/>
        <v>-4400000</v>
      </c>
      <c r="H8">
        <f t="shared" si="2"/>
        <v>0</v>
      </c>
      <c r="I8">
        <f t="shared" si="3"/>
        <v>-4400000</v>
      </c>
      <c r="O8">
        <v>8</v>
      </c>
      <c r="P8">
        <v>23</v>
      </c>
      <c r="Q8">
        <v>24</v>
      </c>
    </row>
    <row r="9" spans="1:17" ht="30" x14ac:dyDescent="0.25">
      <c r="A9" s="17" t="s">
        <v>101</v>
      </c>
      <c r="B9" s="18">
        <v>-1055000</v>
      </c>
      <c r="C9" s="18">
        <v>0</v>
      </c>
      <c r="D9" s="3">
        <f t="shared" si="0"/>
        <v>-1055000</v>
      </c>
      <c r="E9" s="21" t="s">
        <v>102</v>
      </c>
      <c r="F9">
        <v>21</v>
      </c>
      <c r="G9">
        <f t="shared" si="1"/>
        <v>-22155000</v>
      </c>
      <c r="H9">
        <f t="shared" si="2"/>
        <v>0</v>
      </c>
      <c r="I9">
        <f t="shared" si="3"/>
        <v>-22155000</v>
      </c>
      <c r="O9">
        <v>9</v>
      </c>
      <c r="P9">
        <v>22</v>
      </c>
      <c r="Q9">
        <v>23</v>
      </c>
    </row>
    <row r="10" spans="1:17" x14ac:dyDescent="0.25">
      <c r="A10" s="17" t="s">
        <v>101</v>
      </c>
      <c r="B10" s="18">
        <v>-200000</v>
      </c>
      <c r="C10" s="18">
        <v>0</v>
      </c>
      <c r="D10" s="3">
        <f t="shared" si="0"/>
        <v>-200000</v>
      </c>
      <c r="E10" s="19" t="s">
        <v>100</v>
      </c>
      <c r="F10">
        <v>21</v>
      </c>
      <c r="G10">
        <f t="shared" si="1"/>
        <v>-4200000</v>
      </c>
      <c r="H10">
        <f t="shared" si="2"/>
        <v>0</v>
      </c>
      <c r="I10">
        <f t="shared" si="3"/>
        <v>-4200000</v>
      </c>
      <c r="O10">
        <v>10</v>
      </c>
      <c r="P10">
        <v>21</v>
      </c>
      <c r="Q10">
        <v>22</v>
      </c>
    </row>
    <row r="11" spans="1:17" x14ac:dyDescent="0.25">
      <c r="A11" s="17" t="s">
        <v>101</v>
      </c>
      <c r="B11" s="18">
        <v>-1000500</v>
      </c>
      <c r="C11" s="18">
        <v>0</v>
      </c>
      <c r="D11" s="3">
        <f t="shared" si="0"/>
        <v>-1000500</v>
      </c>
      <c r="E11" s="19" t="s">
        <v>103</v>
      </c>
      <c r="F11">
        <v>21</v>
      </c>
      <c r="G11">
        <f t="shared" si="1"/>
        <v>-21010500</v>
      </c>
      <c r="H11">
        <f t="shared" si="2"/>
        <v>0</v>
      </c>
      <c r="I11">
        <f t="shared" si="3"/>
        <v>-21010500</v>
      </c>
      <c r="O11">
        <v>11</v>
      </c>
      <c r="P11">
        <v>20</v>
      </c>
      <c r="Q11">
        <v>21</v>
      </c>
    </row>
    <row r="12" spans="1:17" x14ac:dyDescent="0.25">
      <c r="A12" s="20" t="s">
        <v>101</v>
      </c>
      <c r="B12" s="18">
        <v>-38000</v>
      </c>
      <c r="C12" s="18">
        <v>0</v>
      </c>
      <c r="D12" s="3">
        <f t="shared" si="0"/>
        <v>-38000</v>
      </c>
      <c r="E12" s="20" t="s">
        <v>104</v>
      </c>
      <c r="F12">
        <v>21</v>
      </c>
      <c r="G12">
        <f t="shared" si="1"/>
        <v>-798000</v>
      </c>
      <c r="H12">
        <f t="shared" si="2"/>
        <v>0</v>
      </c>
      <c r="I12">
        <f t="shared" si="3"/>
        <v>-798000</v>
      </c>
      <c r="O12">
        <v>12</v>
      </c>
      <c r="P12">
        <v>19</v>
      </c>
      <c r="Q12">
        <v>20</v>
      </c>
    </row>
    <row r="13" spans="1:17" x14ac:dyDescent="0.25">
      <c r="A13" s="20" t="s">
        <v>101</v>
      </c>
      <c r="B13" s="18">
        <v>-105000</v>
      </c>
      <c r="C13" s="18">
        <v>0</v>
      </c>
      <c r="D13" s="3">
        <f t="shared" si="0"/>
        <v>-105000</v>
      </c>
      <c r="E13" s="20" t="s">
        <v>104</v>
      </c>
      <c r="F13">
        <v>21</v>
      </c>
      <c r="G13">
        <f>B13*F13</f>
        <v>-2205000</v>
      </c>
      <c r="H13">
        <f t="shared" si="2"/>
        <v>0</v>
      </c>
      <c r="I13">
        <f t="shared" si="3"/>
        <v>-2205000</v>
      </c>
      <c r="O13">
        <v>13</v>
      </c>
      <c r="P13">
        <v>18</v>
      </c>
      <c r="Q13">
        <v>19</v>
      </c>
    </row>
    <row r="14" spans="1:17" x14ac:dyDescent="0.25">
      <c r="A14" s="20" t="s">
        <v>101</v>
      </c>
      <c r="B14" s="18">
        <v>-60000</v>
      </c>
      <c r="C14" s="18">
        <v>0</v>
      </c>
      <c r="D14" s="3">
        <f t="shared" si="0"/>
        <v>-60000</v>
      </c>
      <c r="E14" s="20" t="s">
        <v>104</v>
      </c>
      <c r="F14">
        <v>21</v>
      </c>
      <c r="G14">
        <f t="shared" si="1"/>
        <v>-1260000</v>
      </c>
      <c r="H14">
        <f t="shared" si="2"/>
        <v>0</v>
      </c>
      <c r="I14">
        <f t="shared" si="3"/>
        <v>-1260000</v>
      </c>
      <c r="O14">
        <v>14</v>
      </c>
      <c r="P14">
        <v>17</v>
      </c>
      <c r="Q14">
        <v>18</v>
      </c>
    </row>
    <row r="15" spans="1:17" x14ac:dyDescent="0.25">
      <c r="A15" s="20" t="s">
        <v>105</v>
      </c>
      <c r="B15" s="18">
        <v>1000000</v>
      </c>
      <c r="C15" s="18">
        <v>1000000</v>
      </c>
      <c r="D15" s="3">
        <f t="shared" si="0"/>
        <v>0</v>
      </c>
      <c r="E15" s="20" t="s">
        <v>106</v>
      </c>
      <c r="F15">
        <v>17</v>
      </c>
      <c r="G15">
        <f t="shared" si="1"/>
        <v>17000000</v>
      </c>
      <c r="H15">
        <f t="shared" si="2"/>
        <v>17000000</v>
      </c>
      <c r="I15">
        <f t="shared" si="3"/>
        <v>0</v>
      </c>
      <c r="O15">
        <v>15</v>
      </c>
      <c r="P15">
        <v>16</v>
      </c>
      <c r="Q15">
        <v>17</v>
      </c>
    </row>
    <row r="16" spans="1:17" x14ac:dyDescent="0.25">
      <c r="A16" s="20" t="s">
        <v>107</v>
      </c>
      <c r="B16" s="18">
        <v>3500000</v>
      </c>
      <c r="C16" s="18">
        <v>3500000</v>
      </c>
      <c r="D16" s="3">
        <f t="shared" si="0"/>
        <v>0</v>
      </c>
      <c r="E16" s="20" t="s">
        <v>106</v>
      </c>
      <c r="F16">
        <v>16</v>
      </c>
      <c r="G16">
        <f t="shared" si="1"/>
        <v>56000000</v>
      </c>
      <c r="H16">
        <f t="shared" si="2"/>
        <v>56000000</v>
      </c>
      <c r="I16">
        <f t="shared" si="3"/>
        <v>0</v>
      </c>
      <c r="O16">
        <v>16</v>
      </c>
      <c r="P16">
        <v>15</v>
      </c>
      <c r="Q16">
        <v>16</v>
      </c>
    </row>
    <row r="17" spans="1:17" x14ac:dyDescent="0.25">
      <c r="A17" s="20" t="s">
        <v>111</v>
      </c>
      <c r="B17" s="18">
        <v>1000000</v>
      </c>
      <c r="C17" s="18">
        <v>1000000</v>
      </c>
      <c r="D17" s="3">
        <f t="shared" si="0"/>
        <v>0</v>
      </c>
      <c r="E17" s="20" t="s">
        <v>112</v>
      </c>
      <c r="F17">
        <v>14</v>
      </c>
      <c r="G17">
        <f t="shared" si="1"/>
        <v>14000000</v>
      </c>
      <c r="H17">
        <f t="shared" si="2"/>
        <v>14000000</v>
      </c>
      <c r="I17">
        <f t="shared" si="3"/>
        <v>0</v>
      </c>
      <c r="O17">
        <v>17</v>
      </c>
      <c r="P17">
        <v>14</v>
      </c>
      <c r="Q17">
        <v>15</v>
      </c>
    </row>
    <row r="18" spans="1:17" x14ac:dyDescent="0.25">
      <c r="A18" s="20" t="s">
        <v>111</v>
      </c>
      <c r="B18" s="18">
        <v>3000000</v>
      </c>
      <c r="C18" s="18">
        <v>3000000</v>
      </c>
      <c r="D18" s="3">
        <f t="shared" si="0"/>
        <v>0</v>
      </c>
      <c r="E18" s="20" t="s">
        <v>112</v>
      </c>
      <c r="F18">
        <v>14</v>
      </c>
      <c r="G18">
        <f t="shared" si="1"/>
        <v>42000000</v>
      </c>
      <c r="H18">
        <f t="shared" si="2"/>
        <v>42000000</v>
      </c>
      <c r="I18">
        <f t="shared" si="3"/>
        <v>0</v>
      </c>
      <c r="O18">
        <v>18</v>
      </c>
      <c r="P18">
        <v>13</v>
      </c>
      <c r="Q18">
        <v>14</v>
      </c>
    </row>
    <row r="19" spans="1:17" x14ac:dyDescent="0.25">
      <c r="A19" s="20" t="s">
        <v>108</v>
      </c>
      <c r="B19" s="18">
        <v>-200000</v>
      </c>
      <c r="C19" s="18">
        <v>0</v>
      </c>
      <c r="D19" s="3">
        <f t="shared" si="0"/>
        <v>-200000</v>
      </c>
      <c r="E19" s="20" t="s">
        <v>26</v>
      </c>
      <c r="F19">
        <v>13</v>
      </c>
      <c r="G19">
        <f t="shared" si="1"/>
        <v>-2600000</v>
      </c>
      <c r="H19">
        <f t="shared" si="2"/>
        <v>0</v>
      </c>
      <c r="I19">
        <f t="shared" si="3"/>
        <v>-2600000</v>
      </c>
      <c r="O19">
        <v>19</v>
      </c>
      <c r="P19">
        <v>12</v>
      </c>
      <c r="Q19">
        <v>13</v>
      </c>
    </row>
    <row r="20" spans="1:17" x14ac:dyDescent="0.25">
      <c r="A20" s="19" t="s">
        <v>114</v>
      </c>
      <c r="B20" s="18">
        <v>-50000</v>
      </c>
      <c r="C20" s="18">
        <v>0</v>
      </c>
      <c r="D20" s="3">
        <f t="shared" si="0"/>
        <v>-50000</v>
      </c>
      <c r="E20" s="19" t="s">
        <v>115</v>
      </c>
      <c r="F20">
        <v>8</v>
      </c>
      <c r="G20">
        <f t="shared" si="1"/>
        <v>-400000</v>
      </c>
      <c r="H20">
        <f t="shared" si="2"/>
        <v>0</v>
      </c>
      <c r="I20">
        <f t="shared" si="3"/>
        <v>-400000</v>
      </c>
      <c r="O20">
        <v>20</v>
      </c>
      <c r="P20">
        <v>11</v>
      </c>
      <c r="Q20">
        <v>12</v>
      </c>
    </row>
    <row r="21" spans="1:17" x14ac:dyDescent="0.25">
      <c r="A21" s="19" t="s">
        <v>117</v>
      </c>
      <c r="B21" s="18">
        <v>-200000</v>
      </c>
      <c r="C21" s="18">
        <v>0</v>
      </c>
      <c r="D21" s="3">
        <f t="shared" si="0"/>
        <v>-200000</v>
      </c>
      <c r="E21" s="19" t="s">
        <v>26</v>
      </c>
      <c r="F21">
        <v>4</v>
      </c>
      <c r="G21">
        <f t="shared" si="1"/>
        <v>-800000</v>
      </c>
      <c r="H21">
        <f t="shared" si="2"/>
        <v>0</v>
      </c>
      <c r="I21">
        <f t="shared" si="3"/>
        <v>-800000</v>
      </c>
      <c r="O21">
        <v>21</v>
      </c>
      <c r="P21">
        <v>10</v>
      </c>
      <c r="Q21">
        <v>11</v>
      </c>
    </row>
    <row r="22" spans="1:17" x14ac:dyDescent="0.25">
      <c r="A22" s="19" t="s">
        <v>120</v>
      </c>
      <c r="B22" s="18">
        <v>-170000</v>
      </c>
      <c r="C22" s="18">
        <v>0</v>
      </c>
      <c r="D22" s="3">
        <f t="shared" si="0"/>
        <v>-170000</v>
      </c>
      <c r="E22" s="19" t="s">
        <v>121</v>
      </c>
      <c r="F22">
        <v>1</v>
      </c>
      <c r="G22">
        <f t="shared" si="1"/>
        <v>-170000</v>
      </c>
      <c r="H22">
        <f t="shared" si="2"/>
        <v>0</v>
      </c>
      <c r="I22">
        <f t="shared" si="3"/>
        <v>-170000</v>
      </c>
      <c r="O22">
        <v>22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23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12636958</v>
      </c>
      <c r="C24" s="3">
        <f>SUM(C2:C22)</f>
        <v>11452778</v>
      </c>
      <c r="D24" s="3">
        <f>SUM(D2:D22)</f>
        <v>1184180</v>
      </c>
      <c r="E24" s="2"/>
      <c r="O24">
        <v>24</v>
      </c>
      <c r="P24">
        <v>7</v>
      </c>
      <c r="Q24">
        <v>8</v>
      </c>
    </row>
    <row r="25" spans="1:17" x14ac:dyDescent="0.25">
      <c r="G25">
        <f>SUM(G2:G23)</f>
        <v>306431794</v>
      </c>
      <c r="H25">
        <f>SUM(H2:H23)</f>
        <v>220529405</v>
      </c>
      <c r="I25">
        <f>SUM(I2:I23)</f>
        <v>85902389</v>
      </c>
      <c r="O25">
        <v>25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26</v>
      </c>
      <c r="P26">
        <v>5</v>
      </c>
      <c r="Q26">
        <v>6</v>
      </c>
    </row>
    <row r="27" spans="1:17" x14ac:dyDescent="0.25">
      <c r="O27">
        <v>27</v>
      </c>
      <c r="P27">
        <v>4</v>
      </c>
      <c r="Q27">
        <v>5</v>
      </c>
    </row>
    <row r="28" spans="1:17" x14ac:dyDescent="0.25">
      <c r="F28" t="s">
        <v>25</v>
      </c>
      <c r="O28">
        <v>28</v>
      </c>
      <c r="P28">
        <v>3</v>
      </c>
      <c r="Q28">
        <v>4</v>
      </c>
    </row>
    <row r="29" spans="1:17" x14ac:dyDescent="0.25">
      <c r="E29" t="s">
        <v>85</v>
      </c>
      <c r="O29">
        <v>29</v>
      </c>
      <c r="P29">
        <v>2</v>
      </c>
      <c r="Q29">
        <v>3</v>
      </c>
    </row>
    <row r="30" spans="1:17" x14ac:dyDescent="0.25">
      <c r="D30" s="7">
        <v>26000000</v>
      </c>
      <c r="E30" t="s">
        <v>95</v>
      </c>
      <c r="G30" s="1">
        <v>91325</v>
      </c>
      <c r="H30" s="1">
        <f>G30*H25/G25</f>
        <v>65723.754212087399</v>
      </c>
      <c r="I30" s="1">
        <f>G30*I25/G25</f>
        <v>25601.245787912594</v>
      </c>
      <c r="O30">
        <v>30</v>
      </c>
      <c r="P30">
        <v>1</v>
      </c>
      <c r="Q30">
        <v>2</v>
      </c>
    </row>
    <row r="31" spans="1:17" x14ac:dyDescent="0.25">
      <c r="D31" s="7">
        <v>600000</v>
      </c>
      <c r="E31" t="s">
        <v>109</v>
      </c>
      <c r="G31" s="9" t="s">
        <v>67</v>
      </c>
      <c r="H31" s="9" t="s">
        <v>38</v>
      </c>
      <c r="I31" s="9" t="s">
        <v>39</v>
      </c>
      <c r="O31">
        <v>31</v>
      </c>
      <c r="P31">
        <v>0</v>
      </c>
      <c r="Q31">
        <v>1</v>
      </c>
    </row>
    <row r="32" spans="1:17" x14ac:dyDescent="0.25">
      <c r="B32" s="7"/>
      <c r="D32" s="7">
        <v>200000</v>
      </c>
      <c r="E32" t="s">
        <v>116</v>
      </c>
      <c r="P32" t="s">
        <v>60</v>
      </c>
      <c r="Q32" t="s">
        <v>61</v>
      </c>
    </row>
    <row r="33" spans="4:7" x14ac:dyDescent="0.25">
      <c r="D33" s="7">
        <v>-50000</v>
      </c>
      <c r="E33" t="s">
        <v>110</v>
      </c>
    </row>
    <row r="34" spans="4:7" x14ac:dyDescent="0.25">
      <c r="D34" s="7">
        <v>-50000</v>
      </c>
      <c r="E34" t="s">
        <v>113</v>
      </c>
    </row>
    <row r="35" spans="4:7" x14ac:dyDescent="0.25">
      <c r="D35" s="7">
        <v>200000</v>
      </c>
      <c r="E35" t="s">
        <v>118</v>
      </c>
    </row>
    <row r="36" spans="4:7" x14ac:dyDescent="0.25">
      <c r="D36" s="7">
        <v>-110000</v>
      </c>
      <c r="E36" t="s">
        <v>119</v>
      </c>
      <c r="G36">
        <f>(G25*0.11)/365</f>
        <v>92349.307780821924</v>
      </c>
    </row>
    <row r="37" spans="4:7" x14ac:dyDescent="0.25">
      <c r="D37" s="7"/>
    </row>
    <row r="39" spans="4:7" x14ac:dyDescent="0.25">
      <c r="D39" s="7">
        <f>SUM(D30:D38)</f>
        <v>26790000</v>
      </c>
      <c r="E39" t="s">
        <v>6</v>
      </c>
    </row>
    <row r="41" spans="4:7" x14ac:dyDescent="0.25">
      <c r="E41" t="s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G30" sqref="G30:I30"/>
    </sheetView>
  </sheetViews>
  <sheetFormatPr defaultRowHeight="15" x14ac:dyDescent="0.25"/>
  <cols>
    <col min="1" max="1" width="10.7109375" bestFit="1" customWidth="1"/>
    <col min="2" max="4" width="16.140625" bestFit="1" customWidth="1"/>
    <col min="5" max="5" width="51.7109375" bestFit="1" customWidth="1"/>
    <col min="6" max="6" width="22.5703125" bestFit="1" customWidth="1"/>
    <col min="7" max="7" width="13.85546875" bestFit="1" customWidth="1"/>
    <col min="8" max="8" width="12.42578125" bestFit="1" customWidth="1"/>
    <col min="9" max="9" width="12" bestFit="1" customWidth="1"/>
    <col min="10" max="10" width="9.85546875" bestFit="1" customWidth="1"/>
    <col min="11" max="11" width="10" bestFit="1" customWidth="1"/>
    <col min="12" max="12" width="12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122</v>
      </c>
      <c r="B2" s="3">
        <f>'شهریور 95'!B24</f>
        <v>12636958</v>
      </c>
      <c r="C2" s="1">
        <f>'شهریور 95'!C24</f>
        <v>11452778</v>
      </c>
      <c r="D2" s="3">
        <f>B2-C2</f>
        <v>1184180</v>
      </c>
      <c r="E2" s="2" t="s">
        <v>59</v>
      </c>
      <c r="F2">
        <v>30</v>
      </c>
      <c r="G2">
        <f>B2*F2</f>
        <v>379108740</v>
      </c>
      <c r="H2">
        <f>C2*F2</f>
        <v>343583340</v>
      </c>
      <c r="I2">
        <f>D2*F2</f>
        <v>35525400</v>
      </c>
      <c r="O2">
        <v>1</v>
      </c>
      <c r="P2">
        <v>29</v>
      </c>
      <c r="Q2">
        <v>30</v>
      </c>
    </row>
    <row r="3" spans="1:17" x14ac:dyDescent="0.25">
      <c r="A3" s="4" t="s">
        <v>123</v>
      </c>
      <c r="B3" s="1">
        <v>91325</v>
      </c>
      <c r="C3" s="1">
        <v>65723</v>
      </c>
      <c r="D3" s="3">
        <f t="shared" ref="D3:D22" si="0">B3-C3</f>
        <v>25602</v>
      </c>
      <c r="E3" s="5" t="s">
        <v>124</v>
      </c>
      <c r="F3">
        <v>29</v>
      </c>
      <c r="G3">
        <f t="shared" ref="G3:G23" si="1">B3*F3</f>
        <v>2648425</v>
      </c>
      <c r="H3">
        <f t="shared" ref="H3:H23" si="2">C3*F3</f>
        <v>1905967</v>
      </c>
      <c r="I3">
        <f t="shared" ref="I3:I23" si="3">D3*F3</f>
        <v>742458</v>
      </c>
      <c r="O3">
        <v>2</v>
      </c>
      <c r="P3">
        <v>28</v>
      </c>
      <c r="Q3">
        <v>29</v>
      </c>
    </row>
    <row r="4" spans="1:17" x14ac:dyDescent="0.25">
      <c r="A4" s="17" t="s">
        <v>126</v>
      </c>
      <c r="B4" s="18">
        <v>-145000</v>
      </c>
      <c r="C4" s="18">
        <v>0</v>
      </c>
      <c r="D4" s="3">
        <f t="shared" si="0"/>
        <v>-145000</v>
      </c>
      <c r="E4" s="19" t="s">
        <v>127</v>
      </c>
      <c r="F4">
        <v>12</v>
      </c>
      <c r="G4">
        <f t="shared" si="1"/>
        <v>-1740000</v>
      </c>
      <c r="H4">
        <f t="shared" si="2"/>
        <v>0</v>
      </c>
      <c r="I4">
        <f t="shared" si="3"/>
        <v>-1740000</v>
      </c>
      <c r="O4">
        <v>3</v>
      </c>
      <c r="P4">
        <v>27</v>
      </c>
      <c r="Q4">
        <v>28</v>
      </c>
    </row>
    <row r="5" spans="1:17" x14ac:dyDescent="0.25">
      <c r="A5" s="20" t="s">
        <v>131</v>
      </c>
      <c r="B5" s="18">
        <v>980000</v>
      </c>
      <c r="C5" s="18">
        <v>0</v>
      </c>
      <c r="D5" s="3">
        <f t="shared" si="0"/>
        <v>980000</v>
      </c>
      <c r="E5" s="20" t="s">
        <v>132</v>
      </c>
      <c r="F5">
        <v>4</v>
      </c>
      <c r="G5">
        <f t="shared" si="1"/>
        <v>3920000</v>
      </c>
      <c r="H5">
        <f t="shared" si="2"/>
        <v>0</v>
      </c>
      <c r="I5">
        <f t="shared" si="3"/>
        <v>3920000</v>
      </c>
      <c r="O5">
        <v>4</v>
      </c>
      <c r="P5">
        <v>26</v>
      </c>
      <c r="Q5">
        <v>27</v>
      </c>
    </row>
    <row r="6" spans="1:17" x14ac:dyDescent="0.25">
      <c r="A6" s="17" t="s">
        <v>133</v>
      </c>
      <c r="B6" s="18">
        <v>-46000</v>
      </c>
      <c r="C6" s="18">
        <v>0</v>
      </c>
      <c r="D6" s="3">
        <f t="shared" si="0"/>
        <v>-46000</v>
      </c>
      <c r="E6" s="19" t="s">
        <v>134</v>
      </c>
      <c r="F6">
        <v>2</v>
      </c>
      <c r="G6">
        <f t="shared" si="1"/>
        <v>-92000</v>
      </c>
      <c r="H6">
        <f t="shared" si="2"/>
        <v>0</v>
      </c>
      <c r="I6">
        <f t="shared" si="3"/>
        <v>-92000</v>
      </c>
      <c r="O6">
        <v>5</v>
      </c>
      <c r="P6">
        <v>25</v>
      </c>
      <c r="Q6">
        <v>26</v>
      </c>
    </row>
    <row r="7" spans="1:17" x14ac:dyDescent="0.25">
      <c r="A7" s="17"/>
      <c r="B7" s="18"/>
      <c r="C7" s="18"/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24</v>
      </c>
      <c r="Q7">
        <v>25</v>
      </c>
    </row>
    <row r="8" spans="1:17" x14ac:dyDescent="0.25">
      <c r="A8" s="17"/>
      <c r="B8" s="18"/>
      <c r="C8" s="18"/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23</v>
      </c>
      <c r="Q8">
        <v>24</v>
      </c>
    </row>
    <row r="9" spans="1:17" x14ac:dyDescent="0.25">
      <c r="A9" s="17"/>
      <c r="B9" s="18"/>
      <c r="C9" s="18"/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 x14ac:dyDescent="0.25">
      <c r="A10" s="17"/>
      <c r="B10" s="18"/>
      <c r="C10" s="18"/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 x14ac:dyDescent="0.25">
      <c r="A11" s="17"/>
      <c r="B11" s="18"/>
      <c r="C11" s="18"/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 x14ac:dyDescent="0.25">
      <c r="A12" s="20"/>
      <c r="B12" s="18"/>
      <c r="C12" s="18"/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 x14ac:dyDescent="0.25">
      <c r="A13" s="20"/>
      <c r="B13" s="18"/>
      <c r="C13" s="18"/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 x14ac:dyDescent="0.25">
      <c r="A14" s="20"/>
      <c r="B14" s="18"/>
      <c r="C14" s="18"/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 x14ac:dyDescent="0.25">
      <c r="A15" s="20"/>
      <c r="B15" s="18"/>
      <c r="C15" s="18"/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 x14ac:dyDescent="0.25">
      <c r="A16" s="20"/>
      <c r="B16" s="18"/>
      <c r="C16" s="18"/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 x14ac:dyDescent="0.25">
      <c r="A17" s="20"/>
      <c r="B17" s="18"/>
      <c r="C17" s="18"/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13517283</v>
      </c>
      <c r="C24" s="3">
        <f>SUM(C2:C22)</f>
        <v>11518501</v>
      </c>
      <c r="D24" s="3">
        <f>SUM(D2:D22)</f>
        <v>1998782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383845165</v>
      </c>
      <c r="H25">
        <f>SUM(H2:H23)</f>
        <v>345489307</v>
      </c>
      <c r="I25">
        <f>SUM(I2:I23)</f>
        <v>38355858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E29" t="s">
        <v>85</v>
      </c>
      <c r="O29">
        <v>28</v>
      </c>
      <c r="P29">
        <v>2</v>
      </c>
      <c r="Q29">
        <v>3</v>
      </c>
    </row>
    <row r="30" spans="1:17" x14ac:dyDescent="0.25">
      <c r="D30" s="7">
        <v>26790000</v>
      </c>
      <c r="E30" t="s">
        <v>95</v>
      </c>
      <c r="G30" s="1">
        <v>115338</v>
      </c>
      <c r="H30" s="1">
        <f>G30*H25/G25</f>
        <v>103812.81132137225</v>
      </c>
      <c r="I30" s="1">
        <f>G30*I25/G25</f>
        <v>11525.188678627748</v>
      </c>
      <c r="O30">
        <v>29</v>
      </c>
      <c r="P30">
        <v>1</v>
      </c>
      <c r="Q30">
        <v>2</v>
      </c>
    </row>
    <row r="31" spans="1:17" x14ac:dyDescent="0.25">
      <c r="D31" s="7">
        <v>-500000</v>
      </c>
      <c r="E31" t="s">
        <v>125</v>
      </c>
      <c r="G31" s="9" t="s">
        <v>67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7"/>
      <c r="P32" t="s">
        <v>60</v>
      </c>
      <c r="Q32" t="s">
        <v>61</v>
      </c>
    </row>
    <row r="33" spans="4:5" x14ac:dyDescent="0.25">
      <c r="D33" s="7"/>
    </row>
    <row r="34" spans="4:5" x14ac:dyDescent="0.25">
      <c r="D34" s="7"/>
    </row>
    <row r="35" spans="4:5" x14ac:dyDescent="0.25">
      <c r="D35" s="7"/>
    </row>
    <row r="36" spans="4:5" x14ac:dyDescent="0.25">
      <c r="D36" s="7"/>
    </row>
    <row r="37" spans="4:5" x14ac:dyDescent="0.25">
      <c r="D37" s="7"/>
    </row>
    <row r="39" spans="4:5" x14ac:dyDescent="0.25">
      <c r="D39" s="7">
        <f>SUM(D30:D38)</f>
        <v>26290000</v>
      </c>
      <c r="E39" t="s">
        <v>6</v>
      </c>
    </row>
    <row r="41" spans="4:5" x14ac:dyDescent="0.25">
      <c r="E41" t="s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opLeftCell="A13" workbookViewId="0">
      <selection activeCell="G30" sqref="G30:I30"/>
    </sheetView>
  </sheetViews>
  <sheetFormatPr defaultRowHeight="15" x14ac:dyDescent="0.25"/>
  <cols>
    <col min="1" max="1" width="9.7109375" bestFit="1" customWidth="1"/>
    <col min="2" max="4" width="16.140625" bestFit="1" customWidth="1"/>
    <col min="5" max="5" width="60.28515625" bestFit="1" customWidth="1"/>
    <col min="6" max="6" width="22.5703125" bestFit="1" customWidth="1"/>
    <col min="7" max="7" width="13.85546875" bestFit="1" customWidth="1"/>
    <col min="8" max="8" width="12" bestFit="1" customWidth="1"/>
    <col min="9" max="9" width="12.42578125" bestFit="1" customWidth="1"/>
    <col min="10" max="10" width="9.85546875" bestFit="1" customWidth="1"/>
    <col min="11" max="11" width="10" bestFit="1" customWidth="1"/>
    <col min="12" max="12" width="12" bestFit="1" customWidth="1"/>
    <col min="13" max="13" width="12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137</v>
      </c>
      <c r="B2" s="3">
        <f>'مهر 95'!B24</f>
        <v>13517283</v>
      </c>
      <c r="C2" s="1">
        <f>'مهر 95'!C24</f>
        <v>11518501</v>
      </c>
      <c r="D2" s="3">
        <f>B2-C2</f>
        <v>1998782</v>
      </c>
      <c r="E2" s="2" t="s">
        <v>59</v>
      </c>
      <c r="F2">
        <v>30</v>
      </c>
      <c r="G2">
        <f>B2*F2</f>
        <v>405518490</v>
      </c>
      <c r="H2">
        <f>C2*F2</f>
        <v>345555030</v>
      </c>
      <c r="I2">
        <f>D2*F2</f>
        <v>59963460</v>
      </c>
      <c r="O2">
        <v>1</v>
      </c>
      <c r="P2">
        <v>29</v>
      </c>
      <c r="Q2">
        <v>30</v>
      </c>
    </row>
    <row r="3" spans="1:17" x14ac:dyDescent="0.25">
      <c r="A3" s="4" t="s">
        <v>138</v>
      </c>
      <c r="B3" s="1">
        <v>115338</v>
      </c>
      <c r="C3" s="1">
        <v>103812</v>
      </c>
      <c r="D3" s="3">
        <f t="shared" ref="D3:D22" si="0">B3-C3</f>
        <v>11526</v>
      </c>
      <c r="E3" s="5" t="s">
        <v>135</v>
      </c>
      <c r="F3">
        <v>29</v>
      </c>
      <c r="G3">
        <f t="shared" ref="G3:G23" si="1">B3*F3</f>
        <v>3344802</v>
      </c>
      <c r="H3">
        <f t="shared" ref="H3:H23" si="2">C3*F3</f>
        <v>3010548</v>
      </c>
      <c r="I3">
        <f t="shared" ref="I3:I23" si="3">D3*F3</f>
        <v>334254</v>
      </c>
      <c r="O3">
        <v>2</v>
      </c>
      <c r="P3">
        <v>28</v>
      </c>
      <c r="Q3">
        <v>29</v>
      </c>
    </row>
    <row r="4" spans="1:17" x14ac:dyDescent="0.25">
      <c r="A4" s="17" t="s">
        <v>141</v>
      </c>
      <c r="B4" s="18">
        <v>-151969</v>
      </c>
      <c r="C4" s="18">
        <v>0</v>
      </c>
      <c r="D4" s="3">
        <f t="shared" si="0"/>
        <v>-151969</v>
      </c>
      <c r="E4" s="19" t="s">
        <v>140</v>
      </c>
      <c r="F4">
        <v>29</v>
      </c>
      <c r="G4">
        <f t="shared" si="1"/>
        <v>-4407101</v>
      </c>
      <c r="H4">
        <f t="shared" si="2"/>
        <v>0</v>
      </c>
      <c r="I4">
        <f t="shared" si="3"/>
        <v>-4407101</v>
      </c>
      <c r="O4">
        <v>3</v>
      </c>
      <c r="P4">
        <v>27</v>
      </c>
      <c r="Q4">
        <v>28</v>
      </c>
    </row>
    <row r="5" spans="1:17" x14ac:dyDescent="0.25">
      <c r="A5" s="20" t="s">
        <v>139</v>
      </c>
      <c r="B5" s="18">
        <v>-805500</v>
      </c>
      <c r="C5" s="18">
        <v>0</v>
      </c>
      <c r="D5" s="3">
        <f t="shared" si="0"/>
        <v>-805500</v>
      </c>
      <c r="E5" s="20" t="s">
        <v>136</v>
      </c>
      <c r="F5">
        <v>28</v>
      </c>
      <c r="G5">
        <f t="shared" si="1"/>
        <v>-22554000</v>
      </c>
      <c r="H5">
        <f t="shared" si="2"/>
        <v>0</v>
      </c>
      <c r="I5">
        <f t="shared" si="3"/>
        <v>-22554000</v>
      </c>
      <c r="O5">
        <v>4</v>
      </c>
      <c r="P5">
        <v>26</v>
      </c>
      <c r="Q5">
        <v>27</v>
      </c>
    </row>
    <row r="6" spans="1:17" x14ac:dyDescent="0.25">
      <c r="A6" s="17" t="s">
        <v>143</v>
      </c>
      <c r="B6" s="18">
        <v>6995000</v>
      </c>
      <c r="C6" s="18">
        <v>0</v>
      </c>
      <c r="D6" s="3">
        <f t="shared" si="0"/>
        <v>6995000</v>
      </c>
      <c r="E6" s="19" t="s">
        <v>144</v>
      </c>
      <c r="F6">
        <v>20</v>
      </c>
      <c r="G6">
        <f t="shared" si="1"/>
        <v>139900000</v>
      </c>
      <c r="H6">
        <f t="shared" si="2"/>
        <v>0</v>
      </c>
      <c r="I6">
        <f t="shared" si="3"/>
        <v>139900000</v>
      </c>
      <c r="O6">
        <v>5</v>
      </c>
      <c r="P6">
        <v>25</v>
      </c>
      <c r="Q6">
        <v>26</v>
      </c>
    </row>
    <row r="7" spans="1:17" x14ac:dyDescent="0.25">
      <c r="A7" s="17" t="s">
        <v>146</v>
      </c>
      <c r="B7" s="18">
        <v>3000000</v>
      </c>
      <c r="C7" s="18">
        <v>0</v>
      </c>
      <c r="D7" s="3">
        <f t="shared" si="0"/>
        <v>3000000</v>
      </c>
      <c r="E7" s="19" t="s">
        <v>147</v>
      </c>
      <c r="F7">
        <v>19</v>
      </c>
      <c r="G7">
        <f t="shared" si="1"/>
        <v>57000000</v>
      </c>
      <c r="H7">
        <f t="shared" si="2"/>
        <v>0</v>
      </c>
      <c r="I7">
        <f t="shared" si="3"/>
        <v>57000000</v>
      </c>
      <c r="O7">
        <v>6</v>
      </c>
      <c r="P7">
        <v>24</v>
      </c>
      <c r="Q7">
        <v>25</v>
      </c>
    </row>
    <row r="8" spans="1:17" x14ac:dyDescent="0.25">
      <c r="A8" s="17" t="s">
        <v>149</v>
      </c>
      <c r="B8" s="18">
        <v>3000000</v>
      </c>
      <c r="C8" s="18">
        <v>0</v>
      </c>
      <c r="D8" s="3">
        <f t="shared" si="0"/>
        <v>3000000</v>
      </c>
      <c r="E8" s="19" t="s">
        <v>147</v>
      </c>
      <c r="F8">
        <v>17</v>
      </c>
      <c r="G8">
        <f t="shared" si="1"/>
        <v>51000000</v>
      </c>
      <c r="H8">
        <f t="shared" si="2"/>
        <v>0</v>
      </c>
      <c r="I8">
        <f t="shared" si="3"/>
        <v>51000000</v>
      </c>
      <c r="O8">
        <v>7</v>
      </c>
      <c r="P8">
        <v>23</v>
      </c>
      <c r="Q8">
        <v>24</v>
      </c>
    </row>
    <row r="9" spans="1:17" x14ac:dyDescent="0.25">
      <c r="A9" s="17" t="s">
        <v>151</v>
      </c>
      <c r="B9" s="18">
        <v>3000000</v>
      </c>
      <c r="C9" s="18">
        <v>0</v>
      </c>
      <c r="D9" s="3">
        <f t="shared" si="0"/>
        <v>3000000</v>
      </c>
      <c r="E9" s="21" t="s">
        <v>147</v>
      </c>
      <c r="F9">
        <v>16</v>
      </c>
      <c r="G9">
        <f t="shared" si="1"/>
        <v>48000000</v>
      </c>
      <c r="H9">
        <f t="shared" si="2"/>
        <v>0</v>
      </c>
      <c r="I9">
        <f t="shared" si="3"/>
        <v>48000000</v>
      </c>
      <c r="O9">
        <v>8</v>
      </c>
      <c r="P9">
        <v>22</v>
      </c>
      <c r="Q9">
        <v>23</v>
      </c>
    </row>
    <row r="10" spans="1:17" x14ac:dyDescent="0.25">
      <c r="A10" s="17" t="s">
        <v>153</v>
      </c>
      <c r="B10" s="18">
        <v>-3200000</v>
      </c>
      <c r="C10" s="18">
        <v>-3200000</v>
      </c>
      <c r="D10" s="3">
        <f t="shared" si="0"/>
        <v>0</v>
      </c>
      <c r="E10" s="19" t="s">
        <v>154</v>
      </c>
      <c r="F10">
        <v>16</v>
      </c>
      <c r="G10">
        <f t="shared" si="1"/>
        <v>-51200000</v>
      </c>
      <c r="H10">
        <f t="shared" si="2"/>
        <v>-51200000</v>
      </c>
      <c r="I10">
        <f t="shared" si="3"/>
        <v>0</v>
      </c>
      <c r="O10">
        <v>9</v>
      </c>
      <c r="P10">
        <v>21</v>
      </c>
      <c r="Q10">
        <v>22</v>
      </c>
    </row>
    <row r="11" spans="1:17" x14ac:dyDescent="0.25">
      <c r="A11" s="17" t="s">
        <v>155</v>
      </c>
      <c r="B11" s="18">
        <v>-800000</v>
      </c>
      <c r="C11" s="18">
        <v>-800000</v>
      </c>
      <c r="D11" s="3">
        <f t="shared" si="0"/>
        <v>0</v>
      </c>
      <c r="E11" s="19" t="s">
        <v>154</v>
      </c>
      <c r="F11">
        <v>15</v>
      </c>
      <c r="G11">
        <f t="shared" si="1"/>
        <v>-12000000</v>
      </c>
      <c r="H11">
        <f t="shared" si="2"/>
        <v>-12000000</v>
      </c>
      <c r="I11">
        <f t="shared" si="3"/>
        <v>0</v>
      </c>
      <c r="O11">
        <v>10</v>
      </c>
      <c r="P11">
        <v>20</v>
      </c>
      <c r="Q11">
        <v>21</v>
      </c>
    </row>
    <row r="12" spans="1:17" x14ac:dyDescent="0.25">
      <c r="A12" s="20" t="s">
        <v>159</v>
      </c>
      <c r="B12" s="18">
        <v>-48393</v>
      </c>
      <c r="C12" s="18">
        <v>0</v>
      </c>
      <c r="D12" s="3">
        <f t="shared" si="0"/>
        <v>-48393</v>
      </c>
      <c r="E12" s="20" t="s">
        <v>160</v>
      </c>
      <c r="F12">
        <v>14</v>
      </c>
      <c r="G12">
        <f t="shared" si="1"/>
        <v>-677502</v>
      </c>
      <c r="H12">
        <f t="shared" si="2"/>
        <v>0</v>
      </c>
      <c r="I12">
        <f t="shared" si="3"/>
        <v>-677502</v>
      </c>
      <c r="O12">
        <v>11</v>
      </c>
      <c r="P12">
        <v>19</v>
      </c>
      <c r="Q12">
        <v>20</v>
      </c>
    </row>
    <row r="13" spans="1:17" x14ac:dyDescent="0.25">
      <c r="A13" s="20" t="s">
        <v>157</v>
      </c>
      <c r="B13" s="18">
        <v>-140000</v>
      </c>
      <c r="C13" s="18">
        <v>0</v>
      </c>
      <c r="D13" s="3">
        <f t="shared" si="0"/>
        <v>-140000</v>
      </c>
      <c r="E13" s="20" t="s">
        <v>158</v>
      </c>
      <c r="F13">
        <v>13</v>
      </c>
      <c r="G13">
        <f>B13*F13</f>
        <v>-1820000</v>
      </c>
      <c r="H13">
        <f t="shared" si="2"/>
        <v>0</v>
      </c>
      <c r="I13">
        <f t="shared" si="3"/>
        <v>-1820000</v>
      </c>
      <c r="O13">
        <v>12</v>
      </c>
      <c r="P13">
        <v>18</v>
      </c>
      <c r="Q13">
        <v>19</v>
      </c>
    </row>
    <row r="14" spans="1:17" x14ac:dyDescent="0.25">
      <c r="A14" s="20" t="s">
        <v>163</v>
      </c>
      <c r="B14" s="18">
        <v>-250000</v>
      </c>
      <c r="C14" s="18">
        <v>0</v>
      </c>
      <c r="D14" s="3">
        <f t="shared" si="0"/>
        <v>-250000</v>
      </c>
      <c r="E14" s="20" t="s">
        <v>164</v>
      </c>
      <c r="F14">
        <v>12</v>
      </c>
      <c r="G14">
        <f t="shared" si="1"/>
        <v>-3000000</v>
      </c>
      <c r="H14">
        <f t="shared" si="2"/>
        <v>0</v>
      </c>
      <c r="I14">
        <f t="shared" si="3"/>
        <v>-3000000</v>
      </c>
      <c r="O14">
        <v>13</v>
      </c>
      <c r="P14">
        <v>17</v>
      </c>
      <c r="Q14">
        <v>18</v>
      </c>
    </row>
    <row r="15" spans="1:17" x14ac:dyDescent="0.25">
      <c r="A15" s="20" t="s">
        <v>162</v>
      </c>
      <c r="B15" s="18">
        <v>-200000</v>
      </c>
      <c r="C15" s="18">
        <v>0</v>
      </c>
      <c r="D15" s="3">
        <f t="shared" si="0"/>
        <v>-200000</v>
      </c>
      <c r="E15" s="20" t="s">
        <v>26</v>
      </c>
      <c r="F15">
        <v>11</v>
      </c>
      <c r="G15">
        <f t="shared" si="1"/>
        <v>-2200000</v>
      </c>
      <c r="H15">
        <f t="shared" si="2"/>
        <v>0</v>
      </c>
      <c r="I15">
        <f t="shared" si="3"/>
        <v>-2200000</v>
      </c>
      <c r="O15">
        <v>14</v>
      </c>
      <c r="P15">
        <v>16</v>
      </c>
      <c r="Q15">
        <v>17</v>
      </c>
    </row>
    <row r="16" spans="1:17" x14ac:dyDescent="0.25">
      <c r="A16" s="20" t="s">
        <v>168</v>
      </c>
      <c r="B16" s="18">
        <v>1635200</v>
      </c>
      <c r="C16" s="18">
        <v>0</v>
      </c>
      <c r="D16" s="3">
        <f t="shared" si="0"/>
        <v>1635200</v>
      </c>
      <c r="E16" s="20" t="s">
        <v>169</v>
      </c>
      <c r="F16">
        <v>7</v>
      </c>
      <c r="G16">
        <f t="shared" si="1"/>
        <v>11446400</v>
      </c>
      <c r="H16">
        <f t="shared" si="2"/>
        <v>0</v>
      </c>
      <c r="I16">
        <f t="shared" si="3"/>
        <v>11446400</v>
      </c>
      <c r="O16">
        <v>15</v>
      </c>
      <c r="P16">
        <v>15</v>
      </c>
      <c r="Q16">
        <v>16</v>
      </c>
    </row>
    <row r="17" spans="1:17" x14ac:dyDescent="0.25">
      <c r="A17" s="20" t="s">
        <v>172</v>
      </c>
      <c r="B17" s="18">
        <v>2500000</v>
      </c>
      <c r="C17" s="18">
        <v>0</v>
      </c>
      <c r="D17" s="3">
        <f t="shared" si="0"/>
        <v>2500000</v>
      </c>
      <c r="E17" s="20" t="s">
        <v>173</v>
      </c>
      <c r="F17">
        <v>3</v>
      </c>
      <c r="G17">
        <f t="shared" si="1"/>
        <v>7500000</v>
      </c>
      <c r="H17">
        <f t="shared" si="2"/>
        <v>0</v>
      </c>
      <c r="I17">
        <f t="shared" si="3"/>
        <v>7500000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28166959</v>
      </c>
      <c r="C24" s="3">
        <f>SUM(C2:C22)</f>
        <v>7622313</v>
      </c>
      <c r="D24" s="3">
        <f>SUM(D2:D22)</f>
        <v>20544646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625851089</v>
      </c>
      <c r="H25">
        <f>SUM(H2:H23)</f>
        <v>285365578</v>
      </c>
      <c r="I25">
        <f>SUM(I2:I23)</f>
        <v>340485511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E29" t="s">
        <v>85</v>
      </c>
      <c r="O29">
        <v>28</v>
      </c>
      <c r="P29">
        <v>2</v>
      </c>
      <c r="Q29">
        <v>3</v>
      </c>
    </row>
    <row r="30" spans="1:17" x14ac:dyDescent="0.25">
      <c r="D30" s="7">
        <v>26290000</v>
      </c>
      <c r="E30" t="s">
        <v>95</v>
      </c>
      <c r="G30" s="1">
        <v>186300</v>
      </c>
      <c r="H30" s="1">
        <f>G30*H25/G25</f>
        <v>84946.09678852855</v>
      </c>
      <c r="I30" s="1">
        <f>G30*I25/G25</f>
        <v>101353.90321147145</v>
      </c>
      <c r="O30">
        <v>29</v>
      </c>
      <c r="P30">
        <v>1</v>
      </c>
      <c r="Q30">
        <v>2</v>
      </c>
    </row>
    <row r="31" spans="1:17" x14ac:dyDescent="0.25">
      <c r="D31" s="7">
        <v>605500</v>
      </c>
      <c r="E31" t="s">
        <v>142</v>
      </c>
      <c r="G31" s="9" t="s">
        <v>67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7">
        <v>-6995000</v>
      </c>
      <c r="E32" t="s">
        <v>145</v>
      </c>
      <c r="P32" t="s">
        <v>60</v>
      </c>
      <c r="Q32" t="s">
        <v>61</v>
      </c>
    </row>
    <row r="33" spans="4:5" x14ac:dyDescent="0.25">
      <c r="D33" s="7">
        <v>-3000000</v>
      </c>
      <c r="E33" t="s">
        <v>148</v>
      </c>
    </row>
    <row r="34" spans="4:5" x14ac:dyDescent="0.25">
      <c r="D34" s="7">
        <v>-3000000</v>
      </c>
      <c r="E34" t="s">
        <v>150</v>
      </c>
    </row>
    <row r="35" spans="4:5" x14ac:dyDescent="0.25">
      <c r="D35" s="7">
        <v>-3000000</v>
      </c>
      <c r="E35" t="s">
        <v>152</v>
      </c>
    </row>
    <row r="36" spans="4:5" x14ac:dyDescent="0.25">
      <c r="D36" s="7">
        <v>20000</v>
      </c>
      <c r="E36" t="s">
        <v>156</v>
      </c>
    </row>
    <row r="37" spans="4:5" x14ac:dyDescent="0.25">
      <c r="D37" s="7">
        <v>80000</v>
      </c>
      <c r="E37" t="s">
        <v>161</v>
      </c>
    </row>
    <row r="38" spans="4:5" x14ac:dyDescent="0.25">
      <c r="D38" s="7">
        <v>200000</v>
      </c>
      <c r="E38" t="s">
        <v>165</v>
      </c>
    </row>
    <row r="39" spans="4:5" x14ac:dyDescent="0.25">
      <c r="D39" s="7">
        <v>-165300</v>
      </c>
      <c r="E39" t="s">
        <v>166</v>
      </c>
    </row>
    <row r="40" spans="4:5" x14ac:dyDescent="0.25">
      <c r="D40" s="7">
        <v>-100000</v>
      </c>
      <c r="E40" t="s">
        <v>167</v>
      </c>
    </row>
    <row r="41" spans="4:5" x14ac:dyDescent="0.25">
      <c r="D41" s="7">
        <v>-1635200</v>
      </c>
      <c r="E41" t="s">
        <v>169</v>
      </c>
    </row>
    <row r="42" spans="4:5" x14ac:dyDescent="0.25">
      <c r="D42" s="7">
        <v>-200000</v>
      </c>
      <c r="E42" t="s">
        <v>170</v>
      </c>
    </row>
    <row r="43" spans="4:5" x14ac:dyDescent="0.25">
      <c r="D43" s="7">
        <v>-2500000</v>
      </c>
      <c r="E43" t="s">
        <v>171</v>
      </c>
    </row>
    <row r="44" spans="4:5" x14ac:dyDescent="0.25">
      <c r="D44" s="7"/>
    </row>
    <row r="45" spans="4:5" x14ac:dyDescent="0.25">
      <c r="D45" s="7"/>
    </row>
    <row r="46" spans="4:5" x14ac:dyDescent="0.25">
      <c r="D46" s="7" t="s">
        <v>25</v>
      </c>
    </row>
    <row r="47" spans="4:5" x14ac:dyDescent="0.25">
      <c r="D47" s="7"/>
    </row>
    <row r="48" spans="4:5" x14ac:dyDescent="0.25">
      <c r="D48" s="7" t="s">
        <v>25</v>
      </c>
    </row>
    <row r="50" spans="4:5" x14ac:dyDescent="0.25">
      <c r="D50" s="7">
        <f>SUM(D30:D49)</f>
        <v>6600000</v>
      </c>
      <c r="E50" t="s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topLeftCell="A28" workbookViewId="0">
      <selection activeCell="G30" sqref="G30:I30"/>
    </sheetView>
  </sheetViews>
  <sheetFormatPr defaultRowHeight="15" x14ac:dyDescent="0.25"/>
  <cols>
    <col min="1" max="1" width="10.7109375" bestFit="1" customWidth="1"/>
    <col min="2" max="3" width="16.140625" bestFit="1" customWidth="1"/>
    <col min="4" max="4" width="16.85546875" bestFit="1" customWidth="1"/>
    <col min="5" max="5" width="80.42578125" bestFit="1" customWidth="1"/>
    <col min="6" max="6" width="22.5703125" bestFit="1" customWidth="1"/>
    <col min="7" max="7" width="13.85546875" bestFit="1" customWidth="1"/>
    <col min="8" max="9" width="12" bestFit="1" customWidth="1"/>
    <col min="10" max="10" width="9.855468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174</v>
      </c>
      <c r="B2" s="3">
        <f>'آبان 95'!B24</f>
        <v>28166959</v>
      </c>
      <c r="C2" s="1">
        <f>'آبان 95'!C24</f>
        <v>7622313</v>
      </c>
      <c r="D2" s="3">
        <f>B2-C2</f>
        <v>20544646</v>
      </c>
      <c r="E2" s="2" t="s">
        <v>59</v>
      </c>
      <c r="F2">
        <v>30</v>
      </c>
      <c r="G2">
        <f>B2*F2</f>
        <v>845008770</v>
      </c>
      <c r="H2">
        <f>C2*F2</f>
        <v>228669390</v>
      </c>
      <c r="I2">
        <f>D2*F2</f>
        <v>616339380</v>
      </c>
      <c r="O2">
        <v>1</v>
      </c>
      <c r="P2">
        <v>29</v>
      </c>
      <c r="Q2">
        <v>30</v>
      </c>
    </row>
    <row r="3" spans="1:17" x14ac:dyDescent="0.25">
      <c r="A3" s="4" t="s">
        <v>175</v>
      </c>
      <c r="B3" s="1">
        <v>186300</v>
      </c>
      <c r="C3" s="1">
        <v>84950</v>
      </c>
      <c r="D3" s="3">
        <f t="shared" ref="D3:D22" si="0">B3-C3</f>
        <v>101350</v>
      </c>
      <c r="E3" s="5" t="s">
        <v>176</v>
      </c>
      <c r="F3">
        <v>29</v>
      </c>
      <c r="G3">
        <f t="shared" ref="G3:G23" si="1">B3*F3</f>
        <v>5402700</v>
      </c>
      <c r="H3">
        <f t="shared" ref="H3:H23" si="2">C3*F3</f>
        <v>2463550</v>
      </c>
      <c r="I3">
        <f t="shared" ref="I3:I23" si="3">D3*F3</f>
        <v>2939150</v>
      </c>
      <c r="O3">
        <v>2</v>
      </c>
      <c r="P3">
        <v>28</v>
      </c>
      <c r="Q3">
        <v>29</v>
      </c>
    </row>
    <row r="4" spans="1:17" x14ac:dyDescent="0.25">
      <c r="A4" s="17" t="s">
        <v>192</v>
      </c>
      <c r="B4" s="18">
        <v>-200000</v>
      </c>
      <c r="C4" s="18">
        <v>0</v>
      </c>
      <c r="D4" s="3">
        <f t="shared" si="0"/>
        <v>-200000</v>
      </c>
      <c r="E4" s="19" t="s">
        <v>193</v>
      </c>
      <c r="F4">
        <v>27</v>
      </c>
      <c r="G4">
        <f t="shared" si="1"/>
        <v>-5400000</v>
      </c>
      <c r="H4">
        <f t="shared" si="2"/>
        <v>0</v>
      </c>
      <c r="I4">
        <f t="shared" si="3"/>
        <v>-5400000</v>
      </c>
      <c r="O4">
        <v>3</v>
      </c>
      <c r="P4">
        <v>27</v>
      </c>
      <c r="Q4">
        <v>28</v>
      </c>
    </row>
    <row r="5" spans="1:17" x14ac:dyDescent="0.25">
      <c r="A5" s="20" t="s">
        <v>184</v>
      </c>
      <c r="B5" s="18">
        <v>-118000</v>
      </c>
      <c r="C5" s="18">
        <v>-69000</v>
      </c>
      <c r="D5" s="3">
        <f t="shared" si="0"/>
        <v>-49000</v>
      </c>
      <c r="E5" s="20" t="s">
        <v>194</v>
      </c>
      <c r="F5">
        <v>26</v>
      </c>
      <c r="G5">
        <f t="shared" si="1"/>
        <v>-3068000</v>
      </c>
      <c r="H5">
        <f t="shared" si="2"/>
        <v>-1794000</v>
      </c>
      <c r="I5">
        <f t="shared" si="3"/>
        <v>-1274000</v>
      </c>
      <c r="O5">
        <v>4</v>
      </c>
      <c r="P5">
        <v>26</v>
      </c>
      <c r="Q5">
        <v>27</v>
      </c>
    </row>
    <row r="6" spans="1:17" x14ac:dyDescent="0.25">
      <c r="A6" s="17" t="s">
        <v>201</v>
      </c>
      <c r="B6" s="18">
        <v>-3200900</v>
      </c>
      <c r="C6" s="18">
        <v>0</v>
      </c>
      <c r="D6" s="3">
        <f t="shared" si="0"/>
        <v>-3200900</v>
      </c>
      <c r="E6" s="19" t="s">
        <v>202</v>
      </c>
      <c r="F6">
        <v>18</v>
      </c>
      <c r="G6">
        <f t="shared" si="1"/>
        <v>-57616200</v>
      </c>
      <c r="H6">
        <f t="shared" si="2"/>
        <v>0</v>
      </c>
      <c r="I6">
        <f t="shared" si="3"/>
        <v>-57616200</v>
      </c>
      <c r="O6">
        <v>5</v>
      </c>
      <c r="P6">
        <v>25</v>
      </c>
      <c r="Q6">
        <v>26</v>
      </c>
    </row>
    <row r="7" spans="1:17" x14ac:dyDescent="0.25">
      <c r="A7" s="17" t="s">
        <v>207</v>
      </c>
      <c r="B7" s="18">
        <v>-3200900</v>
      </c>
      <c r="C7" s="18">
        <v>0</v>
      </c>
      <c r="D7" s="3">
        <f t="shared" si="0"/>
        <v>-3200900</v>
      </c>
      <c r="E7" s="19" t="s">
        <v>208</v>
      </c>
      <c r="F7">
        <v>17</v>
      </c>
      <c r="G7">
        <f t="shared" si="1"/>
        <v>-54415300</v>
      </c>
      <c r="H7">
        <f t="shared" si="2"/>
        <v>0</v>
      </c>
      <c r="I7">
        <f t="shared" si="3"/>
        <v>-54415300</v>
      </c>
      <c r="O7">
        <v>6</v>
      </c>
      <c r="P7">
        <v>24</v>
      </c>
      <c r="Q7">
        <v>25</v>
      </c>
    </row>
    <row r="8" spans="1:17" x14ac:dyDescent="0.25">
      <c r="A8" s="17" t="s">
        <v>211</v>
      </c>
      <c r="B8" s="18">
        <v>-3200900</v>
      </c>
      <c r="C8" s="18">
        <v>0</v>
      </c>
      <c r="D8" s="3">
        <f t="shared" si="0"/>
        <v>-3200900</v>
      </c>
      <c r="E8" s="19" t="s">
        <v>212</v>
      </c>
      <c r="F8">
        <v>16</v>
      </c>
      <c r="G8">
        <f t="shared" si="1"/>
        <v>-51214400</v>
      </c>
      <c r="H8">
        <f t="shared" si="2"/>
        <v>0</v>
      </c>
      <c r="I8">
        <f t="shared" si="3"/>
        <v>-51214400</v>
      </c>
      <c r="O8">
        <v>7</v>
      </c>
      <c r="P8">
        <v>23</v>
      </c>
      <c r="Q8">
        <v>24</v>
      </c>
    </row>
    <row r="9" spans="1:17" x14ac:dyDescent="0.25">
      <c r="A9" s="17" t="s">
        <v>216</v>
      </c>
      <c r="B9" s="18">
        <v>-3200900</v>
      </c>
      <c r="C9" s="18">
        <v>0</v>
      </c>
      <c r="D9" s="3">
        <f t="shared" si="0"/>
        <v>-3200900</v>
      </c>
      <c r="E9" s="21" t="s">
        <v>217</v>
      </c>
      <c r="F9">
        <v>15</v>
      </c>
      <c r="G9">
        <f t="shared" si="1"/>
        <v>-48013500</v>
      </c>
      <c r="H9">
        <f t="shared" si="2"/>
        <v>0</v>
      </c>
      <c r="I9">
        <f t="shared" si="3"/>
        <v>-48013500</v>
      </c>
      <c r="O9">
        <v>8</v>
      </c>
      <c r="P9">
        <v>22</v>
      </c>
      <c r="Q9">
        <v>23</v>
      </c>
    </row>
    <row r="10" spans="1:17" x14ac:dyDescent="0.25">
      <c r="A10" s="17" t="s">
        <v>222</v>
      </c>
      <c r="B10" s="18">
        <v>-3200900</v>
      </c>
      <c r="C10" s="18">
        <v>0</v>
      </c>
      <c r="D10" s="3">
        <f t="shared" si="0"/>
        <v>-3200900</v>
      </c>
      <c r="E10" s="19" t="s">
        <v>223</v>
      </c>
      <c r="F10">
        <v>14</v>
      </c>
      <c r="G10">
        <f t="shared" si="1"/>
        <v>-44812600</v>
      </c>
      <c r="H10">
        <f t="shared" si="2"/>
        <v>0</v>
      </c>
      <c r="I10">
        <f t="shared" si="3"/>
        <v>-44812600</v>
      </c>
      <c r="O10">
        <v>9</v>
      </c>
      <c r="P10">
        <v>21</v>
      </c>
      <c r="Q10">
        <v>22</v>
      </c>
    </row>
    <row r="11" spans="1:17" x14ac:dyDescent="0.25">
      <c r="A11" s="17" t="s">
        <v>225</v>
      </c>
      <c r="B11" s="18">
        <v>-3200900</v>
      </c>
      <c r="C11" s="18">
        <v>0</v>
      </c>
      <c r="D11" s="3">
        <f t="shared" si="0"/>
        <v>-3200900</v>
      </c>
      <c r="E11" s="19" t="s">
        <v>226</v>
      </c>
      <c r="F11">
        <v>13</v>
      </c>
      <c r="G11">
        <f t="shared" si="1"/>
        <v>-41611700</v>
      </c>
      <c r="H11">
        <f t="shared" si="2"/>
        <v>0</v>
      </c>
      <c r="I11">
        <f t="shared" si="3"/>
        <v>-41611700</v>
      </c>
      <c r="O11">
        <v>10</v>
      </c>
      <c r="P11">
        <v>20</v>
      </c>
      <c r="Q11">
        <v>21</v>
      </c>
    </row>
    <row r="12" spans="1:17" x14ac:dyDescent="0.25">
      <c r="A12" s="20" t="s">
        <v>228</v>
      </c>
      <c r="B12" s="18">
        <v>-1196596</v>
      </c>
      <c r="C12" s="18">
        <v>0</v>
      </c>
      <c r="D12" s="3">
        <f t="shared" si="0"/>
        <v>-1196596</v>
      </c>
      <c r="E12" s="20" t="s">
        <v>229</v>
      </c>
      <c r="F12">
        <v>11</v>
      </c>
      <c r="G12">
        <f t="shared" si="1"/>
        <v>-13162556</v>
      </c>
      <c r="H12">
        <f t="shared" si="2"/>
        <v>0</v>
      </c>
      <c r="I12">
        <f t="shared" si="3"/>
        <v>-13162556</v>
      </c>
      <c r="O12">
        <v>11</v>
      </c>
      <c r="P12">
        <v>19</v>
      </c>
      <c r="Q12">
        <v>20</v>
      </c>
    </row>
    <row r="13" spans="1:17" x14ac:dyDescent="0.25">
      <c r="A13" s="20" t="s">
        <v>237</v>
      </c>
      <c r="B13" s="18">
        <v>-200000</v>
      </c>
      <c r="C13" s="18">
        <v>0</v>
      </c>
      <c r="D13" s="3">
        <f t="shared" si="0"/>
        <v>-200000</v>
      </c>
      <c r="E13" s="20" t="s">
        <v>238</v>
      </c>
      <c r="F13">
        <v>1</v>
      </c>
      <c r="G13">
        <f>B13*F13</f>
        <v>-200000</v>
      </c>
      <c r="H13">
        <f t="shared" si="2"/>
        <v>0</v>
      </c>
      <c r="I13">
        <f t="shared" si="3"/>
        <v>-200000</v>
      </c>
      <c r="O13">
        <v>12</v>
      </c>
      <c r="P13">
        <v>18</v>
      </c>
      <c r="Q13">
        <v>19</v>
      </c>
    </row>
    <row r="14" spans="1:17" x14ac:dyDescent="0.25">
      <c r="A14" s="20" t="s">
        <v>241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 x14ac:dyDescent="0.25">
      <c r="A15" s="20" t="s">
        <v>245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 x14ac:dyDescent="0.25">
      <c r="A16" s="20" t="s">
        <v>168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 x14ac:dyDescent="0.25">
      <c r="A17" s="20" t="s">
        <v>172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7433263</v>
      </c>
      <c r="C24" s="3">
        <f>SUM(C2:C22)</f>
        <v>7638263</v>
      </c>
      <c r="D24" s="3">
        <f>SUM(D2:D22)</f>
        <v>-205000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530897214</v>
      </c>
      <c r="H25">
        <f>SUM(H2:H23)</f>
        <v>229338940</v>
      </c>
      <c r="I25">
        <f>SUM(I2:I23)</f>
        <v>301558274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E29" t="s">
        <v>85</v>
      </c>
      <c r="O29">
        <v>28</v>
      </c>
      <c r="P29">
        <v>2</v>
      </c>
      <c r="Q29">
        <v>3</v>
      </c>
    </row>
    <row r="30" spans="1:17" x14ac:dyDescent="0.25">
      <c r="D30" s="7">
        <v>6600000</v>
      </c>
      <c r="E30" t="s">
        <v>95</v>
      </c>
      <c r="G30" s="1">
        <v>159558</v>
      </c>
      <c r="H30" s="1">
        <f>G30*H25/G25</f>
        <v>68926.454356040384</v>
      </c>
      <c r="I30" s="1">
        <f>G30*I25/G25</f>
        <v>90631.545643959616</v>
      </c>
      <c r="O30">
        <v>29</v>
      </c>
      <c r="P30">
        <v>1</v>
      </c>
      <c r="Q30">
        <v>2</v>
      </c>
    </row>
    <row r="31" spans="1:17" x14ac:dyDescent="0.25">
      <c r="D31" s="7">
        <v>0</v>
      </c>
      <c r="E31" t="s">
        <v>177</v>
      </c>
      <c r="G31" s="9" t="s">
        <v>240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7">
        <v>0</v>
      </c>
      <c r="E32" t="s">
        <v>178</v>
      </c>
      <c r="P32" t="s">
        <v>60</v>
      </c>
      <c r="Q32" t="s">
        <v>61</v>
      </c>
    </row>
    <row r="33" spans="4:5" x14ac:dyDescent="0.25">
      <c r="D33" s="7">
        <v>125000</v>
      </c>
      <c r="E33" t="s">
        <v>195</v>
      </c>
    </row>
    <row r="34" spans="4:5" x14ac:dyDescent="0.25">
      <c r="D34" s="7">
        <v>-225000</v>
      </c>
      <c r="E34" t="s">
        <v>198</v>
      </c>
    </row>
    <row r="35" spans="4:5" x14ac:dyDescent="0.25">
      <c r="D35" s="7">
        <v>15000000</v>
      </c>
      <c r="E35" t="s">
        <v>199</v>
      </c>
    </row>
    <row r="36" spans="4:5" x14ac:dyDescent="0.25">
      <c r="D36" s="7">
        <v>-331500</v>
      </c>
      <c r="E36" t="s">
        <v>200</v>
      </c>
    </row>
    <row r="37" spans="4:5" x14ac:dyDescent="0.25">
      <c r="D37" s="7">
        <v>-77000</v>
      </c>
      <c r="E37" t="s">
        <v>203</v>
      </c>
    </row>
    <row r="38" spans="4:5" x14ac:dyDescent="0.25">
      <c r="D38" s="7">
        <v>15000000</v>
      </c>
      <c r="E38" t="s">
        <v>204</v>
      </c>
    </row>
    <row r="39" spans="4:5" x14ac:dyDescent="0.25">
      <c r="D39" s="7">
        <v>5000</v>
      </c>
      <c r="E39" t="s">
        <v>205</v>
      </c>
    </row>
    <row r="40" spans="4:5" x14ac:dyDescent="0.25">
      <c r="D40" s="7">
        <v>-347500</v>
      </c>
      <c r="E40" t="s">
        <v>206</v>
      </c>
    </row>
    <row r="41" spans="4:5" x14ac:dyDescent="0.25">
      <c r="D41" s="7">
        <v>200000</v>
      </c>
      <c r="E41" t="s">
        <v>209</v>
      </c>
    </row>
    <row r="42" spans="4:5" x14ac:dyDescent="0.25">
      <c r="D42" s="7">
        <v>-15000000</v>
      </c>
      <c r="E42" t="s">
        <v>210</v>
      </c>
    </row>
    <row r="43" spans="4:5" x14ac:dyDescent="0.25">
      <c r="D43" s="7">
        <v>14900000</v>
      </c>
      <c r="E43" t="s">
        <v>213</v>
      </c>
    </row>
    <row r="44" spans="4:5" x14ac:dyDescent="0.25">
      <c r="D44" s="7">
        <v>-308000</v>
      </c>
      <c r="E44" t="s">
        <v>214</v>
      </c>
    </row>
    <row r="45" spans="4:5" x14ac:dyDescent="0.25">
      <c r="D45" s="7">
        <v>25000</v>
      </c>
      <c r="E45" t="s">
        <v>215</v>
      </c>
    </row>
    <row r="46" spans="4:5" x14ac:dyDescent="0.25">
      <c r="D46" s="7">
        <v>3200000</v>
      </c>
      <c r="E46" t="s">
        <v>218</v>
      </c>
    </row>
    <row r="47" spans="4:5" x14ac:dyDescent="0.25">
      <c r="D47" s="7">
        <v>3200000</v>
      </c>
      <c r="E47" t="s">
        <v>219</v>
      </c>
    </row>
    <row r="48" spans="4:5" x14ac:dyDescent="0.25">
      <c r="D48" s="7">
        <v>-3800000</v>
      </c>
      <c r="E48" t="s">
        <v>220</v>
      </c>
    </row>
    <row r="49" spans="4:5" x14ac:dyDescent="0.25">
      <c r="D49" s="7">
        <v>-25000000</v>
      </c>
      <c r="E49" t="s">
        <v>221</v>
      </c>
    </row>
    <row r="50" spans="4:5" x14ac:dyDescent="0.25">
      <c r="D50" s="7">
        <v>200000</v>
      </c>
      <c r="E50" t="s">
        <v>224</v>
      </c>
    </row>
    <row r="51" spans="4:5" ht="30" x14ac:dyDescent="0.25">
      <c r="D51" s="7">
        <v>-288330</v>
      </c>
      <c r="E51" s="22" t="s">
        <v>227</v>
      </c>
    </row>
    <row r="52" spans="4:5" x14ac:dyDescent="0.25">
      <c r="D52" s="7">
        <v>5000</v>
      </c>
      <c r="E52" t="s">
        <v>230</v>
      </c>
    </row>
    <row r="53" spans="4:5" x14ac:dyDescent="0.25">
      <c r="D53" s="7">
        <v>-3000000</v>
      </c>
      <c r="E53" t="s">
        <v>231</v>
      </c>
    </row>
    <row r="54" spans="4:5" x14ac:dyDescent="0.25">
      <c r="D54" s="7">
        <v>100000</v>
      </c>
      <c r="E54" t="s">
        <v>236</v>
      </c>
    </row>
    <row r="55" spans="4:5" x14ac:dyDescent="0.25">
      <c r="D55" s="7">
        <v>200000</v>
      </c>
      <c r="E55" t="s">
        <v>239</v>
      </c>
    </row>
    <row r="56" spans="4:5" x14ac:dyDescent="0.25">
      <c r="D56" s="7">
        <v>-75000</v>
      </c>
      <c r="E56" t="s">
        <v>243</v>
      </c>
    </row>
    <row r="57" spans="4:5" x14ac:dyDescent="0.25">
      <c r="D57" s="7">
        <v>-45000</v>
      </c>
      <c r="E57" t="s">
        <v>244</v>
      </c>
    </row>
    <row r="58" spans="4:5" x14ac:dyDescent="0.25">
      <c r="D58" s="7">
        <v>-114368</v>
      </c>
      <c r="E58" t="s">
        <v>247</v>
      </c>
    </row>
    <row r="59" spans="4:5" x14ac:dyDescent="0.25">
      <c r="D59" s="7"/>
      <c r="E59" t="s">
        <v>25</v>
      </c>
    </row>
    <row r="60" spans="4:5" x14ac:dyDescent="0.25">
      <c r="D60" s="7"/>
    </row>
    <row r="61" spans="4:5" x14ac:dyDescent="0.25">
      <c r="D61" s="7"/>
    </row>
    <row r="62" spans="4:5" x14ac:dyDescent="0.25">
      <c r="D62" s="7"/>
    </row>
    <row r="63" spans="4:5" x14ac:dyDescent="0.25">
      <c r="D63" s="7" t="s">
        <v>25</v>
      </c>
    </row>
    <row r="65" spans="4:5" x14ac:dyDescent="0.25">
      <c r="D65" s="7">
        <f>SUM(D30:D64)</f>
        <v>10148302</v>
      </c>
      <c r="E65" t="s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workbookViewId="0">
      <selection activeCell="H34" sqref="H34"/>
    </sheetView>
  </sheetViews>
  <sheetFormatPr defaultRowHeight="15" x14ac:dyDescent="0.25"/>
  <cols>
    <col min="2" max="2" width="16.140625" bestFit="1" customWidth="1"/>
    <col min="3" max="3" width="15.140625" bestFit="1" customWidth="1"/>
    <col min="4" max="4" width="16.85546875" bestFit="1" customWidth="1"/>
    <col min="5" max="5" width="80.42578125" bestFit="1" customWidth="1"/>
    <col min="6" max="6" width="22.5703125" bestFit="1" customWidth="1"/>
    <col min="7" max="7" width="11.42578125" bestFit="1" customWidth="1"/>
    <col min="8" max="9" width="12" bestFit="1" customWidth="1"/>
    <col min="10" max="10" width="9.855468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237</v>
      </c>
      <c r="B2" s="3">
        <f>'آذر 95'!B24</f>
        <v>7433263</v>
      </c>
      <c r="C2" s="1">
        <f>'آذر 95'!C24</f>
        <v>7638263</v>
      </c>
      <c r="D2" s="3">
        <f>B2-C2</f>
        <v>-205000</v>
      </c>
      <c r="E2" s="2" t="s">
        <v>59</v>
      </c>
      <c r="F2">
        <v>30</v>
      </c>
      <c r="G2">
        <f>B2*F2</f>
        <v>222997890</v>
      </c>
      <c r="H2">
        <f>C2*F2</f>
        <v>229147890</v>
      </c>
      <c r="I2">
        <f>D2*F2</f>
        <v>-6150000</v>
      </c>
      <c r="O2">
        <v>1</v>
      </c>
      <c r="P2">
        <v>29</v>
      </c>
      <c r="Q2">
        <v>30</v>
      </c>
    </row>
    <row r="3" spans="1:17" x14ac:dyDescent="0.25">
      <c r="A3" s="20" t="s">
        <v>241</v>
      </c>
      <c r="B3" s="18">
        <v>159558</v>
      </c>
      <c r="C3" s="18">
        <v>68926</v>
      </c>
      <c r="D3" s="3">
        <f t="shared" ref="D3:D4" si="0">B3-C3</f>
        <v>90632</v>
      </c>
      <c r="E3" s="23" t="s">
        <v>242</v>
      </c>
      <c r="F3">
        <v>29</v>
      </c>
      <c r="G3">
        <f t="shared" ref="G3:G23" si="1">B3*F3</f>
        <v>4627182</v>
      </c>
      <c r="H3">
        <f t="shared" ref="H3:H23" si="2">C3*F3</f>
        <v>1998854</v>
      </c>
      <c r="I3">
        <f t="shared" ref="I3:I23" si="3">D3*F3</f>
        <v>2628328</v>
      </c>
      <c r="O3">
        <v>2</v>
      </c>
      <c r="P3">
        <v>28</v>
      </c>
      <c r="Q3">
        <v>29</v>
      </c>
    </row>
    <row r="4" spans="1:17" x14ac:dyDescent="0.25">
      <c r="A4" s="20" t="s">
        <v>245</v>
      </c>
      <c r="B4" s="18">
        <v>114368</v>
      </c>
      <c r="C4" s="18">
        <v>0</v>
      </c>
      <c r="D4" s="3">
        <f t="shared" si="0"/>
        <v>114368</v>
      </c>
      <c r="E4" s="20" t="s">
        <v>246</v>
      </c>
      <c r="F4">
        <v>27</v>
      </c>
      <c r="G4">
        <f t="shared" si="1"/>
        <v>3087936</v>
      </c>
      <c r="H4">
        <f t="shared" si="2"/>
        <v>0</v>
      </c>
      <c r="I4">
        <f t="shared" si="3"/>
        <v>3087936</v>
      </c>
      <c r="O4">
        <v>3</v>
      </c>
      <c r="P4">
        <v>27</v>
      </c>
      <c r="Q4">
        <v>28</v>
      </c>
    </row>
    <row r="5" spans="1:17" x14ac:dyDescent="0.25">
      <c r="A5" s="20" t="s">
        <v>248</v>
      </c>
      <c r="B5" s="18">
        <v>-1325000</v>
      </c>
      <c r="C5" s="18">
        <v>0</v>
      </c>
      <c r="D5" s="3">
        <f t="shared" ref="D5:D22" si="4">B5-C5</f>
        <v>-1325000</v>
      </c>
      <c r="E5" s="20" t="s">
        <v>249</v>
      </c>
      <c r="F5">
        <v>26</v>
      </c>
      <c r="G5">
        <f t="shared" si="1"/>
        <v>-34450000</v>
      </c>
      <c r="H5">
        <f t="shared" si="2"/>
        <v>0</v>
      </c>
      <c r="I5">
        <f t="shared" si="3"/>
        <v>-34450000</v>
      </c>
      <c r="O5">
        <v>4</v>
      </c>
      <c r="P5">
        <v>26</v>
      </c>
      <c r="Q5">
        <v>27</v>
      </c>
    </row>
    <row r="6" spans="1:17" x14ac:dyDescent="0.25">
      <c r="A6" s="17" t="s">
        <v>250</v>
      </c>
      <c r="B6" s="18">
        <v>1325000</v>
      </c>
      <c r="C6" s="18">
        <v>0</v>
      </c>
      <c r="D6" s="3">
        <f t="shared" si="4"/>
        <v>1325000</v>
      </c>
      <c r="E6" s="19" t="s">
        <v>251</v>
      </c>
      <c r="F6">
        <v>18</v>
      </c>
      <c r="G6">
        <f t="shared" si="1"/>
        <v>23850000</v>
      </c>
      <c r="H6">
        <f t="shared" si="2"/>
        <v>0</v>
      </c>
      <c r="I6">
        <f t="shared" si="3"/>
        <v>23850000</v>
      </c>
      <c r="O6">
        <v>5</v>
      </c>
      <c r="P6">
        <v>25</v>
      </c>
      <c r="Q6">
        <v>26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4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24</v>
      </c>
      <c r="Q7">
        <v>25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4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23</v>
      </c>
      <c r="Q8">
        <v>24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4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4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4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4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4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4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4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4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4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4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4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4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4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4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7707189</v>
      </c>
      <c r="C24" s="3">
        <f>SUM(C2:C22)</f>
        <v>7707189</v>
      </c>
      <c r="D24" s="3">
        <f>SUM(D2:D22)</f>
        <v>0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220113008</v>
      </c>
      <c r="H25">
        <f>SUM(H2:H23)</f>
        <v>231146744</v>
      </c>
      <c r="I25">
        <f>SUM(I2:I23)</f>
        <v>-11033736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E29" t="s">
        <v>85</v>
      </c>
      <c r="O29">
        <v>28</v>
      </c>
      <c r="P29">
        <v>2</v>
      </c>
      <c r="Q29">
        <v>3</v>
      </c>
    </row>
    <row r="30" spans="1:17" x14ac:dyDescent="0.25">
      <c r="D30" s="7">
        <v>10148302</v>
      </c>
      <c r="E30" t="s">
        <v>95</v>
      </c>
      <c r="G30" s="1">
        <v>66335</v>
      </c>
      <c r="H30" s="1">
        <f>G30*H25/G25</f>
        <v>69660.214098932309</v>
      </c>
      <c r="I30" s="1">
        <f>G30*I25/G25</f>
        <v>-3325.2140989323084</v>
      </c>
      <c r="O30">
        <v>29</v>
      </c>
      <c r="P30">
        <v>1</v>
      </c>
      <c r="Q30">
        <v>2</v>
      </c>
    </row>
    <row r="31" spans="1:17" x14ac:dyDescent="0.25">
      <c r="D31" s="7">
        <v>-1340000</v>
      </c>
      <c r="E31" t="s">
        <v>252</v>
      </c>
      <c r="G31" s="9" t="s">
        <v>240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7">
        <v>200000</v>
      </c>
      <c r="E32" t="s">
        <v>253</v>
      </c>
      <c r="P32" t="s">
        <v>60</v>
      </c>
      <c r="Q32" t="s">
        <v>61</v>
      </c>
    </row>
    <row r="33" spans="4:5" x14ac:dyDescent="0.25">
      <c r="D33" s="7">
        <v>45000</v>
      </c>
      <c r="E33" t="s">
        <v>254</v>
      </c>
    </row>
    <row r="34" spans="4:5" x14ac:dyDescent="0.25">
      <c r="D34" s="7">
        <v>-150000</v>
      </c>
      <c r="E34" t="s">
        <v>255</v>
      </c>
    </row>
    <row r="35" spans="4:5" x14ac:dyDescent="0.25">
      <c r="D35" s="7">
        <v>400000</v>
      </c>
      <c r="E35" t="s">
        <v>256</v>
      </c>
    </row>
    <row r="36" spans="4:5" x14ac:dyDescent="0.25">
      <c r="D36" s="7">
        <v>-500000</v>
      </c>
      <c r="E36" t="s">
        <v>257</v>
      </c>
    </row>
    <row r="40" spans="4:5" x14ac:dyDescent="0.25">
      <c r="D40" s="7"/>
    </row>
    <row r="41" spans="4:5" x14ac:dyDescent="0.25">
      <c r="D41" s="7"/>
    </row>
    <row r="42" spans="4:5" x14ac:dyDescent="0.25">
      <c r="D42" s="7"/>
    </row>
    <row r="43" spans="4:5" x14ac:dyDescent="0.25">
      <c r="D43" s="7"/>
    </row>
    <row r="44" spans="4:5" x14ac:dyDescent="0.25">
      <c r="D44" s="7"/>
    </row>
    <row r="45" spans="4:5" x14ac:dyDescent="0.25">
      <c r="D45" s="7">
        <f>SUM(D30:D42)</f>
        <v>8803302</v>
      </c>
      <c r="E45" t="s">
        <v>6</v>
      </c>
    </row>
    <row r="46" spans="4:5" x14ac:dyDescent="0.25">
      <c r="D46" s="7"/>
    </row>
    <row r="47" spans="4:5" x14ac:dyDescent="0.25">
      <c r="D47" s="7"/>
    </row>
    <row r="48" spans="4:5" x14ac:dyDescent="0.25">
      <c r="D48" s="7"/>
    </row>
    <row r="49" spans="4:5" x14ac:dyDescent="0.25">
      <c r="D49" s="7"/>
    </row>
    <row r="50" spans="4:5" x14ac:dyDescent="0.25">
      <c r="D50" s="7"/>
    </row>
    <row r="51" spans="4:5" x14ac:dyDescent="0.25">
      <c r="D51" s="7"/>
      <c r="E51" s="22"/>
    </row>
    <row r="52" spans="4:5" x14ac:dyDescent="0.25">
      <c r="D52" s="7"/>
    </row>
    <row r="53" spans="4:5" x14ac:dyDescent="0.25">
      <c r="D53" s="7"/>
    </row>
    <row r="54" spans="4:5" x14ac:dyDescent="0.25">
      <c r="D54" s="7"/>
    </row>
    <row r="55" spans="4:5" x14ac:dyDescent="0.25">
      <c r="D55" s="7"/>
    </row>
    <row r="56" spans="4:5" x14ac:dyDescent="0.25">
      <c r="D56" s="7"/>
    </row>
    <row r="57" spans="4:5" x14ac:dyDescent="0.25">
      <c r="D57" s="7"/>
    </row>
    <row r="58" spans="4:5" x14ac:dyDescent="0.25">
      <c r="D58" s="7"/>
    </row>
    <row r="59" spans="4:5" x14ac:dyDescent="0.25">
      <c r="D59" s="7"/>
      <c r="E59" t="s">
        <v>25</v>
      </c>
    </row>
    <row r="60" spans="4:5" x14ac:dyDescent="0.25">
      <c r="D60" s="7"/>
    </row>
    <row r="61" spans="4:5" x14ac:dyDescent="0.25">
      <c r="D61" s="7"/>
    </row>
    <row r="62" spans="4:5" x14ac:dyDescent="0.25">
      <c r="D62" s="7"/>
    </row>
    <row r="63" spans="4:5" x14ac:dyDescent="0.25">
      <c r="D63" s="7" t="s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topLeftCell="A7" workbookViewId="0">
      <selection activeCell="G30" sqref="G30"/>
    </sheetView>
  </sheetViews>
  <sheetFormatPr defaultRowHeight="15" x14ac:dyDescent="0.25"/>
  <cols>
    <col min="1" max="1" width="10.7109375" bestFit="1" customWidth="1"/>
    <col min="2" max="3" width="15.85546875" bestFit="1" customWidth="1"/>
    <col min="4" max="4" width="16.140625" bestFit="1" customWidth="1"/>
    <col min="5" max="5" width="88.28515625" bestFit="1" customWidth="1"/>
    <col min="6" max="6" width="18.85546875" bestFit="1" customWidth="1"/>
    <col min="7" max="7" width="11.42578125" bestFit="1" customWidth="1"/>
    <col min="8" max="8" width="12" bestFit="1" customWidth="1"/>
    <col min="9" max="9" width="12.7109375" bestFit="1" customWidth="1"/>
    <col min="10" max="10" width="5" customWidth="1"/>
    <col min="13" max="13" width="9.5703125" bestFit="1" customWidth="1"/>
    <col min="14" max="14" width="4.42578125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261</v>
      </c>
      <c r="B2" s="3">
        <f>'دی 95'!B24</f>
        <v>7707189</v>
      </c>
      <c r="C2" s="1">
        <f>'دی 95'!C24</f>
        <v>7707189</v>
      </c>
      <c r="D2" s="3">
        <f>B2-C2</f>
        <v>0</v>
      </c>
      <c r="E2" s="2" t="s">
        <v>59</v>
      </c>
      <c r="F2">
        <v>30</v>
      </c>
      <c r="G2">
        <f>B2*F2</f>
        <v>231215670</v>
      </c>
      <c r="H2">
        <f>C2*F2</f>
        <v>231215670</v>
      </c>
      <c r="I2">
        <f>D2*F2</f>
        <v>0</v>
      </c>
      <c r="O2">
        <v>1</v>
      </c>
      <c r="P2">
        <v>29</v>
      </c>
      <c r="Q2">
        <v>30</v>
      </c>
    </row>
    <row r="3" spans="1:17" x14ac:dyDescent="0.25">
      <c r="A3" s="20" t="s">
        <v>262</v>
      </c>
      <c r="B3" s="18">
        <v>66845</v>
      </c>
      <c r="C3" s="18">
        <v>66845</v>
      </c>
      <c r="D3" s="3">
        <f t="shared" ref="D3:D22" si="0">B3-C3</f>
        <v>0</v>
      </c>
      <c r="E3" s="23" t="s">
        <v>264</v>
      </c>
      <c r="F3">
        <v>29</v>
      </c>
      <c r="G3">
        <f t="shared" ref="G3:G23" si="1">B3*F3</f>
        <v>1938505</v>
      </c>
      <c r="H3">
        <f t="shared" ref="H3:H23" si="2">C3*F3</f>
        <v>1938505</v>
      </c>
      <c r="I3">
        <f t="shared" ref="I3:I23" si="3">D3*F3</f>
        <v>0</v>
      </c>
      <c r="O3">
        <v>2</v>
      </c>
      <c r="P3">
        <v>28</v>
      </c>
      <c r="Q3">
        <v>29</v>
      </c>
    </row>
    <row r="4" spans="1:17" x14ac:dyDescent="0.25">
      <c r="A4" s="20" t="s">
        <v>263</v>
      </c>
      <c r="B4" s="18">
        <v>3000000</v>
      </c>
      <c r="C4" s="18">
        <v>0</v>
      </c>
      <c r="D4" s="3">
        <f t="shared" si="0"/>
        <v>3000000</v>
      </c>
      <c r="E4" s="20" t="s">
        <v>251</v>
      </c>
      <c r="F4">
        <v>26</v>
      </c>
      <c r="G4">
        <f t="shared" si="1"/>
        <v>78000000</v>
      </c>
      <c r="H4">
        <f t="shared" si="2"/>
        <v>0</v>
      </c>
      <c r="I4">
        <f t="shared" si="3"/>
        <v>78000000</v>
      </c>
      <c r="O4">
        <v>3</v>
      </c>
      <c r="P4">
        <v>27</v>
      </c>
      <c r="Q4">
        <v>28</v>
      </c>
    </row>
    <row r="5" spans="1:17" x14ac:dyDescent="0.25">
      <c r="A5" s="30">
        <v>35014</v>
      </c>
      <c r="B5" s="18">
        <v>-1000000</v>
      </c>
      <c r="C5" s="18">
        <v>-1000000</v>
      </c>
      <c r="D5" s="3">
        <f t="shared" si="0"/>
        <v>0</v>
      </c>
      <c r="E5" s="20" t="s">
        <v>414</v>
      </c>
      <c r="F5">
        <v>20</v>
      </c>
      <c r="G5">
        <f t="shared" si="1"/>
        <v>-20000000</v>
      </c>
      <c r="H5">
        <f t="shared" si="2"/>
        <v>-20000000</v>
      </c>
      <c r="I5">
        <f t="shared" si="3"/>
        <v>0</v>
      </c>
      <c r="O5">
        <v>4</v>
      </c>
      <c r="P5">
        <v>26</v>
      </c>
      <c r="Q5">
        <v>27</v>
      </c>
    </row>
    <row r="6" spans="1:17" x14ac:dyDescent="0.25">
      <c r="A6" s="17" t="s">
        <v>415</v>
      </c>
      <c r="B6" s="18">
        <v>3000000</v>
      </c>
      <c r="C6" s="18">
        <v>3000000</v>
      </c>
      <c r="D6" s="3">
        <f t="shared" si="0"/>
        <v>0</v>
      </c>
      <c r="E6" s="19" t="s">
        <v>413</v>
      </c>
      <c r="F6">
        <v>9</v>
      </c>
      <c r="G6">
        <f t="shared" si="1"/>
        <v>27000000</v>
      </c>
      <c r="H6">
        <f t="shared" si="2"/>
        <v>27000000</v>
      </c>
      <c r="I6">
        <f t="shared" si="3"/>
        <v>0</v>
      </c>
      <c r="O6">
        <v>5</v>
      </c>
      <c r="P6">
        <v>25</v>
      </c>
      <c r="Q6">
        <v>26</v>
      </c>
    </row>
    <row r="7" spans="1:17" x14ac:dyDescent="0.25">
      <c r="A7" s="17" t="s">
        <v>344</v>
      </c>
      <c r="B7" s="18">
        <v>1120000</v>
      </c>
      <c r="C7" s="18">
        <v>1120000</v>
      </c>
      <c r="D7" s="3">
        <f t="shared" si="0"/>
        <v>0</v>
      </c>
      <c r="E7" s="19" t="s">
        <v>413</v>
      </c>
      <c r="F7">
        <v>8</v>
      </c>
      <c r="G7">
        <f t="shared" si="1"/>
        <v>8960000</v>
      </c>
      <c r="H7">
        <f t="shared" si="2"/>
        <v>8960000</v>
      </c>
      <c r="I7">
        <f t="shared" si="3"/>
        <v>0</v>
      </c>
      <c r="O7">
        <v>6</v>
      </c>
      <c r="P7">
        <v>24</v>
      </c>
      <c r="Q7">
        <v>25</v>
      </c>
    </row>
    <row r="8" spans="1:17" x14ac:dyDescent="0.25">
      <c r="A8" s="17" t="s">
        <v>344</v>
      </c>
      <c r="B8" s="18">
        <v>-3000000</v>
      </c>
      <c r="C8" s="18">
        <v>0</v>
      </c>
      <c r="D8" s="3">
        <f t="shared" si="0"/>
        <v>-3000000</v>
      </c>
      <c r="E8" s="19" t="s">
        <v>345</v>
      </c>
      <c r="F8">
        <v>9</v>
      </c>
      <c r="G8">
        <f t="shared" si="1"/>
        <v>-27000000</v>
      </c>
      <c r="H8">
        <f t="shared" si="2"/>
        <v>0</v>
      </c>
      <c r="I8">
        <f t="shared" si="3"/>
        <v>-27000000</v>
      </c>
      <c r="O8">
        <v>7</v>
      </c>
      <c r="P8">
        <v>23</v>
      </c>
      <c r="Q8">
        <v>24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10894034</v>
      </c>
      <c r="C24" s="3">
        <f>SUM(C2:C22)</f>
        <v>10894034</v>
      </c>
      <c r="D24" s="3">
        <f>SUM(D2:D22)</f>
        <v>0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300114175</v>
      </c>
      <c r="H25">
        <f>SUM(H2:H23)</f>
        <v>249114175</v>
      </c>
      <c r="I25">
        <f>SUM(I2:I23)</f>
        <v>51000000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E29" t="s">
        <v>85</v>
      </c>
      <c r="O29">
        <v>28</v>
      </c>
      <c r="P29">
        <v>2</v>
      </c>
      <c r="Q29">
        <v>3</v>
      </c>
    </row>
    <row r="30" spans="1:17" x14ac:dyDescent="0.25">
      <c r="D30" s="7">
        <v>8803302</v>
      </c>
      <c r="E30" t="s">
        <v>95</v>
      </c>
      <c r="G30" s="1">
        <v>90494</v>
      </c>
      <c r="H30" s="1">
        <f>G30*H25/G25</f>
        <v>75115.872658963883</v>
      </c>
      <c r="I30" s="1">
        <f>G30*I25/G25</f>
        <v>15378.127341036125</v>
      </c>
      <c r="O30">
        <v>29</v>
      </c>
      <c r="P30">
        <v>1</v>
      </c>
      <c r="Q30">
        <v>2</v>
      </c>
    </row>
    <row r="31" spans="1:17" x14ac:dyDescent="0.25">
      <c r="D31" s="7">
        <v>-2000000</v>
      </c>
      <c r="E31" t="s">
        <v>258</v>
      </c>
      <c r="G31" s="9" t="s">
        <v>406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7">
        <v>-120000</v>
      </c>
      <c r="E32" t="s">
        <v>259</v>
      </c>
      <c r="P32" t="s">
        <v>60</v>
      </c>
      <c r="Q32" t="s">
        <v>61</v>
      </c>
    </row>
    <row r="33" spans="4:5" x14ac:dyDescent="0.25">
      <c r="D33" s="7">
        <v>-3000000</v>
      </c>
      <c r="E33" t="s">
        <v>260</v>
      </c>
    </row>
    <row r="34" spans="4:5" x14ac:dyDescent="0.25">
      <c r="D34" s="7">
        <v>-150000</v>
      </c>
      <c r="E34" t="s">
        <v>265</v>
      </c>
    </row>
    <row r="35" spans="4:5" x14ac:dyDescent="0.25">
      <c r="D35" s="7">
        <v>350000</v>
      </c>
      <c r="E35" t="s">
        <v>266</v>
      </c>
    </row>
    <row r="36" spans="4:5" x14ac:dyDescent="0.25">
      <c r="D36" s="7">
        <v>-50000</v>
      </c>
      <c r="E36" t="s">
        <v>303</v>
      </c>
    </row>
    <row r="37" spans="4:5" x14ac:dyDescent="0.25">
      <c r="D37" s="7">
        <v>242000</v>
      </c>
      <c r="E37" t="s">
        <v>324</v>
      </c>
    </row>
    <row r="38" spans="4:5" x14ac:dyDescent="0.25">
      <c r="D38" s="7">
        <v>-40000</v>
      </c>
      <c r="E38" t="s">
        <v>330</v>
      </c>
    </row>
    <row r="39" spans="4:5" x14ac:dyDescent="0.25">
      <c r="D39" s="7">
        <v>200000</v>
      </c>
      <c r="E39" t="s">
        <v>340</v>
      </c>
    </row>
    <row r="40" spans="4:5" x14ac:dyDescent="0.25">
      <c r="D40" s="7">
        <v>73500</v>
      </c>
      <c r="E40" t="s">
        <v>341</v>
      </c>
    </row>
    <row r="41" spans="4:5" x14ac:dyDescent="0.25">
      <c r="D41" s="7">
        <v>-67000</v>
      </c>
      <c r="E41" t="s">
        <v>342</v>
      </c>
    </row>
    <row r="42" spans="4:5" x14ac:dyDescent="0.25">
      <c r="D42" s="7">
        <v>9000000</v>
      </c>
      <c r="E42" t="s">
        <v>343</v>
      </c>
    </row>
    <row r="43" spans="4:5" x14ac:dyDescent="0.25">
      <c r="D43" s="7"/>
    </row>
    <row r="44" spans="4:5" x14ac:dyDescent="0.25">
      <c r="D44" s="7"/>
    </row>
    <row r="45" spans="4:5" x14ac:dyDescent="0.25">
      <c r="D45" s="7">
        <f>SUM(D30:D42)</f>
        <v>13241802</v>
      </c>
      <c r="E45" t="s">
        <v>6</v>
      </c>
    </row>
    <row r="46" spans="4:5" x14ac:dyDescent="0.25">
      <c r="D46" s="7"/>
    </row>
    <row r="47" spans="4:5" x14ac:dyDescent="0.25">
      <c r="D47" s="7"/>
    </row>
    <row r="48" spans="4:5" x14ac:dyDescent="0.25">
      <c r="D48" s="7"/>
    </row>
    <row r="49" spans="4:5" x14ac:dyDescent="0.25">
      <c r="D49" s="7"/>
    </row>
    <row r="50" spans="4:5" x14ac:dyDescent="0.25">
      <c r="D50" s="7"/>
    </row>
    <row r="51" spans="4:5" x14ac:dyDescent="0.25">
      <c r="D51" s="7"/>
      <c r="E51" s="22"/>
    </row>
    <row r="52" spans="4:5" x14ac:dyDescent="0.25">
      <c r="D52" s="7"/>
    </row>
    <row r="53" spans="4:5" x14ac:dyDescent="0.25">
      <c r="D53" s="7"/>
    </row>
    <row r="54" spans="4:5" x14ac:dyDescent="0.25">
      <c r="D54" s="7"/>
    </row>
    <row r="55" spans="4:5" x14ac:dyDescent="0.25">
      <c r="D55" s="7"/>
    </row>
    <row r="56" spans="4:5" x14ac:dyDescent="0.25">
      <c r="D56" s="7"/>
    </row>
    <row r="57" spans="4:5" x14ac:dyDescent="0.25">
      <c r="D57" s="7"/>
    </row>
    <row r="58" spans="4:5" x14ac:dyDescent="0.25">
      <c r="D58" s="7"/>
    </row>
    <row r="59" spans="4:5" x14ac:dyDescent="0.25">
      <c r="D59" s="7"/>
      <c r="E59" t="s">
        <v>25</v>
      </c>
    </row>
    <row r="60" spans="4:5" x14ac:dyDescent="0.25">
      <c r="D60" s="7"/>
    </row>
    <row r="61" spans="4:5" x14ac:dyDescent="0.25">
      <c r="D61" s="7"/>
    </row>
    <row r="62" spans="4:5" x14ac:dyDescent="0.25">
      <c r="D62" s="7"/>
    </row>
    <row r="63" spans="4:5" x14ac:dyDescent="0.25">
      <c r="D63" s="7" t="s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topLeftCell="D13" workbookViewId="0">
      <selection activeCell="G30" sqref="G30"/>
    </sheetView>
  </sheetViews>
  <sheetFormatPr defaultRowHeight="15" x14ac:dyDescent="0.25"/>
  <cols>
    <col min="1" max="1" width="10.7109375" bestFit="1" customWidth="1"/>
    <col min="2" max="3" width="16.140625" bestFit="1" customWidth="1"/>
    <col min="4" max="4" width="16.85546875" bestFit="1" customWidth="1"/>
    <col min="5" max="5" width="87.42578125" customWidth="1"/>
    <col min="6" max="6" width="18.85546875" bestFit="1" customWidth="1"/>
    <col min="7" max="7" width="15" bestFit="1" customWidth="1"/>
    <col min="8" max="9" width="12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261</v>
      </c>
      <c r="B2" s="3">
        <f>'بهمن 95'!B24</f>
        <v>10894034</v>
      </c>
      <c r="C2" s="1">
        <f>'بهمن 95'!C24</f>
        <v>10894034</v>
      </c>
      <c r="D2" s="3">
        <f>B2-C2</f>
        <v>0</v>
      </c>
      <c r="E2" s="2" t="s">
        <v>59</v>
      </c>
      <c r="F2">
        <v>30</v>
      </c>
      <c r="G2">
        <f>B2*F2</f>
        <v>326821020</v>
      </c>
      <c r="H2">
        <f>C2*F2</f>
        <v>326821020</v>
      </c>
      <c r="I2">
        <f>D2*F2</f>
        <v>0</v>
      </c>
      <c r="O2">
        <v>1</v>
      </c>
      <c r="P2">
        <v>29</v>
      </c>
      <c r="Q2">
        <v>30</v>
      </c>
    </row>
    <row r="3" spans="1:17" x14ac:dyDescent="0.25">
      <c r="A3" s="20" t="s">
        <v>404</v>
      </c>
      <c r="B3" s="18">
        <v>90494</v>
      </c>
      <c r="C3" s="18">
        <v>75115</v>
      </c>
      <c r="D3" s="3">
        <f t="shared" ref="D3:D22" si="0">B3-C3</f>
        <v>15379</v>
      </c>
      <c r="E3" s="23" t="s">
        <v>401</v>
      </c>
      <c r="F3">
        <v>29</v>
      </c>
      <c r="G3">
        <f t="shared" ref="G3:G23" si="1">B3*F3</f>
        <v>2624326</v>
      </c>
      <c r="H3">
        <f t="shared" ref="H3:H23" si="2">C3*F3</f>
        <v>2178335</v>
      </c>
      <c r="I3">
        <f t="shared" ref="I3:I23" si="3">D3*F3</f>
        <v>445991</v>
      </c>
      <c r="O3">
        <v>2</v>
      </c>
      <c r="P3">
        <v>28</v>
      </c>
      <c r="Q3">
        <v>29</v>
      </c>
    </row>
    <row r="4" spans="1:17" x14ac:dyDescent="0.25">
      <c r="A4" s="20" t="s">
        <v>410</v>
      </c>
      <c r="B4" s="18">
        <v>-1700700</v>
      </c>
      <c r="C4" s="18">
        <v>0</v>
      </c>
      <c r="D4" s="3">
        <f t="shared" si="0"/>
        <v>-1700700</v>
      </c>
      <c r="E4" s="20" t="s">
        <v>416</v>
      </c>
      <c r="F4">
        <v>28</v>
      </c>
      <c r="G4">
        <f t="shared" si="1"/>
        <v>-47619600</v>
      </c>
      <c r="H4">
        <f t="shared" si="2"/>
        <v>0</v>
      </c>
      <c r="I4">
        <f t="shared" si="3"/>
        <v>-47619600</v>
      </c>
      <c r="O4">
        <v>3</v>
      </c>
      <c r="P4">
        <v>27</v>
      </c>
      <c r="Q4">
        <v>28</v>
      </c>
    </row>
    <row r="5" spans="1:17" x14ac:dyDescent="0.25">
      <c r="A5" s="30" t="s">
        <v>428</v>
      </c>
      <c r="B5" s="18">
        <v>-1000500</v>
      </c>
      <c r="C5" s="18">
        <v>0</v>
      </c>
      <c r="D5" s="3">
        <f t="shared" si="0"/>
        <v>-1000500</v>
      </c>
      <c r="E5" s="20" t="s">
        <v>429</v>
      </c>
      <c r="F5">
        <v>24</v>
      </c>
      <c r="G5">
        <f t="shared" si="1"/>
        <v>-24012000</v>
      </c>
      <c r="H5">
        <f t="shared" si="2"/>
        <v>0</v>
      </c>
      <c r="I5">
        <f t="shared" si="3"/>
        <v>-24012000</v>
      </c>
      <c r="O5">
        <v>4</v>
      </c>
      <c r="P5">
        <v>26</v>
      </c>
      <c r="Q5">
        <v>27</v>
      </c>
    </row>
    <row r="6" spans="1:17" x14ac:dyDescent="0.25">
      <c r="A6" s="17" t="s">
        <v>440</v>
      </c>
      <c r="B6" s="18">
        <v>20000000</v>
      </c>
      <c r="C6" s="18">
        <v>0</v>
      </c>
      <c r="D6" s="3">
        <f t="shared" si="0"/>
        <v>20000000</v>
      </c>
      <c r="E6" s="19" t="s">
        <v>441</v>
      </c>
      <c r="F6">
        <v>20</v>
      </c>
      <c r="G6">
        <f t="shared" si="1"/>
        <v>400000000</v>
      </c>
      <c r="H6">
        <f t="shared" si="2"/>
        <v>0</v>
      </c>
      <c r="I6">
        <f t="shared" si="3"/>
        <v>400000000</v>
      </c>
      <c r="O6">
        <v>5</v>
      </c>
      <c r="P6">
        <v>25</v>
      </c>
      <c r="Q6">
        <v>26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24</v>
      </c>
      <c r="Q7">
        <v>25</v>
      </c>
    </row>
    <row r="8" spans="1:17" x14ac:dyDescent="0.25">
      <c r="A8" s="17" t="s">
        <v>344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23</v>
      </c>
      <c r="Q8">
        <v>24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28283328</v>
      </c>
      <c r="C24" s="3">
        <f>SUM(C2:C22)</f>
        <v>10969149</v>
      </c>
      <c r="D24" s="3">
        <f>SUM(D2:D22)</f>
        <v>17314179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657813746</v>
      </c>
      <c r="H25">
        <f>SUM(H2:H23)</f>
        <v>328999355</v>
      </c>
      <c r="I25">
        <f>SUM(I2:I23)</f>
        <v>328814391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D29" s="41"/>
      <c r="E29" s="41" t="s">
        <v>85</v>
      </c>
      <c r="O29">
        <v>28</v>
      </c>
      <c r="P29">
        <v>2</v>
      </c>
      <c r="Q29">
        <v>3</v>
      </c>
    </row>
    <row r="30" spans="1:17" x14ac:dyDescent="0.25">
      <c r="D30" s="42">
        <v>13241802</v>
      </c>
      <c r="E30" s="41" t="s">
        <v>95</v>
      </c>
      <c r="G30" s="1">
        <v>174678</v>
      </c>
      <c r="H30" s="1">
        <f>G30*H25/G25</f>
        <v>87363.557970845446</v>
      </c>
      <c r="I30" s="1">
        <f>G30*I25/G25</f>
        <v>87314.442029154554</v>
      </c>
      <c r="O30">
        <v>29</v>
      </c>
      <c r="P30">
        <v>1</v>
      </c>
      <c r="Q30">
        <v>2</v>
      </c>
    </row>
    <row r="31" spans="1:17" x14ac:dyDescent="0.25">
      <c r="D31" s="42">
        <v>-3000000</v>
      </c>
      <c r="E31" s="41" t="s">
        <v>407</v>
      </c>
      <c r="G31" s="9" t="s">
        <v>409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42">
        <v>1750000</v>
      </c>
      <c r="E32" s="41" t="s">
        <v>408</v>
      </c>
      <c r="P32" t="s">
        <v>60</v>
      </c>
      <c r="Q32" t="s">
        <v>61</v>
      </c>
    </row>
    <row r="33" spans="4:7" x14ac:dyDescent="0.25">
      <c r="D33" s="42">
        <v>8100000</v>
      </c>
      <c r="E33" s="41" t="s">
        <v>417</v>
      </c>
    </row>
    <row r="34" spans="4:7" x14ac:dyDescent="0.25">
      <c r="D34" s="42">
        <v>595000</v>
      </c>
      <c r="E34" s="41" t="s">
        <v>418</v>
      </c>
    </row>
    <row r="35" spans="4:7" x14ac:dyDescent="0.25">
      <c r="D35" s="42">
        <v>-1210000</v>
      </c>
      <c r="E35" s="41" t="s">
        <v>419</v>
      </c>
    </row>
    <row r="36" spans="4:7" x14ac:dyDescent="0.25">
      <c r="D36" s="42">
        <v>-22000000</v>
      </c>
      <c r="E36" s="40" t="s">
        <v>420</v>
      </c>
    </row>
    <row r="37" spans="4:7" x14ac:dyDescent="0.25">
      <c r="D37" s="42">
        <v>3000000</v>
      </c>
      <c r="E37" s="41" t="s">
        <v>421</v>
      </c>
    </row>
    <row r="38" spans="4:7" x14ac:dyDescent="0.25">
      <c r="D38" s="7">
        <v>3000000</v>
      </c>
      <c r="E38" s="41" t="s">
        <v>424</v>
      </c>
      <c r="G38">
        <f>G25*11/36500</f>
        <v>198245.23852054795</v>
      </c>
    </row>
    <row r="39" spans="4:7" x14ac:dyDescent="0.25">
      <c r="D39" s="7">
        <v>-6000000</v>
      </c>
      <c r="E39" s="41" t="s">
        <v>434</v>
      </c>
    </row>
    <row r="40" spans="4:7" x14ac:dyDescent="0.25">
      <c r="D40" s="7">
        <v>6000000</v>
      </c>
      <c r="E40" s="41" t="s">
        <v>438</v>
      </c>
    </row>
    <row r="41" spans="4:7" x14ac:dyDescent="0.25">
      <c r="D41" s="7">
        <v>120000</v>
      </c>
      <c r="E41" s="41" t="s">
        <v>439</v>
      </c>
    </row>
    <row r="42" spans="4:7" x14ac:dyDescent="0.25">
      <c r="D42" s="7">
        <v>-100000</v>
      </c>
      <c r="E42" s="41" t="s">
        <v>167</v>
      </c>
    </row>
    <row r="43" spans="4:7" x14ac:dyDescent="0.25">
      <c r="D43" s="7">
        <v>200000</v>
      </c>
      <c r="E43" s="41" t="s">
        <v>446</v>
      </c>
    </row>
    <row r="44" spans="4:7" x14ac:dyDescent="0.25">
      <c r="D44" s="7">
        <v>50000</v>
      </c>
      <c r="E44" s="41" t="s">
        <v>458</v>
      </c>
    </row>
    <row r="45" spans="4:7" x14ac:dyDescent="0.25">
      <c r="D45" s="7">
        <v>-102000</v>
      </c>
      <c r="E45" s="41" t="s">
        <v>464</v>
      </c>
    </row>
    <row r="46" spans="4:7" x14ac:dyDescent="0.25">
      <c r="D46" s="7">
        <v>660000</v>
      </c>
      <c r="E46" s="41" t="s">
        <v>465</v>
      </c>
    </row>
    <row r="47" spans="4:7" x14ac:dyDescent="0.25">
      <c r="D47" s="7">
        <v>1000000</v>
      </c>
      <c r="E47" s="41" t="s">
        <v>468</v>
      </c>
    </row>
    <row r="48" spans="4:7" x14ac:dyDescent="0.25">
      <c r="D48" s="7">
        <v>-509000</v>
      </c>
      <c r="E48" s="41" t="s">
        <v>469</v>
      </c>
    </row>
    <row r="49" spans="4:5" x14ac:dyDescent="0.25">
      <c r="D49" s="7">
        <v>-168500</v>
      </c>
      <c r="E49" s="41" t="s">
        <v>470</v>
      </c>
    </row>
    <row r="50" spans="4:5" x14ac:dyDescent="0.25">
      <c r="D50" s="7"/>
      <c r="E50" s="41"/>
    </row>
    <row r="51" spans="4:5" x14ac:dyDescent="0.25">
      <c r="D51" s="7"/>
      <c r="E51" s="41"/>
    </row>
    <row r="52" spans="4:5" x14ac:dyDescent="0.25">
      <c r="D52" s="7"/>
      <c r="E52" s="41" t="s">
        <v>25</v>
      </c>
    </row>
    <row r="53" spans="4:5" x14ac:dyDescent="0.25">
      <c r="D53" s="7"/>
      <c r="E53" s="41" t="s">
        <v>25</v>
      </c>
    </row>
    <row r="54" spans="4:5" x14ac:dyDescent="0.25">
      <c r="D54" s="7" t="s">
        <v>25</v>
      </c>
      <c r="E54" s="41" t="s">
        <v>25</v>
      </c>
    </row>
    <row r="55" spans="4:5" x14ac:dyDescent="0.25">
      <c r="D55" s="7">
        <f>SUM(D30:D54)</f>
        <v>4627302</v>
      </c>
      <c r="E55" t="s">
        <v>6</v>
      </c>
    </row>
    <row r="56" spans="4:5" x14ac:dyDescent="0.25">
      <c r="D56" s="7"/>
    </row>
    <row r="57" spans="4:5" x14ac:dyDescent="0.25">
      <c r="D57" s="7"/>
    </row>
    <row r="58" spans="4:5" x14ac:dyDescent="0.25">
      <c r="D58" s="7"/>
    </row>
    <row r="59" spans="4:5" x14ac:dyDescent="0.25">
      <c r="D59" s="7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workbookViewId="0">
      <selection activeCell="H34" sqref="H34"/>
    </sheetView>
  </sheetViews>
  <sheetFormatPr defaultRowHeight="15" x14ac:dyDescent="0.25"/>
  <cols>
    <col min="1" max="1" width="10.7109375" bestFit="1" customWidth="1"/>
    <col min="2" max="3" width="16.140625" bestFit="1" customWidth="1"/>
    <col min="4" max="4" width="16.85546875" bestFit="1" customWidth="1"/>
    <col min="5" max="5" width="57.7109375" customWidth="1"/>
    <col min="6" max="6" width="22.5703125" bestFit="1" customWidth="1"/>
    <col min="7" max="7" width="15" bestFit="1" customWidth="1"/>
    <col min="8" max="8" width="12.42578125" bestFit="1" customWidth="1"/>
    <col min="9" max="9" width="12" bestFit="1" customWidth="1"/>
    <col min="10" max="10" width="9.85546875" bestFit="1" customWidth="1"/>
    <col min="11" max="11" width="10" bestFit="1" customWidth="1"/>
    <col min="12" max="12" width="12" bestFit="1" customWidth="1"/>
    <col min="13" max="13" width="12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261</v>
      </c>
      <c r="B2" s="3">
        <f>'اسفند 95'!B24</f>
        <v>28283328</v>
      </c>
      <c r="C2" s="1">
        <f>'اسفند 95'!C24</f>
        <v>10969149</v>
      </c>
      <c r="D2" s="3">
        <f>B2-C2</f>
        <v>17314179</v>
      </c>
      <c r="E2" s="2" t="s">
        <v>59</v>
      </c>
      <c r="F2">
        <v>31</v>
      </c>
      <c r="G2">
        <f>B2*F2</f>
        <v>876783168</v>
      </c>
      <c r="H2">
        <f>C2*F2</f>
        <v>340043619</v>
      </c>
      <c r="I2">
        <f>D2*F2</f>
        <v>536739549</v>
      </c>
      <c r="O2">
        <v>1</v>
      </c>
      <c r="P2">
        <v>30</v>
      </c>
      <c r="Q2">
        <v>31</v>
      </c>
    </row>
    <row r="3" spans="1:17" x14ac:dyDescent="0.25">
      <c r="A3" s="20" t="s">
        <v>491</v>
      </c>
      <c r="B3" s="39">
        <v>174678</v>
      </c>
      <c r="C3" s="39">
        <v>87363</v>
      </c>
      <c r="D3" s="35">
        <f t="shared" ref="D3:D22" si="0">B3-C3</f>
        <v>87315</v>
      </c>
      <c r="E3" s="23" t="s">
        <v>474</v>
      </c>
      <c r="F3">
        <v>30</v>
      </c>
      <c r="G3">
        <f t="shared" ref="G3:G23" si="1">B3*F3</f>
        <v>5240340</v>
      </c>
      <c r="H3">
        <f t="shared" ref="H3:H23" si="2">C3*F3</f>
        <v>2620890</v>
      </c>
      <c r="I3">
        <f t="shared" ref="I3:I23" si="3">D3*F3</f>
        <v>2619450</v>
      </c>
      <c r="O3">
        <v>2</v>
      </c>
      <c r="P3">
        <v>29</v>
      </c>
      <c r="Q3">
        <v>30</v>
      </c>
    </row>
    <row r="4" spans="1:17" x14ac:dyDescent="0.25">
      <c r="A4" s="20" t="s">
        <v>496</v>
      </c>
      <c r="B4" s="18">
        <v>-28400000</v>
      </c>
      <c r="C4" s="18">
        <v>0</v>
      </c>
      <c r="D4" s="3">
        <f t="shared" si="0"/>
        <v>-28400000</v>
      </c>
      <c r="E4" s="20" t="s">
        <v>497</v>
      </c>
      <c r="F4">
        <v>15</v>
      </c>
      <c r="G4">
        <f t="shared" si="1"/>
        <v>-426000000</v>
      </c>
      <c r="H4">
        <f t="shared" si="2"/>
        <v>0</v>
      </c>
      <c r="I4">
        <f t="shared" si="3"/>
        <v>-426000000</v>
      </c>
      <c r="O4">
        <v>3</v>
      </c>
      <c r="P4">
        <v>28</v>
      </c>
      <c r="Q4">
        <v>29</v>
      </c>
    </row>
    <row r="5" spans="1:17" x14ac:dyDescent="0.25">
      <c r="A5" s="30" t="s">
        <v>428</v>
      </c>
      <c r="B5" s="18">
        <v>0</v>
      </c>
      <c r="C5" s="18">
        <v>0</v>
      </c>
      <c r="D5" s="3">
        <f t="shared" si="0"/>
        <v>0</v>
      </c>
      <c r="E5" s="20"/>
      <c r="F5">
        <v>24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 x14ac:dyDescent="0.25">
      <c r="A6" s="17" t="s">
        <v>440</v>
      </c>
      <c r="B6" s="18">
        <v>0</v>
      </c>
      <c r="C6" s="18">
        <v>0</v>
      </c>
      <c r="D6" s="3">
        <f t="shared" si="0"/>
        <v>0</v>
      </c>
      <c r="E6" s="19"/>
      <c r="F6">
        <v>20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 t="s">
        <v>344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 t="s">
        <v>6</v>
      </c>
      <c r="B24" s="3">
        <f>SUM(B2:B22)</f>
        <v>58006</v>
      </c>
      <c r="C24" s="3">
        <f>SUM(C2:C22)</f>
        <v>11056512</v>
      </c>
      <c r="D24" s="3">
        <f>SUM(D2:D22)</f>
        <v>-10998506</v>
      </c>
      <c r="E24" s="2"/>
      <c r="O24">
        <v>23</v>
      </c>
      <c r="P24">
        <v>8</v>
      </c>
      <c r="Q24">
        <v>9</v>
      </c>
    </row>
    <row r="25" spans="1:17" x14ac:dyDescent="0.25">
      <c r="G25">
        <f>SUM(G2:G23)</f>
        <v>456023508</v>
      </c>
      <c r="H25">
        <f>SUM(H2:H23)</f>
        <v>342664509</v>
      </c>
      <c r="I25">
        <f>SUM(I2:I23)</f>
        <v>113358999</v>
      </c>
      <c r="O25">
        <v>24</v>
      </c>
      <c r="P25">
        <v>7</v>
      </c>
      <c r="Q25">
        <v>8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 x14ac:dyDescent="0.25">
      <c r="O27">
        <v>26</v>
      </c>
      <c r="P27">
        <v>5</v>
      </c>
      <c r="Q27">
        <v>6</v>
      </c>
    </row>
    <row r="28" spans="1:17" x14ac:dyDescent="0.25">
      <c r="F28" t="s">
        <v>25</v>
      </c>
      <c r="O28">
        <v>27</v>
      </c>
      <c r="P28">
        <v>4</v>
      </c>
      <c r="Q28">
        <v>5</v>
      </c>
    </row>
    <row r="29" spans="1:17" x14ac:dyDescent="0.25">
      <c r="D29" s="41"/>
      <c r="E29" s="41" t="s">
        <v>85</v>
      </c>
      <c r="O29">
        <v>28</v>
      </c>
      <c r="P29">
        <v>3</v>
      </c>
      <c r="Q29">
        <v>4</v>
      </c>
    </row>
    <row r="30" spans="1:17" x14ac:dyDescent="0.25">
      <c r="D30" s="42">
        <v>4627302</v>
      </c>
      <c r="E30" s="41" t="s">
        <v>95</v>
      </c>
      <c r="G30" s="1">
        <v>163040</v>
      </c>
      <c r="H30" s="1">
        <f>G30*H25/G25</f>
        <v>122511.27533399002</v>
      </c>
      <c r="I30" s="1">
        <f>G30*I25/G25</f>
        <v>40528.724666009985</v>
      </c>
      <c r="O30">
        <v>29</v>
      </c>
      <c r="P30">
        <v>2</v>
      </c>
      <c r="Q30">
        <v>3</v>
      </c>
    </row>
    <row r="31" spans="1:17" x14ac:dyDescent="0.25">
      <c r="D31" s="42">
        <v>-110000</v>
      </c>
      <c r="E31" s="41" t="s">
        <v>475</v>
      </c>
      <c r="G31" s="9" t="s">
        <v>409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 x14ac:dyDescent="0.25">
      <c r="B32" s="7"/>
      <c r="D32" s="42">
        <v>220000</v>
      </c>
      <c r="E32" s="41" t="s">
        <v>482</v>
      </c>
      <c r="O32">
        <v>31</v>
      </c>
      <c r="P32">
        <v>0</v>
      </c>
      <c r="Q32">
        <v>1</v>
      </c>
    </row>
    <row r="33" spans="4:17" x14ac:dyDescent="0.25">
      <c r="D33" s="42">
        <v>-450000</v>
      </c>
      <c r="E33" s="41" t="s">
        <v>504</v>
      </c>
      <c r="P33" t="s">
        <v>60</v>
      </c>
      <c r="Q33" t="s">
        <v>61</v>
      </c>
    </row>
    <row r="34" spans="4:17" x14ac:dyDescent="0.25">
      <c r="D34" s="42"/>
      <c r="E34" s="41"/>
    </row>
    <row r="35" spans="4:17" x14ac:dyDescent="0.25">
      <c r="D35" s="42"/>
      <c r="E35" s="41"/>
    </row>
    <row r="36" spans="4:17" x14ac:dyDescent="0.25">
      <c r="D36" s="42"/>
      <c r="E36" s="40"/>
    </row>
    <row r="37" spans="4:17" x14ac:dyDescent="0.25">
      <c r="D37" s="42"/>
      <c r="E37" s="41"/>
    </row>
    <row r="38" spans="4:17" x14ac:dyDescent="0.25">
      <c r="D38" s="7"/>
      <c r="E38" s="41"/>
    </row>
    <row r="39" spans="4:17" x14ac:dyDescent="0.25">
      <c r="D39" s="7"/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/>
      <c r="E42" s="41"/>
    </row>
    <row r="43" spans="4:17" x14ac:dyDescent="0.25">
      <c r="D43" s="7">
        <f>SUM(D30:D40)</f>
        <v>4287302</v>
      </c>
      <c r="E43" t="s">
        <v>6</v>
      </c>
    </row>
    <row r="44" spans="4:17" x14ac:dyDescent="0.25">
      <c r="D44" s="7"/>
      <c r="E44" s="41"/>
    </row>
    <row r="45" spans="4:17" x14ac:dyDescent="0.25">
      <c r="D45" s="7"/>
      <c r="E45" s="41"/>
    </row>
    <row r="46" spans="4:17" x14ac:dyDescent="0.25">
      <c r="D46" s="7"/>
      <c r="E46" s="41"/>
    </row>
    <row r="47" spans="4:17" x14ac:dyDescent="0.25">
      <c r="D47" s="7"/>
      <c r="E47" s="41"/>
    </row>
    <row r="48" spans="4:17" x14ac:dyDescent="0.25">
      <c r="D48" s="7"/>
      <c r="E48" s="41"/>
    </row>
    <row r="49" spans="4:5" x14ac:dyDescent="0.25">
      <c r="D49" s="7"/>
      <c r="E49" s="41"/>
    </row>
    <row r="50" spans="4:5" x14ac:dyDescent="0.25">
      <c r="D50" s="7"/>
      <c r="E50" s="41"/>
    </row>
    <row r="51" spans="4:5" x14ac:dyDescent="0.25">
      <c r="D51" s="7"/>
      <c r="E51" s="41"/>
    </row>
    <row r="52" spans="4:5" x14ac:dyDescent="0.25">
      <c r="D52" s="7"/>
      <c r="E52" s="41" t="s">
        <v>25</v>
      </c>
    </row>
    <row r="53" spans="4:5" x14ac:dyDescent="0.25">
      <c r="D53" s="7"/>
      <c r="E53" s="41" t="s">
        <v>25</v>
      </c>
    </row>
    <row r="54" spans="4:5" x14ac:dyDescent="0.25">
      <c r="D54" s="7" t="s">
        <v>25</v>
      </c>
      <c r="E54" s="41" t="s">
        <v>25</v>
      </c>
    </row>
    <row r="56" spans="4:5" x14ac:dyDescent="0.25">
      <c r="D56" s="7"/>
    </row>
    <row r="57" spans="4:5" x14ac:dyDescent="0.25">
      <c r="D57" s="7"/>
    </row>
    <row r="58" spans="4:5" x14ac:dyDescent="0.25">
      <c r="D58" s="7"/>
    </row>
    <row r="59" spans="4:5" x14ac:dyDescent="0.25">
      <c r="D59" s="7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opLeftCell="A10" workbookViewId="0">
      <selection activeCell="M26" sqref="M26"/>
    </sheetView>
  </sheetViews>
  <sheetFormatPr defaultRowHeight="15" x14ac:dyDescent="0.25"/>
  <cols>
    <col min="1" max="1" width="10.7109375" bestFit="1" customWidth="1"/>
    <col min="2" max="2" width="15.85546875" bestFit="1" customWidth="1"/>
    <col min="3" max="3" width="16.140625" bestFit="1" customWidth="1"/>
    <col min="4" max="4" width="16.85546875" bestFit="1" customWidth="1"/>
    <col min="5" max="5" width="40.7109375" bestFit="1" customWidth="1"/>
    <col min="6" max="6" width="18.85546875" bestFit="1" customWidth="1"/>
    <col min="7" max="7" width="10.7109375" bestFit="1" customWidth="1"/>
    <col min="8" max="8" width="12.42578125" bestFit="1" customWidth="1"/>
    <col min="9" max="9" width="13.28515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261</v>
      </c>
      <c r="B2" s="3">
        <f>'فروردین 96'!B24</f>
        <v>58006</v>
      </c>
      <c r="C2" s="1">
        <f>'فروردین 96'!C24</f>
        <v>11056512</v>
      </c>
      <c r="D2" s="3">
        <f>B2-C2</f>
        <v>-10998506</v>
      </c>
      <c r="E2" s="2" t="s">
        <v>59</v>
      </c>
      <c r="F2">
        <v>31</v>
      </c>
      <c r="G2">
        <f>B2*F2</f>
        <v>1798186</v>
      </c>
      <c r="H2">
        <f>C2*F2</f>
        <v>342751872</v>
      </c>
      <c r="I2">
        <f>D2*F2</f>
        <v>-340953686</v>
      </c>
      <c r="O2">
        <v>1</v>
      </c>
      <c r="P2">
        <v>30</v>
      </c>
      <c r="Q2">
        <v>31</v>
      </c>
    </row>
    <row r="3" spans="1:17" x14ac:dyDescent="0.25">
      <c r="A3" s="20" t="s">
        <v>510</v>
      </c>
      <c r="B3" s="39">
        <v>163040</v>
      </c>
      <c r="C3" s="39">
        <v>122511</v>
      </c>
      <c r="D3" s="35">
        <f t="shared" ref="D3:D23" si="0">B3-C3</f>
        <v>40529</v>
      </c>
      <c r="E3" s="23" t="s">
        <v>514</v>
      </c>
      <c r="F3">
        <v>30</v>
      </c>
      <c r="G3">
        <f t="shared" ref="G3:G24" si="1">B3*F3</f>
        <v>4891200</v>
      </c>
      <c r="H3">
        <f t="shared" ref="H3:H24" si="2">C3*F3</f>
        <v>3675330</v>
      </c>
      <c r="I3">
        <f t="shared" ref="I3:I24" si="3">D3*F3</f>
        <v>1215870</v>
      </c>
      <c r="O3">
        <v>2</v>
      </c>
      <c r="P3">
        <v>29</v>
      </c>
      <c r="Q3">
        <v>30</v>
      </c>
    </row>
    <row r="4" spans="1:17" x14ac:dyDescent="0.25">
      <c r="A4" s="20" t="s">
        <v>510</v>
      </c>
      <c r="B4" s="18">
        <v>-5700</v>
      </c>
      <c r="C4" s="18">
        <v>-2500</v>
      </c>
      <c r="D4" s="3">
        <f t="shared" si="0"/>
        <v>-3200</v>
      </c>
      <c r="E4" s="19" t="s">
        <v>513</v>
      </c>
      <c r="F4">
        <v>31</v>
      </c>
      <c r="G4">
        <f t="shared" si="1"/>
        <v>-176700</v>
      </c>
      <c r="H4">
        <f t="shared" si="2"/>
        <v>-77500</v>
      </c>
      <c r="I4">
        <f t="shared" si="3"/>
        <v>-99200</v>
      </c>
      <c r="O4">
        <v>3</v>
      </c>
      <c r="P4">
        <v>28</v>
      </c>
      <c r="Q4">
        <v>29</v>
      </c>
    </row>
    <row r="5" spans="1:17" x14ac:dyDescent="0.25">
      <c r="A5" s="20" t="s">
        <v>527</v>
      </c>
      <c r="B5" s="18">
        <v>0</v>
      </c>
      <c r="C5" s="18">
        <v>500000</v>
      </c>
      <c r="D5" s="3">
        <f t="shared" si="0"/>
        <v>-500000</v>
      </c>
      <c r="E5" s="20" t="s">
        <v>528</v>
      </c>
      <c r="F5">
        <v>17</v>
      </c>
      <c r="G5">
        <f t="shared" si="1"/>
        <v>0</v>
      </c>
      <c r="H5">
        <f t="shared" si="2"/>
        <v>8500000</v>
      </c>
      <c r="I5">
        <f t="shared" si="3"/>
        <v>-8500000</v>
      </c>
      <c r="O5">
        <v>4</v>
      </c>
      <c r="P5">
        <v>27</v>
      </c>
      <c r="Q5">
        <v>28</v>
      </c>
    </row>
    <row r="6" spans="1:17" x14ac:dyDescent="0.25">
      <c r="A6" s="30" t="s">
        <v>533</v>
      </c>
      <c r="B6" s="18">
        <v>-160000</v>
      </c>
      <c r="C6" s="18">
        <v>0</v>
      </c>
      <c r="D6" s="3">
        <f t="shared" si="0"/>
        <v>-160000</v>
      </c>
      <c r="E6" s="20" t="s">
        <v>534</v>
      </c>
      <c r="F6">
        <v>10</v>
      </c>
      <c r="G6">
        <f t="shared" si="1"/>
        <v>-1600000</v>
      </c>
      <c r="H6">
        <f t="shared" si="2"/>
        <v>0</v>
      </c>
      <c r="I6">
        <f t="shared" si="3"/>
        <v>-1600000</v>
      </c>
      <c r="O6">
        <v>5</v>
      </c>
      <c r="P6">
        <v>26</v>
      </c>
      <c r="Q6">
        <v>27</v>
      </c>
    </row>
    <row r="7" spans="1:17" x14ac:dyDescent="0.25">
      <c r="A7" s="17" t="s">
        <v>440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 t="s">
        <v>344</v>
      </c>
      <c r="B9" s="18">
        <v>0</v>
      </c>
      <c r="C9" s="18">
        <v>0</v>
      </c>
      <c r="D9" s="3">
        <f t="shared" si="0"/>
        <v>0</v>
      </c>
      <c r="E9" s="19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21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K10" t="s">
        <v>25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17">
        <v>0</v>
      </c>
      <c r="B12" s="18">
        <v>0</v>
      </c>
      <c r="C12" s="18">
        <v>0</v>
      </c>
      <c r="D12" s="3">
        <f t="shared" si="0"/>
        <v>0</v>
      </c>
      <c r="E12" s="19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 t="shared" si="1"/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>B14*F14</f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>
        <v>0</v>
      </c>
      <c r="B18" s="18">
        <v>0</v>
      </c>
      <c r="C18" s="18">
        <v>0</v>
      </c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20"/>
      <c r="B20" s="18"/>
      <c r="C20" s="18"/>
      <c r="D20" s="3">
        <f t="shared" si="0"/>
        <v>0</v>
      </c>
      <c r="E20" s="20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19"/>
      <c r="B23" s="18"/>
      <c r="C23" s="18"/>
      <c r="D23" s="3">
        <f t="shared" si="0"/>
        <v>0</v>
      </c>
      <c r="E23" s="19"/>
      <c r="F23">
        <v>0</v>
      </c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/>
      <c r="B24" s="2"/>
      <c r="C24" s="2"/>
      <c r="D24" s="2"/>
      <c r="E24" s="2"/>
      <c r="G24">
        <f t="shared" si="1"/>
        <v>0</v>
      </c>
      <c r="H24">
        <f t="shared" si="2"/>
        <v>0</v>
      </c>
      <c r="I24">
        <f t="shared" si="3"/>
        <v>0</v>
      </c>
      <c r="O24">
        <v>23</v>
      </c>
      <c r="P24">
        <v>8</v>
      </c>
      <c r="Q24">
        <v>9</v>
      </c>
    </row>
    <row r="25" spans="1:17" x14ac:dyDescent="0.25">
      <c r="A25" s="2" t="s">
        <v>6</v>
      </c>
      <c r="B25" s="3">
        <f>SUM(B2:B23)</f>
        <v>55346</v>
      </c>
      <c r="C25" s="3">
        <f>SUM(C2:C23)</f>
        <v>11676523</v>
      </c>
      <c r="D25" s="3">
        <f>SUM(D2:D23)</f>
        <v>-11621177</v>
      </c>
      <c r="E25" s="2"/>
      <c r="O25">
        <v>24</v>
      </c>
      <c r="P25">
        <v>7</v>
      </c>
      <c r="Q25">
        <v>8</v>
      </c>
    </row>
    <row r="26" spans="1:17" x14ac:dyDescent="0.25">
      <c r="G26">
        <f>SUM(G2:G24)</f>
        <v>4912686</v>
      </c>
      <c r="H26">
        <f>SUM(H2:H24)</f>
        <v>354849702</v>
      </c>
      <c r="I26">
        <f>SUM(I2:I24)</f>
        <v>-349937016</v>
      </c>
      <c r="O26">
        <v>25</v>
      </c>
      <c r="P26">
        <v>6</v>
      </c>
      <c r="Q26">
        <v>7</v>
      </c>
    </row>
    <row r="27" spans="1:17" x14ac:dyDescent="0.25">
      <c r="G27" t="s">
        <v>62</v>
      </c>
      <c r="H27" t="s">
        <v>36</v>
      </c>
      <c r="I27" t="s">
        <v>37</v>
      </c>
      <c r="O27">
        <v>26</v>
      </c>
      <c r="P27">
        <v>5</v>
      </c>
      <c r="Q27">
        <v>6</v>
      </c>
    </row>
    <row r="28" spans="1:17" x14ac:dyDescent="0.25">
      <c r="O28">
        <v>27</v>
      </c>
      <c r="P28">
        <v>4</v>
      </c>
      <c r="Q28">
        <v>5</v>
      </c>
    </row>
    <row r="29" spans="1:17" x14ac:dyDescent="0.25">
      <c r="F29" t="s">
        <v>25</v>
      </c>
      <c r="O29">
        <v>28</v>
      </c>
      <c r="P29">
        <v>3</v>
      </c>
      <c r="Q29">
        <v>4</v>
      </c>
    </row>
    <row r="30" spans="1:17" x14ac:dyDescent="0.25">
      <c r="D30" s="41"/>
      <c r="E30" s="41" t="s">
        <v>85</v>
      </c>
      <c r="O30">
        <v>29</v>
      </c>
      <c r="P30">
        <v>2</v>
      </c>
      <c r="Q30">
        <v>3</v>
      </c>
    </row>
    <row r="31" spans="1:17" x14ac:dyDescent="0.25">
      <c r="D31" s="42">
        <v>4287302</v>
      </c>
      <c r="E31" s="41" t="s">
        <v>95</v>
      </c>
      <c r="G31" s="1">
        <f>G26*11/36500</f>
        <v>1480.535506849315</v>
      </c>
      <c r="H31" s="1">
        <f>G31*H26/G26</f>
        <v>106941.00608219177</v>
      </c>
      <c r="I31" s="1">
        <f>G31*I26/G26</f>
        <v>-105460.47057534246</v>
      </c>
      <c r="O31">
        <v>30</v>
      </c>
      <c r="P31">
        <v>1</v>
      </c>
      <c r="Q31">
        <v>2</v>
      </c>
    </row>
    <row r="32" spans="1:17" ht="30" x14ac:dyDescent="0.25">
      <c r="D32" s="42">
        <v>150000</v>
      </c>
      <c r="E32" s="54" t="s">
        <v>529</v>
      </c>
      <c r="G32" s="9" t="s">
        <v>409</v>
      </c>
      <c r="H32" s="9" t="s">
        <v>38</v>
      </c>
      <c r="I32" s="9" t="s">
        <v>39</v>
      </c>
      <c r="O32">
        <v>31</v>
      </c>
      <c r="P32">
        <v>0</v>
      </c>
      <c r="Q32">
        <v>1</v>
      </c>
    </row>
    <row r="33" spans="2:17" x14ac:dyDescent="0.25">
      <c r="B33" s="7"/>
      <c r="D33" s="42">
        <v>200000</v>
      </c>
      <c r="E33" s="41" t="s">
        <v>530</v>
      </c>
      <c r="P33" t="s">
        <v>60</v>
      </c>
      <c r="Q33" t="s">
        <v>61</v>
      </c>
    </row>
    <row r="34" spans="2:17" x14ac:dyDescent="0.25">
      <c r="D34" s="42">
        <v>620000</v>
      </c>
      <c r="E34" s="41" t="s">
        <v>531</v>
      </c>
    </row>
    <row r="35" spans="2:17" x14ac:dyDescent="0.25">
      <c r="D35" s="42">
        <v>5000</v>
      </c>
      <c r="E35" s="41" t="s">
        <v>530</v>
      </c>
    </row>
    <row r="36" spans="2:17" x14ac:dyDescent="0.25">
      <c r="D36" s="42">
        <v>-800000</v>
      </c>
      <c r="E36" s="41" t="s">
        <v>532</v>
      </c>
    </row>
    <row r="37" spans="2:17" x14ac:dyDescent="0.25">
      <c r="D37" s="42">
        <v>70000</v>
      </c>
      <c r="E37" s="40" t="s">
        <v>100</v>
      </c>
    </row>
    <row r="38" spans="2:17" x14ac:dyDescent="0.25">
      <c r="D38" s="42">
        <v>160000</v>
      </c>
      <c r="E38" s="41" t="s">
        <v>536</v>
      </c>
    </row>
    <row r="39" spans="2:17" x14ac:dyDescent="0.25">
      <c r="D39" s="7">
        <v>200000</v>
      </c>
      <c r="E39" s="41" t="s">
        <v>537</v>
      </c>
    </row>
    <row r="40" spans="2:17" x14ac:dyDescent="0.25">
      <c r="D40" s="7">
        <v>255000</v>
      </c>
      <c r="E40" s="41" t="s">
        <v>542</v>
      </c>
    </row>
    <row r="41" spans="2:17" x14ac:dyDescent="0.25">
      <c r="D41" s="7">
        <v>-200000</v>
      </c>
      <c r="E41" s="41" t="s">
        <v>543</v>
      </c>
    </row>
    <row r="42" spans="2:17" x14ac:dyDescent="0.25">
      <c r="D42" s="7"/>
      <c r="E42" s="41"/>
    </row>
    <row r="43" spans="2:17" x14ac:dyDescent="0.25">
      <c r="D43" s="7"/>
      <c r="E43" s="41"/>
    </row>
    <row r="44" spans="2:17" x14ac:dyDescent="0.25">
      <c r="D44" s="7">
        <f>SUM(D31:D41)</f>
        <v>4947302</v>
      </c>
      <c r="E44" t="s">
        <v>6</v>
      </c>
    </row>
    <row r="45" spans="2:17" x14ac:dyDescent="0.25">
      <c r="D45" s="7"/>
      <c r="E45" s="41"/>
    </row>
    <row r="46" spans="2:17" x14ac:dyDescent="0.25">
      <c r="D46" s="7"/>
      <c r="E46" s="41"/>
    </row>
    <row r="47" spans="2:17" x14ac:dyDescent="0.25">
      <c r="D47" s="7"/>
      <c r="E47" s="41"/>
    </row>
    <row r="48" spans="2:17" x14ac:dyDescent="0.25">
      <c r="D48" s="7"/>
      <c r="E48" s="41"/>
    </row>
    <row r="49" spans="4:5" x14ac:dyDescent="0.25">
      <c r="D49" s="7"/>
      <c r="E49" s="41"/>
    </row>
    <row r="50" spans="4:5" x14ac:dyDescent="0.25">
      <c r="D50" s="7"/>
      <c r="E50" s="4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opLeftCell="A4" workbookViewId="0">
      <selection activeCell="E4" sqref="E4"/>
    </sheetView>
  </sheetViews>
  <sheetFormatPr defaultRowHeight="15" x14ac:dyDescent="0.25"/>
  <cols>
    <col min="1" max="1" width="10.7109375" bestFit="1" customWidth="1"/>
    <col min="2" max="3" width="15.140625" bestFit="1" customWidth="1"/>
    <col min="4" max="4" width="15.85546875" bestFit="1" customWidth="1"/>
    <col min="5" max="5" width="34.85546875" bestFit="1" customWidth="1"/>
    <col min="6" max="6" width="18.85546875" bestFit="1" customWidth="1"/>
    <col min="7" max="8" width="12" bestFit="1" customWidth="1"/>
    <col min="9" max="9" width="12.71093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544</v>
      </c>
      <c r="B2" s="3">
        <f>'اردیبهشت 96'!B25</f>
        <v>55346</v>
      </c>
      <c r="C2" s="1">
        <f>'اردیبهشت 96'!C25</f>
        <v>11676523</v>
      </c>
      <c r="D2" s="3">
        <f>B2-C2</f>
        <v>-11621177</v>
      </c>
      <c r="E2" s="2" t="s">
        <v>59</v>
      </c>
      <c r="F2">
        <v>31</v>
      </c>
      <c r="G2">
        <f>B2*F2</f>
        <v>1715726</v>
      </c>
      <c r="H2">
        <f>C2*F2</f>
        <v>361972213</v>
      </c>
      <c r="I2">
        <f>D2*F2</f>
        <v>-360256487</v>
      </c>
      <c r="O2">
        <v>1</v>
      </c>
      <c r="P2">
        <v>30</v>
      </c>
      <c r="Q2">
        <v>31</v>
      </c>
    </row>
    <row r="3" spans="1:17" x14ac:dyDescent="0.25">
      <c r="A3" s="20" t="s">
        <v>551</v>
      </c>
      <c r="B3" s="39">
        <v>1481</v>
      </c>
      <c r="C3" s="39">
        <v>106941</v>
      </c>
      <c r="D3" s="35">
        <f t="shared" ref="D3:D22" si="0">B3-C3</f>
        <v>-105460</v>
      </c>
      <c r="E3" s="23" t="s">
        <v>554</v>
      </c>
      <c r="F3">
        <v>30</v>
      </c>
      <c r="G3">
        <f t="shared" ref="G3:G23" si="1">B3*F3</f>
        <v>44430</v>
      </c>
      <c r="H3">
        <f t="shared" ref="H3:H23" si="2">C3*F3</f>
        <v>3208230</v>
      </c>
      <c r="I3">
        <f t="shared" ref="I3:I23" si="3">D3*F3</f>
        <v>-3163800</v>
      </c>
      <c r="O3">
        <v>2</v>
      </c>
      <c r="P3">
        <v>29</v>
      </c>
      <c r="Q3">
        <v>30</v>
      </c>
    </row>
    <row r="4" spans="1:17" x14ac:dyDescent="0.25">
      <c r="A4" s="20" t="s">
        <v>578</v>
      </c>
      <c r="B4" s="18">
        <v>39399500</v>
      </c>
      <c r="C4" s="18">
        <v>0</v>
      </c>
      <c r="D4" s="3">
        <f t="shared" si="0"/>
        <v>39399500</v>
      </c>
      <c r="E4" s="20" t="s">
        <v>581</v>
      </c>
      <c r="F4">
        <v>8</v>
      </c>
      <c r="G4">
        <f t="shared" si="1"/>
        <v>315196000</v>
      </c>
      <c r="H4">
        <f t="shared" si="2"/>
        <v>0</v>
      </c>
      <c r="I4">
        <f t="shared" si="3"/>
        <v>315196000</v>
      </c>
      <c r="O4">
        <v>3</v>
      </c>
      <c r="P4">
        <v>28</v>
      </c>
      <c r="Q4">
        <v>29</v>
      </c>
    </row>
    <row r="5" spans="1:17" x14ac:dyDescent="0.25">
      <c r="A5" s="30">
        <v>0</v>
      </c>
      <c r="B5" s="18">
        <v>0</v>
      </c>
      <c r="C5" s="18">
        <v>0</v>
      </c>
      <c r="D5" s="3">
        <f t="shared" si="0"/>
        <v>0</v>
      </c>
      <c r="E5" s="20"/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 x14ac:dyDescent="0.25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 t="s">
        <v>6</v>
      </c>
      <c r="B24" s="3">
        <f>SUM(B2:B22)</f>
        <v>39456327</v>
      </c>
      <c r="C24" s="3">
        <f>SUM(C2:C22)</f>
        <v>11783464</v>
      </c>
      <c r="D24" s="3">
        <f>SUM(D2:D22)</f>
        <v>27672863</v>
      </c>
      <c r="E24" s="2"/>
      <c r="O24">
        <v>23</v>
      </c>
      <c r="P24">
        <v>8</v>
      </c>
      <c r="Q24">
        <v>9</v>
      </c>
    </row>
    <row r="25" spans="1:17" x14ac:dyDescent="0.25">
      <c r="G25">
        <f>SUM(G2:G23)</f>
        <v>316956156</v>
      </c>
      <c r="H25">
        <f>SUM(H2:H23)</f>
        <v>365180443</v>
      </c>
      <c r="I25">
        <f>SUM(I2:I23)</f>
        <v>-48224287</v>
      </c>
      <c r="O25">
        <v>24</v>
      </c>
      <c r="P25">
        <v>7</v>
      </c>
      <c r="Q25">
        <v>8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 x14ac:dyDescent="0.25">
      <c r="O27">
        <v>26</v>
      </c>
      <c r="P27">
        <v>5</v>
      </c>
      <c r="Q27">
        <v>6</v>
      </c>
    </row>
    <row r="28" spans="1:17" x14ac:dyDescent="0.25">
      <c r="F28" t="s">
        <v>25</v>
      </c>
      <c r="O28">
        <v>27</v>
      </c>
      <c r="P28">
        <v>4</v>
      </c>
      <c r="Q28">
        <v>5</v>
      </c>
    </row>
    <row r="29" spans="1:17" x14ac:dyDescent="0.25">
      <c r="D29" s="41"/>
      <c r="E29" s="41" t="s">
        <v>85</v>
      </c>
      <c r="O29">
        <v>28</v>
      </c>
      <c r="P29">
        <v>3</v>
      </c>
      <c r="Q29">
        <v>4</v>
      </c>
    </row>
    <row r="30" spans="1:17" x14ac:dyDescent="0.25">
      <c r="D30" s="42">
        <v>4947302</v>
      </c>
      <c r="E30" s="41" t="s">
        <v>95</v>
      </c>
      <c r="G30" s="9">
        <f>G25*11/36500</f>
        <v>95521.033315068489</v>
      </c>
      <c r="H30" s="9">
        <f>G30*H25/G25</f>
        <v>110054.38008219177</v>
      </c>
      <c r="I30" s="9">
        <f>G30*I25/G25</f>
        <v>-14533.346767123287</v>
      </c>
      <c r="O30">
        <v>29</v>
      </c>
      <c r="P30">
        <v>2</v>
      </c>
      <c r="Q30">
        <v>3</v>
      </c>
    </row>
    <row r="31" spans="1:17" ht="33" customHeight="1" x14ac:dyDescent="0.25">
      <c r="D31" s="42">
        <v>200000</v>
      </c>
      <c r="E31" s="54" t="s">
        <v>555</v>
      </c>
      <c r="G31" s="9" t="s">
        <v>409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 x14ac:dyDescent="0.25">
      <c r="B32" s="7"/>
      <c r="D32" s="42">
        <v>-50000</v>
      </c>
      <c r="E32" s="41" t="s">
        <v>556</v>
      </c>
      <c r="O32">
        <v>31</v>
      </c>
      <c r="P32">
        <v>0</v>
      </c>
      <c r="Q32">
        <v>1</v>
      </c>
    </row>
    <row r="33" spans="4:17" x14ac:dyDescent="0.25">
      <c r="D33" s="42">
        <v>120000</v>
      </c>
      <c r="E33" s="41" t="s">
        <v>557</v>
      </c>
      <c r="P33" t="s">
        <v>60</v>
      </c>
      <c r="Q33" t="s">
        <v>61</v>
      </c>
    </row>
    <row r="34" spans="4:17" x14ac:dyDescent="0.25">
      <c r="D34" s="42">
        <v>-40000</v>
      </c>
      <c r="E34" s="41" t="s">
        <v>558</v>
      </c>
    </row>
    <row r="35" spans="4:17" x14ac:dyDescent="0.25">
      <c r="D35" s="42">
        <v>200000</v>
      </c>
      <c r="E35" s="41" t="s">
        <v>563</v>
      </c>
    </row>
    <row r="36" spans="4:17" x14ac:dyDescent="0.25">
      <c r="D36" s="42">
        <v>1000000</v>
      </c>
      <c r="E36" s="41" t="s">
        <v>577</v>
      </c>
    </row>
    <row r="37" spans="4:17" x14ac:dyDescent="0.25">
      <c r="D37" s="7">
        <v>600000</v>
      </c>
      <c r="E37" s="41" t="s">
        <v>582</v>
      </c>
    </row>
    <row r="38" spans="4:17" x14ac:dyDescent="0.25">
      <c r="D38" s="7">
        <v>-40000</v>
      </c>
      <c r="E38" s="41" t="s">
        <v>587</v>
      </c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6937302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  <row r="45" spans="4:17" x14ac:dyDescent="0.25">
      <c r="D45" s="7"/>
      <c r="E45" s="41"/>
    </row>
    <row r="46" spans="4:17" x14ac:dyDescent="0.25">
      <c r="D46" s="7"/>
      <c r="E46" s="41"/>
    </row>
    <row r="47" spans="4:17" x14ac:dyDescent="0.25">
      <c r="D47" s="7"/>
      <c r="E47" s="41"/>
    </row>
    <row r="48" spans="4:17" x14ac:dyDescent="0.25">
      <c r="D48" s="7"/>
      <c r="E48" s="4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opLeftCell="A7" workbookViewId="0">
      <selection activeCell="E31" sqref="E31"/>
    </sheetView>
  </sheetViews>
  <sheetFormatPr defaultRowHeight="15" x14ac:dyDescent="0.25"/>
  <cols>
    <col min="2" max="3" width="15.140625" bestFit="1" customWidth="1"/>
    <col min="4" max="4" width="15.85546875" bestFit="1" customWidth="1"/>
    <col min="5" max="5" width="47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588</v>
      </c>
      <c r="B2" s="3">
        <f>'خرداد 96'!B24</f>
        <v>39456327</v>
      </c>
      <c r="C2" s="1">
        <f>'خرداد 96'!C24</f>
        <v>11783464</v>
      </c>
      <c r="D2" s="3">
        <f>B2-C2</f>
        <v>27672863</v>
      </c>
      <c r="E2" s="2" t="s">
        <v>59</v>
      </c>
      <c r="F2">
        <v>31</v>
      </c>
      <c r="G2">
        <f>B2*F2</f>
        <v>1223146137</v>
      </c>
      <c r="H2">
        <f>C2*F2</f>
        <v>365287384</v>
      </c>
      <c r="I2">
        <f>D2*F2</f>
        <v>857858753</v>
      </c>
      <c r="O2">
        <v>1</v>
      </c>
      <c r="P2">
        <v>30</v>
      </c>
      <c r="Q2">
        <v>31</v>
      </c>
    </row>
    <row r="3" spans="1:17" x14ac:dyDescent="0.25">
      <c r="A3" s="20" t="s">
        <v>585</v>
      </c>
      <c r="B3" s="39">
        <v>95521</v>
      </c>
      <c r="C3" s="39">
        <v>110054</v>
      </c>
      <c r="D3" s="35">
        <f t="shared" ref="D3:D22" si="0">B3-C3</f>
        <v>-14533</v>
      </c>
      <c r="E3" s="23" t="s">
        <v>589</v>
      </c>
      <c r="F3">
        <v>30</v>
      </c>
      <c r="G3">
        <f t="shared" ref="G3:G23" si="1">B3*F3</f>
        <v>2865630</v>
      </c>
      <c r="H3">
        <f t="shared" ref="H3:H23" si="2">C3*F3</f>
        <v>3301620</v>
      </c>
      <c r="I3">
        <f t="shared" ref="I3:I23" si="3">D3*F3</f>
        <v>-435990</v>
      </c>
      <c r="O3">
        <v>2</v>
      </c>
      <c r="P3">
        <v>29</v>
      </c>
      <c r="Q3">
        <v>30</v>
      </c>
    </row>
    <row r="4" spans="1:17" x14ac:dyDescent="0.25">
      <c r="A4" s="20" t="s">
        <v>596</v>
      </c>
      <c r="B4" s="18">
        <v>2000000</v>
      </c>
      <c r="C4" s="18">
        <v>0</v>
      </c>
      <c r="D4" s="3">
        <f t="shared" si="0"/>
        <v>2000000</v>
      </c>
      <c r="E4" s="20" t="s">
        <v>597</v>
      </c>
      <c r="F4">
        <v>26</v>
      </c>
      <c r="G4">
        <f t="shared" si="1"/>
        <v>52000000</v>
      </c>
      <c r="H4">
        <f t="shared" si="2"/>
        <v>0</v>
      </c>
      <c r="I4">
        <f t="shared" si="3"/>
        <v>52000000</v>
      </c>
      <c r="O4">
        <v>3</v>
      </c>
      <c r="P4">
        <v>28</v>
      </c>
      <c r="Q4">
        <v>29</v>
      </c>
    </row>
    <row r="5" spans="1:17" x14ac:dyDescent="0.25">
      <c r="A5" s="30" t="s">
        <v>624</v>
      </c>
      <c r="B5" s="18">
        <v>2600000</v>
      </c>
      <c r="C5" s="18">
        <v>0</v>
      </c>
      <c r="D5" s="3">
        <f t="shared" si="0"/>
        <v>2600000</v>
      </c>
      <c r="E5" s="20" t="s">
        <v>625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 x14ac:dyDescent="0.25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 t="s">
        <v>6</v>
      </c>
      <c r="B24" s="3">
        <f>SUM(B2:B22)</f>
        <v>44151848</v>
      </c>
      <c r="C24" s="3">
        <f>SUM(C2:C22)</f>
        <v>11893518</v>
      </c>
      <c r="D24" s="3">
        <f>SUM(D2:D22)</f>
        <v>32258330</v>
      </c>
      <c r="E24" s="2"/>
      <c r="O24">
        <v>23</v>
      </c>
      <c r="P24">
        <v>8</v>
      </c>
      <c r="Q24">
        <v>9</v>
      </c>
    </row>
    <row r="25" spans="1:17" x14ac:dyDescent="0.25">
      <c r="G25" s="18">
        <f>SUM(G2:G23)</f>
        <v>1278011767</v>
      </c>
      <c r="H25" s="18">
        <f>SUM(H2:H23)</f>
        <v>368589004</v>
      </c>
      <c r="I25" s="18">
        <f>SUM(I2:I23)</f>
        <v>909422763</v>
      </c>
      <c r="O25">
        <v>24</v>
      </c>
      <c r="P25">
        <v>7</v>
      </c>
      <c r="Q25">
        <v>8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 x14ac:dyDescent="0.25">
      <c r="O27">
        <v>26</v>
      </c>
      <c r="P27">
        <v>5</v>
      </c>
      <c r="Q27">
        <v>6</v>
      </c>
    </row>
    <row r="28" spans="1:17" x14ac:dyDescent="0.25">
      <c r="F28" t="s">
        <v>25</v>
      </c>
      <c r="O28">
        <v>27</v>
      </c>
      <c r="P28">
        <v>4</v>
      </c>
      <c r="Q28">
        <v>5</v>
      </c>
    </row>
    <row r="29" spans="1:17" x14ac:dyDescent="0.25">
      <c r="D29" s="41"/>
      <c r="E29" s="41" t="s">
        <v>85</v>
      </c>
      <c r="O29">
        <v>28</v>
      </c>
      <c r="P29">
        <v>3</v>
      </c>
      <c r="Q29">
        <v>4</v>
      </c>
    </row>
    <row r="30" spans="1:17" x14ac:dyDescent="0.25">
      <c r="D30" s="42">
        <v>6937302</v>
      </c>
      <c r="E30" s="41" t="s">
        <v>95</v>
      </c>
      <c r="G30" s="18">
        <v>384551</v>
      </c>
      <c r="H30" s="18">
        <f>G30*H25/G25</f>
        <v>110907.64086619244</v>
      </c>
      <c r="I30" s="18">
        <f>G30*I25/G25</f>
        <v>273643.35913380759</v>
      </c>
      <c r="O30">
        <v>29</v>
      </c>
      <c r="P30">
        <v>2</v>
      </c>
      <c r="Q30">
        <v>3</v>
      </c>
    </row>
    <row r="31" spans="1:17" x14ac:dyDescent="0.25">
      <c r="D31" s="42">
        <v>1342800</v>
      </c>
      <c r="E31" s="54" t="s">
        <v>595</v>
      </c>
      <c r="G31" s="9" t="s">
        <v>409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 x14ac:dyDescent="0.25">
      <c r="B32" s="7"/>
      <c r="D32" s="42">
        <v>-44000</v>
      </c>
      <c r="E32" s="41" t="s">
        <v>598</v>
      </c>
      <c r="O32">
        <v>31</v>
      </c>
      <c r="P32">
        <v>0</v>
      </c>
      <c r="Q32">
        <v>1</v>
      </c>
    </row>
    <row r="33" spans="4:17" x14ac:dyDescent="0.25">
      <c r="D33" s="42">
        <v>-25000</v>
      </c>
      <c r="E33" s="41" t="s">
        <v>605</v>
      </c>
      <c r="P33" t="s">
        <v>60</v>
      </c>
      <c r="Q33" t="s">
        <v>61</v>
      </c>
    </row>
    <row r="34" spans="4:17" x14ac:dyDescent="0.25">
      <c r="D34" s="42">
        <v>-13000</v>
      </c>
      <c r="E34" s="41" t="s">
        <v>615</v>
      </c>
    </row>
    <row r="35" spans="4:17" x14ac:dyDescent="0.25">
      <c r="D35" s="42">
        <v>200000</v>
      </c>
      <c r="E35" s="41" t="s">
        <v>619</v>
      </c>
    </row>
    <row r="36" spans="4:17" x14ac:dyDescent="0.25">
      <c r="D36" s="42">
        <v>-120000</v>
      </c>
      <c r="E36" s="41" t="s">
        <v>620</v>
      </c>
    </row>
    <row r="37" spans="4:17" x14ac:dyDescent="0.25">
      <c r="D37" s="7">
        <v>200000</v>
      </c>
      <c r="E37" s="41" t="s">
        <v>621</v>
      </c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8478102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  <row r="45" spans="4:17" x14ac:dyDescent="0.25">
      <c r="D45" s="7"/>
      <c r="E45" s="41"/>
    </row>
    <row r="46" spans="4:17" x14ac:dyDescent="0.25">
      <c r="D46" s="7"/>
      <c r="E46" s="41"/>
    </row>
    <row r="47" spans="4:17" x14ac:dyDescent="0.25">
      <c r="D47" s="7"/>
      <c r="E47" s="41"/>
    </row>
    <row r="48" spans="4:17" x14ac:dyDescent="0.25">
      <c r="D48" s="7"/>
      <c r="E48" s="4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10" workbookViewId="0">
      <selection activeCell="E39" sqref="E39"/>
    </sheetView>
  </sheetViews>
  <sheetFormatPr defaultRowHeight="15" x14ac:dyDescent="0.25"/>
  <cols>
    <col min="1" max="1" width="9.7109375" bestFit="1" customWidth="1"/>
    <col min="2" max="4" width="15.140625" bestFit="1" customWidth="1"/>
    <col min="5" max="5" width="39.140625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624</v>
      </c>
      <c r="B2" s="3">
        <f>'تیر 96'!B24</f>
        <v>44151848</v>
      </c>
      <c r="C2" s="1">
        <f>'تیر 96'!C24</f>
        <v>11893518</v>
      </c>
      <c r="D2" s="3">
        <f>B2-C2</f>
        <v>32258330</v>
      </c>
      <c r="E2" s="2" t="s">
        <v>59</v>
      </c>
      <c r="F2">
        <v>31</v>
      </c>
      <c r="G2">
        <f>B2*F2</f>
        <v>1368707288</v>
      </c>
      <c r="H2">
        <f>C2*F2</f>
        <v>368699058</v>
      </c>
      <c r="I2">
        <f>D2*F2</f>
        <v>1000008230</v>
      </c>
      <c r="O2">
        <v>1</v>
      </c>
      <c r="P2">
        <v>30</v>
      </c>
      <c r="Q2">
        <v>31</v>
      </c>
    </row>
    <row r="3" spans="1:17" x14ac:dyDescent="0.25">
      <c r="A3" s="20" t="s">
        <v>628</v>
      </c>
      <c r="B3" s="39">
        <v>384551</v>
      </c>
      <c r="C3" s="39">
        <v>110908</v>
      </c>
      <c r="D3" s="3">
        <f t="shared" ref="D3:D22" si="0">B3-C3</f>
        <v>273643</v>
      </c>
      <c r="E3" s="23" t="s">
        <v>629</v>
      </c>
      <c r="F3">
        <v>30</v>
      </c>
      <c r="G3">
        <f t="shared" ref="G3:G23" si="1">B3*F3</f>
        <v>11536530</v>
      </c>
      <c r="H3">
        <f t="shared" ref="H3:H23" si="2">C3*F3</f>
        <v>3327240</v>
      </c>
      <c r="I3">
        <f t="shared" ref="I3:I23" si="3">D3*F3</f>
        <v>8209290</v>
      </c>
      <c r="O3">
        <v>2</v>
      </c>
      <c r="P3">
        <v>29</v>
      </c>
      <c r="Q3">
        <v>30</v>
      </c>
    </row>
    <row r="4" spans="1:17" x14ac:dyDescent="0.25">
      <c r="A4" s="20" t="s">
        <v>637</v>
      </c>
      <c r="B4" s="18">
        <v>0</v>
      </c>
      <c r="C4" s="18">
        <v>800000</v>
      </c>
      <c r="D4" s="3">
        <f t="shared" si="0"/>
        <v>-800000</v>
      </c>
      <c r="E4" s="11" t="s">
        <v>638</v>
      </c>
      <c r="F4">
        <v>29</v>
      </c>
      <c r="G4">
        <f t="shared" si="1"/>
        <v>0</v>
      </c>
      <c r="H4">
        <f t="shared" si="2"/>
        <v>23200000</v>
      </c>
      <c r="I4">
        <f t="shared" si="3"/>
        <v>-23200000</v>
      </c>
      <c r="O4">
        <v>3</v>
      </c>
      <c r="P4">
        <v>28</v>
      </c>
      <c r="Q4">
        <v>29</v>
      </c>
    </row>
    <row r="5" spans="1:17" x14ac:dyDescent="0.25">
      <c r="A5" s="30" t="s">
        <v>655</v>
      </c>
      <c r="B5" s="18">
        <v>-3000000</v>
      </c>
      <c r="C5" s="18">
        <v>0</v>
      </c>
      <c r="D5" s="3">
        <f t="shared" si="0"/>
        <v>-3000000</v>
      </c>
      <c r="E5" s="20" t="s">
        <v>657</v>
      </c>
      <c r="F5">
        <v>16</v>
      </c>
      <c r="G5">
        <f t="shared" si="1"/>
        <v>-48000000</v>
      </c>
      <c r="H5">
        <f t="shared" si="2"/>
        <v>0</v>
      </c>
      <c r="I5">
        <f t="shared" si="3"/>
        <v>-48000000</v>
      </c>
      <c r="O5">
        <v>4</v>
      </c>
      <c r="P5">
        <v>27</v>
      </c>
      <c r="Q5">
        <v>28</v>
      </c>
    </row>
    <row r="6" spans="1:17" x14ac:dyDescent="0.25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 t="s">
        <v>6</v>
      </c>
      <c r="B24" s="3">
        <f>SUM(B2:B22)</f>
        <v>41536399</v>
      </c>
      <c r="C24" s="3">
        <f>SUM(C2:C22)</f>
        <v>12804426</v>
      </c>
      <c r="D24" s="3">
        <f>SUM(D2:D22)</f>
        <v>28731973</v>
      </c>
      <c r="E24" s="2"/>
      <c r="O24">
        <v>23</v>
      </c>
      <c r="P24">
        <v>8</v>
      </c>
      <c r="Q24">
        <v>9</v>
      </c>
    </row>
    <row r="25" spans="1:17" x14ac:dyDescent="0.25">
      <c r="G25" s="18">
        <f>SUM(G2:G23)</f>
        <v>1332243818</v>
      </c>
      <c r="H25" s="18">
        <f>SUM(H2:H23)</f>
        <v>395226298</v>
      </c>
      <c r="I25" s="18">
        <f>SUM(I2:I23)</f>
        <v>937017520</v>
      </c>
      <c r="O25">
        <v>24</v>
      </c>
      <c r="P25">
        <v>7</v>
      </c>
      <c r="Q25">
        <v>8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 x14ac:dyDescent="0.25">
      <c r="O27">
        <v>26</v>
      </c>
      <c r="P27">
        <v>5</v>
      </c>
      <c r="Q27">
        <v>6</v>
      </c>
    </row>
    <row r="28" spans="1:17" x14ac:dyDescent="0.25">
      <c r="F28" t="s">
        <v>25</v>
      </c>
      <c r="O28">
        <v>27</v>
      </c>
      <c r="P28">
        <v>4</v>
      </c>
      <c r="Q28">
        <v>5</v>
      </c>
    </row>
    <row r="29" spans="1:17" x14ac:dyDescent="0.25">
      <c r="D29" s="41"/>
      <c r="E29" s="41" t="s">
        <v>85</v>
      </c>
      <c r="O29">
        <v>28</v>
      </c>
      <c r="P29">
        <v>3</v>
      </c>
      <c r="Q29">
        <v>4</v>
      </c>
    </row>
    <row r="30" spans="1:17" x14ac:dyDescent="0.25">
      <c r="D30" s="42">
        <v>8478102</v>
      </c>
      <c r="E30" s="41" t="s">
        <v>95</v>
      </c>
      <c r="G30" s="18">
        <v>400710</v>
      </c>
      <c r="H30" s="18">
        <f>G30*H25/G25</f>
        <v>118875.48490135309</v>
      </c>
      <c r="I30" s="18">
        <f>G30*I25/G25</f>
        <v>281834.51509864692</v>
      </c>
      <c r="O30">
        <v>29</v>
      </c>
      <c r="P30">
        <v>2</v>
      </c>
      <c r="Q30">
        <v>3</v>
      </c>
    </row>
    <row r="31" spans="1:17" ht="33" customHeight="1" x14ac:dyDescent="0.25">
      <c r="D31" s="42">
        <v>-65000</v>
      </c>
      <c r="E31" s="54" t="s">
        <v>636</v>
      </c>
      <c r="G31" s="9" t="s">
        <v>409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 x14ac:dyDescent="0.25">
      <c r="B32" s="7"/>
      <c r="D32" s="42">
        <v>-28000</v>
      </c>
      <c r="E32" s="41" t="s">
        <v>644</v>
      </c>
      <c r="O32">
        <v>31</v>
      </c>
      <c r="P32">
        <v>0</v>
      </c>
      <c r="Q32">
        <v>1</v>
      </c>
    </row>
    <row r="33" spans="4:17" x14ac:dyDescent="0.25">
      <c r="D33" s="42">
        <v>100000</v>
      </c>
      <c r="E33" s="41" t="s">
        <v>645</v>
      </c>
      <c r="P33" t="s">
        <v>60</v>
      </c>
      <c r="Q33" t="s">
        <v>61</v>
      </c>
    </row>
    <row r="34" spans="4:17" x14ac:dyDescent="0.25">
      <c r="D34" s="42">
        <v>200000</v>
      </c>
      <c r="E34" s="41" t="s">
        <v>647</v>
      </c>
    </row>
    <row r="35" spans="4:17" x14ac:dyDescent="0.25">
      <c r="D35" s="42">
        <v>27470</v>
      </c>
      <c r="E35" s="41" t="s">
        <v>654</v>
      </c>
    </row>
    <row r="36" spans="4:17" x14ac:dyDescent="0.25">
      <c r="D36" s="42">
        <v>334000</v>
      </c>
      <c r="E36" s="41" t="s">
        <v>661</v>
      </c>
    </row>
    <row r="37" spans="4:17" x14ac:dyDescent="0.25">
      <c r="D37" s="7">
        <v>400000</v>
      </c>
      <c r="E37" s="41" t="s">
        <v>667</v>
      </c>
    </row>
    <row r="38" spans="4:17" x14ac:dyDescent="0.25">
      <c r="D38" s="7">
        <v>200000</v>
      </c>
      <c r="E38" s="41" t="s">
        <v>672</v>
      </c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9646572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C2" sqref="C2"/>
    </sheetView>
  </sheetViews>
  <sheetFormatPr defaultRowHeight="15" x14ac:dyDescent="0.25"/>
  <cols>
    <col min="1" max="1" width="9.7109375" bestFit="1" customWidth="1"/>
    <col min="2" max="4" width="15.140625" bestFit="1" customWidth="1"/>
    <col min="5" max="5" width="44.5703125" bestFit="1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675</v>
      </c>
      <c r="B2" s="3">
        <f>'مرداد 96'!B24</f>
        <v>41536399</v>
      </c>
      <c r="C2" s="1">
        <f>'مرداد 96'!C24</f>
        <v>12804426</v>
      </c>
      <c r="D2" s="3">
        <f>B2-C2</f>
        <v>28731973</v>
      </c>
      <c r="E2" s="2" t="s">
        <v>59</v>
      </c>
      <c r="F2">
        <v>31</v>
      </c>
      <c r="G2">
        <f>B2*F2</f>
        <v>1287628369</v>
      </c>
      <c r="H2">
        <f>C2*F2</f>
        <v>396937206</v>
      </c>
      <c r="I2">
        <f>D2*F2</f>
        <v>890691163</v>
      </c>
      <c r="O2">
        <v>1</v>
      </c>
      <c r="P2">
        <v>30</v>
      </c>
      <c r="Q2">
        <v>31</v>
      </c>
    </row>
    <row r="3" spans="1:17" x14ac:dyDescent="0.25">
      <c r="A3" s="20" t="s">
        <v>631</v>
      </c>
      <c r="B3" s="39">
        <v>400710</v>
      </c>
      <c r="C3" s="39">
        <v>118875</v>
      </c>
      <c r="D3" s="3">
        <f t="shared" ref="D3:D22" si="0">B3-C3</f>
        <v>281835</v>
      </c>
      <c r="E3" s="23" t="s">
        <v>671</v>
      </c>
      <c r="F3">
        <v>30</v>
      </c>
      <c r="G3">
        <f t="shared" ref="G3:G23" si="1">B3*F3</f>
        <v>12021300</v>
      </c>
      <c r="H3">
        <f t="shared" ref="H3:H23" si="2">C3*F3</f>
        <v>3566250</v>
      </c>
      <c r="I3">
        <f t="shared" ref="I3:I23" si="3">D3*F3</f>
        <v>8455050</v>
      </c>
      <c r="O3">
        <v>2</v>
      </c>
      <c r="P3">
        <v>29</v>
      </c>
      <c r="Q3">
        <v>30</v>
      </c>
    </row>
    <row r="4" spans="1:17" x14ac:dyDescent="0.25">
      <c r="A4" s="20" t="s">
        <v>631</v>
      </c>
      <c r="B4" s="18">
        <v>42000000</v>
      </c>
      <c r="C4" s="18">
        <v>0</v>
      </c>
      <c r="D4" s="3">
        <f t="shared" si="0"/>
        <v>42000000</v>
      </c>
      <c r="E4" s="11" t="s">
        <v>498</v>
      </c>
      <c r="F4">
        <v>30</v>
      </c>
      <c r="G4">
        <f t="shared" si="1"/>
        <v>1260000000</v>
      </c>
      <c r="H4">
        <f t="shared" si="2"/>
        <v>0</v>
      </c>
      <c r="I4">
        <f t="shared" si="3"/>
        <v>1260000000</v>
      </c>
      <c r="O4">
        <v>3</v>
      </c>
      <c r="P4">
        <v>28</v>
      </c>
      <c r="Q4">
        <v>29</v>
      </c>
    </row>
    <row r="5" spans="1:17" x14ac:dyDescent="0.25">
      <c r="A5" s="30" t="s">
        <v>695</v>
      </c>
      <c r="B5" s="18">
        <v>-5000</v>
      </c>
      <c r="C5" s="18">
        <v>0</v>
      </c>
      <c r="D5" s="3">
        <f t="shared" si="0"/>
        <v>-5000</v>
      </c>
      <c r="E5" s="20" t="s">
        <v>158</v>
      </c>
      <c r="F5">
        <v>6</v>
      </c>
      <c r="G5">
        <f t="shared" si="1"/>
        <v>-30000</v>
      </c>
      <c r="H5">
        <f t="shared" si="2"/>
        <v>0</v>
      </c>
      <c r="I5">
        <f t="shared" si="3"/>
        <v>-30000</v>
      </c>
      <c r="O5">
        <v>4</v>
      </c>
      <c r="P5">
        <v>27</v>
      </c>
      <c r="Q5">
        <v>28</v>
      </c>
    </row>
    <row r="6" spans="1:17" x14ac:dyDescent="0.25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 t="s">
        <v>6</v>
      </c>
      <c r="B24" s="3">
        <f>SUM(B2:B22)</f>
        <v>83932109</v>
      </c>
      <c r="C24" s="3">
        <f>SUM(C2:C22)</f>
        <v>12923301</v>
      </c>
      <c r="D24" s="3">
        <f>SUM(D2:D22)</f>
        <v>71008808</v>
      </c>
      <c r="E24" s="2"/>
      <c r="O24">
        <v>23</v>
      </c>
      <c r="P24">
        <v>8</v>
      </c>
      <c r="Q24">
        <v>9</v>
      </c>
    </row>
    <row r="25" spans="1:17" x14ac:dyDescent="0.25">
      <c r="G25" s="18">
        <f>SUM(G2:G23)</f>
        <v>2559619669</v>
      </c>
      <c r="H25" s="18">
        <f>SUM(H2:H23)</f>
        <v>400503456</v>
      </c>
      <c r="I25" s="18">
        <f>SUM(I2:I23)</f>
        <v>2159116213</v>
      </c>
      <c r="O25">
        <v>24</v>
      </c>
      <c r="P25">
        <v>7</v>
      </c>
      <c r="Q25">
        <v>8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 x14ac:dyDescent="0.25">
      <c r="O27">
        <v>26</v>
      </c>
      <c r="P27">
        <v>5</v>
      </c>
      <c r="Q27">
        <v>6</v>
      </c>
    </row>
    <row r="28" spans="1:17" x14ac:dyDescent="0.25">
      <c r="F28" t="s">
        <v>25</v>
      </c>
      <c r="O28">
        <v>27</v>
      </c>
      <c r="P28">
        <v>4</v>
      </c>
      <c r="Q28">
        <v>5</v>
      </c>
    </row>
    <row r="29" spans="1:17" x14ac:dyDescent="0.25">
      <c r="D29" s="41"/>
      <c r="E29" s="41" t="s">
        <v>85</v>
      </c>
      <c r="O29">
        <v>28</v>
      </c>
      <c r="P29">
        <v>3</v>
      </c>
      <c r="Q29">
        <v>4</v>
      </c>
    </row>
    <row r="30" spans="1:17" x14ac:dyDescent="0.25">
      <c r="D30" s="42">
        <v>9646572</v>
      </c>
      <c r="E30" s="41" t="s">
        <v>95</v>
      </c>
      <c r="G30" s="18">
        <v>771374</v>
      </c>
      <c r="H30" s="18">
        <f>G30*H25/G25</f>
        <v>120696.81937912316</v>
      </c>
      <c r="I30" s="18">
        <f>G30*I25/G25</f>
        <v>650677.18062087684</v>
      </c>
      <c r="O30">
        <v>29</v>
      </c>
      <c r="P30">
        <v>2</v>
      </c>
      <c r="Q30">
        <v>3</v>
      </c>
    </row>
    <row r="31" spans="1:17" ht="33" customHeight="1" x14ac:dyDescent="0.25">
      <c r="D31" s="42">
        <v>-3000000</v>
      </c>
      <c r="E31" s="54" t="s">
        <v>674</v>
      </c>
      <c r="G31" s="9" t="s">
        <v>409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 x14ac:dyDescent="0.25">
      <c r="B32" s="7"/>
      <c r="D32" s="42">
        <v>200000</v>
      </c>
      <c r="E32" s="41" t="s">
        <v>679</v>
      </c>
      <c r="O32">
        <v>31</v>
      </c>
      <c r="P32">
        <v>0</v>
      </c>
      <c r="Q32">
        <v>1</v>
      </c>
    </row>
    <row r="33" spans="4:17" x14ac:dyDescent="0.25">
      <c r="D33" s="42">
        <v>2200700</v>
      </c>
      <c r="E33" s="41" t="s">
        <v>683</v>
      </c>
      <c r="P33" t="s">
        <v>60</v>
      </c>
      <c r="Q33" t="s">
        <v>61</v>
      </c>
    </row>
    <row r="34" spans="4:17" x14ac:dyDescent="0.25">
      <c r="D34" s="42">
        <v>-2000000</v>
      </c>
      <c r="E34" s="41" t="s">
        <v>690</v>
      </c>
    </row>
    <row r="35" spans="4:17" x14ac:dyDescent="0.25">
      <c r="D35" s="42">
        <v>141950</v>
      </c>
      <c r="E35" s="41" t="s">
        <v>691</v>
      </c>
    </row>
    <row r="36" spans="4:17" x14ac:dyDescent="0.25">
      <c r="D36" s="42">
        <v>800500</v>
      </c>
      <c r="E36" s="41" t="s">
        <v>694</v>
      </c>
    </row>
    <row r="37" spans="4:17" x14ac:dyDescent="0.25">
      <c r="D37" s="7">
        <v>-100000</v>
      </c>
      <c r="E37" s="41" t="s">
        <v>698</v>
      </c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7889722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G31" sqref="G31"/>
    </sheetView>
  </sheetViews>
  <sheetFormatPr defaultRowHeight="15" x14ac:dyDescent="0.25"/>
  <cols>
    <col min="1" max="1" width="9.7109375" bestFit="1" customWidth="1"/>
    <col min="2" max="2" width="16.140625" bestFit="1" customWidth="1"/>
    <col min="3" max="3" width="15.140625" bestFit="1" customWidth="1"/>
    <col min="4" max="4" width="16.140625" bestFit="1" customWidth="1"/>
    <col min="5" max="5" width="44.5703125" bestFit="1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675</v>
      </c>
      <c r="B2" s="3">
        <f>'شهریور 96'!B24</f>
        <v>83932109</v>
      </c>
      <c r="C2" s="1">
        <f>'شهریور 96'!C24</f>
        <v>12923301</v>
      </c>
      <c r="D2" s="3">
        <f>B2-C2</f>
        <v>71008808</v>
      </c>
      <c r="E2" s="2" t="s">
        <v>59</v>
      </c>
      <c r="F2">
        <v>30</v>
      </c>
      <c r="G2">
        <f>B2*F2</f>
        <v>2517963270</v>
      </c>
      <c r="H2">
        <f>C2*F2</f>
        <v>387699030</v>
      </c>
      <c r="I2">
        <f>D2*F2</f>
        <v>2130264240</v>
      </c>
    </row>
    <row r="3" spans="1:17" x14ac:dyDescent="0.25">
      <c r="A3" s="20" t="s">
        <v>632</v>
      </c>
      <c r="B3" s="39">
        <v>771374</v>
      </c>
      <c r="C3" s="39">
        <v>120697</v>
      </c>
      <c r="D3" s="3">
        <f t="shared" ref="D3:D22" si="0">B3-C3</f>
        <v>650677</v>
      </c>
      <c r="E3" s="23" t="s">
        <v>696</v>
      </c>
      <c r="F3">
        <v>29</v>
      </c>
      <c r="G3">
        <f t="shared" ref="G3:G23" si="1">B3*F3</f>
        <v>22369846</v>
      </c>
      <c r="H3">
        <f t="shared" ref="H3:H23" si="2">C3*F3</f>
        <v>3500213</v>
      </c>
      <c r="I3">
        <f t="shared" ref="I3:I23" si="3">D3*F3</f>
        <v>18869633</v>
      </c>
    </row>
    <row r="4" spans="1:17" x14ac:dyDescent="0.25">
      <c r="A4" s="20" t="s">
        <v>707</v>
      </c>
      <c r="B4" s="18">
        <v>2500000</v>
      </c>
      <c r="C4" s="18">
        <v>0</v>
      </c>
      <c r="D4" s="3">
        <f t="shared" si="0"/>
        <v>2500000</v>
      </c>
      <c r="E4" s="11" t="s">
        <v>708</v>
      </c>
      <c r="F4">
        <v>26</v>
      </c>
      <c r="G4">
        <f t="shared" si="1"/>
        <v>65000000</v>
      </c>
      <c r="H4">
        <f t="shared" si="2"/>
        <v>0</v>
      </c>
      <c r="I4">
        <f t="shared" si="3"/>
        <v>65000000</v>
      </c>
      <c r="O4">
        <v>1</v>
      </c>
      <c r="P4">
        <v>29</v>
      </c>
      <c r="Q4">
        <v>30</v>
      </c>
    </row>
    <row r="5" spans="1:17" x14ac:dyDescent="0.25">
      <c r="A5" s="30" t="s">
        <v>723</v>
      </c>
      <c r="B5" s="18">
        <v>-1000000</v>
      </c>
      <c r="C5" s="18">
        <v>-1000000</v>
      </c>
      <c r="D5" s="3">
        <f t="shared" si="0"/>
        <v>0</v>
      </c>
      <c r="E5" s="20" t="s">
        <v>744</v>
      </c>
      <c r="F5">
        <v>13</v>
      </c>
      <c r="G5">
        <f t="shared" si="1"/>
        <v>-13000000</v>
      </c>
      <c r="H5">
        <f t="shared" si="2"/>
        <v>-13000000</v>
      </c>
      <c r="I5">
        <f t="shared" si="3"/>
        <v>0</v>
      </c>
      <c r="O5">
        <v>2</v>
      </c>
      <c r="P5">
        <v>28</v>
      </c>
      <c r="Q5">
        <v>29</v>
      </c>
    </row>
    <row r="6" spans="1:17" x14ac:dyDescent="0.25">
      <c r="A6" s="17" t="s">
        <v>727</v>
      </c>
      <c r="B6" s="18">
        <v>-50000000</v>
      </c>
      <c r="C6" s="18">
        <v>0</v>
      </c>
      <c r="D6" s="3">
        <f t="shared" si="0"/>
        <v>-50000000</v>
      </c>
      <c r="E6" s="19" t="s">
        <v>728</v>
      </c>
      <c r="F6">
        <v>8</v>
      </c>
      <c r="G6">
        <f t="shared" si="1"/>
        <v>-400000000</v>
      </c>
      <c r="H6">
        <f t="shared" si="2"/>
        <v>0</v>
      </c>
      <c r="I6">
        <f t="shared" si="3"/>
        <v>-400000000</v>
      </c>
      <c r="O6">
        <v>3</v>
      </c>
      <c r="P6">
        <v>27</v>
      </c>
      <c r="Q6">
        <v>28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 x14ac:dyDescent="0.25">
      <c r="A24" s="2" t="s">
        <v>6</v>
      </c>
      <c r="B24" s="3">
        <f>SUM(B2:B22)</f>
        <v>36203483</v>
      </c>
      <c r="C24" s="3">
        <f>SUM(C2:C22)</f>
        <v>12043998</v>
      </c>
      <c r="D24" s="3">
        <f>SUM(D2:D22)</f>
        <v>24159485</v>
      </c>
      <c r="E24" s="2"/>
      <c r="O24">
        <v>21</v>
      </c>
      <c r="P24">
        <v>9</v>
      </c>
      <c r="Q24">
        <v>10</v>
      </c>
    </row>
    <row r="25" spans="1:17" x14ac:dyDescent="0.25">
      <c r="G25" s="18">
        <f>SUM(G2:G23)</f>
        <v>2192333116</v>
      </c>
      <c r="H25" s="18">
        <f>SUM(H2:H23)</f>
        <v>378199243</v>
      </c>
      <c r="I25" s="18">
        <f>SUM(I2:I23)</f>
        <v>1814133873</v>
      </c>
      <c r="O25">
        <v>22</v>
      </c>
      <c r="P25">
        <v>8</v>
      </c>
      <c r="Q25">
        <v>9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 x14ac:dyDescent="0.25">
      <c r="O27">
        <v>24</v>
      </c>
      <c r="P27">
        <v>6</v>
      </c>
      <c r="Q27">
        <v>7</v>
      </c>
    </row>
    <row r="28" spans="1:17" x14ac:dyDescent="0.25">
      <c r="F28" t="s">
        <v>25</v>
      </c>
      <c r="O28">
        <v>25</v>
      </c>
      <c r="P28">
        <v>5</v>
      </c>
      <c r="Q28">
        <v>6</v>
      </c>
    </row>
    <row r="29" spans="1:17" x14ac:dyDescent="0.25">
      <c r="D29" s="41"/>
      <c r="E29" s="41" t="s">
        <v>85</v>
      </c>
      <c r="O29">
        <v>26</v>
      </c>
      <c r="P29">
        <v>4</v>
      </c>
      <c r="Q29">
        <v>5</v>
      </c>
    </row>
    <row r="30" spans="1:17" x14ac:dyDescent="0.25">
      <c r="D30" s="42">
        <v>7889722</v>
      </c>
      <c r="E30" s="41" t="s">
        <v>95</v>
      </c>
      <c r="G30" s="18">
        <v>614287</v>
      </c>
      <c r="H30" s="18">
        <f>G30*H25/G25</f>
        <v>105970.61034621575</v>
      </c>
      <c r="I30" s="18">
        <f>G30*I25/G25</f>
        <v>508316.38965378428</v>
      </c>
      <c r="O30">
        <v>27</v>
      </c>
      <c r="P30">
        <v>3</v>
      </c>
      <c r="Q30">
        <v>4</v>
      </c>
    </row>
    <row r="31" spans="1:17" ht="43.5" customHeight="1" x14ac:dyDescent="0.25">
      <c r="D31" s="42">
        <v>-30000</v>
      </c>
      <c r="E31" s="54" t="s">
        <v>701</v>
      </c>
      <c r="G31" s="9" t="s">
        <v>409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 x14ac:dyDescent="0.25">
      <c r="B32" s="7"/>
      <c r="D32" s="42">
        <v>-10000</v>
      </c>
      <c r="E32" s="41" t="s">
        <v>729</v>
      </c>
      <c r="O32">
        <v>29</v>
      </c>
      <c r="P32">
        <v>1</v>
      </c>
      <c r="Q32">
        <v>2</v>
      </c>
    </row>
    <row r="33" spans="4:17" x14ac:dyDescent="0.25">
      <c r="D33" s="42">
        <v>0</v>
      </c>
      <c r="E33" s="41" t="s">
        <v>683</v>
      </c>
      <c r="O33">
        <v>30</v>
      </c>
      <c r="P33">
        <v>0</v>
      </c>
      <c r="Q33">
        <v>1</v>
      </c>
    </row>
    <row r="34" spans="4:17" x14ac:dyDescent="0.25">
      <c r="D34" s="42">
        <v>0</v>
      </c>
      <c r="E34" s="41" t="s">
        <v>690</v>
      </c>
      <c r="P34" t="s">
        <v>60</v>
      </c>
      <c r="Q34" t="s">
        <v>61</v>
      </c>
    </row>
    <row r="35" spans="4:17" x14ac:dyDescent="0.25">
      <c r="D35" s="42">
        <v>0</v>
      </c>
      <c r="E35" s="41" t="s">
        <v>691</v>
      </c>
    </row>
    <row r="36" spans="4:17" x14ac:dyDescent="0.25">
      <c r="D36" s="42">
        <v>0</v>
      </c>
      <c r="E36" s="41" t="s">
        <v>694</v>
      </c>
    </row>
    <row r="37" spans="4:17" x14ac:dyDescent="0.25">
      <c r="D37" s="7">
        <v>0</v>
      </c>
      <c r="E37" s="41" t="s">
        <v>698</v>
      </c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7849722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G31" sqref="G31"/>
    </sheetView>
  </sheetViews>
  <sheetFormatPr defaultRowHeight="15" x14ac:dyDescent="0.25"/>
  <cols>
    <col min="1" max="1" width="9.7109375" bestFit="1" customWidth="1"/>
    <col min="2" max="2" width="15.85546875" bestFit="1" customWidth="1"/>
    <col min="3" max="3" width="15.140625" bestFit="1" customWidth="1"/>
    <col min="4" max="4" width="15.85546875" bestFit="1" customWidth="1"/>
    <col min="5" max="5" width="44.5703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738</v>
      </c>
      <c r="B2" s="3">
        <f>مهر96!B24</f>
        <v>36203483</v>
      </c>
      <c r="C2" s="1">
        <f>مهر96!C24</f>
        <v>12043998</v>
      </c>
      <c r="D2" s="3">
        <f>B2-C2</f>
        <v>24159485</v>
      </c>
      <c r="E2" s="2" t="s">
        <v>59</v>
      </c>
      <c r="F2">
        <v>30</v>
      </c>
      <c r="G2">
        <f>B2*F2</f>
        <v>1086104490</v>
      </c>
      <c r="H2">
        <f>C2*F2</f>
        <v>361319940</v>
      </c>
      <c r="I2">
        <f>D2*F2</f>
        <v>724784550</v>
      </c>
    </row>
    <row r="3" spans="1:17" x14ac:dyDescent="0.25">
      <c r="A3" s="20" t="s">
        <v>633</v>
      </c>
      <c r="B3" s="39">
        <v>614287</v>
      </c>
      <c r="C3" s="39">
        <v>105971</v>
      </c>
      <c r="D3" s="3">
        <f t="shared" ref="D3:D22" si="0">B3-C3</f>
        <v>508316</v>
      </c>
      <c r="E3" s="23" t="s">
        <v>743</v>
      </c>
      <c r="F3">
        <v>29</v>
      </c>
      <c r="G3">
        <f t="shared" ref="G3:G23" si="1">B3*F3</f>
        <v>17814323</v>
      </c>
      <c r="H3">
        <f t="shared" ref="H3:H23" si="2">C3*F3</f>
        <v>3073159</v>
      </c>
      <c r="I3">
        <f t="shared" ref="I3:I23" si="3">D3*F3</f>
        <v>14741164</v>
      </c>
    </row>
    <row r="4" spans="1:17" x14ac:dyDescent="0.25">
      <c r="A4" s="20" t="s">
        <v>752</v>
      </c>
      <c r="B4" s="18">
        <v>-1210700</v>
      </c>
      <c r="C4" s="18">
        <v>0</v>
      </c>
      <c r="D4" s="3">
        <f t="shared" si="0"/>
        <v>-1210700</v>
      </c>
      <c r="E4" s="11" t="s">
        <v>753</v>
      </c>
      <c r="F4">
        <v>26</v>
      </c>
      <c r="G4">
        <f t="shared" si="1"/>
        <v>-31478200</v>
      </c>
      <c r="H4">
        <f t="shared" si="2"/>
        <v>0</v>
      </c>
      <c r="I4">
        <f t="shared" si="3"/>
        <v>-31478200</v>
      </c>
      <c r="O4">
        <v>1</v>
      </c>
      <c r="P4">
        <v>29</v>
      </c>
      <c r="Q4">
        <v>30</v>
      </c>
    </row>
    <row r="5" spans="1:17" x14ac:dyDescent="0.25">
      <c r="A5" s="30" t="s">
        <v>769</v>
      </c>
      <c r="B5" s="18">
        <v>-97300</v>
      </c>
      <c r="C5" s="18">
        <v>0</v>
      </c>
      <c r="D5" s="3">
        <f t="shared" si="0"/>
        <v>-97300</v>
      </c>
      <c r="E5" s="20" t="s">
        <v>774</v>
      </c>
      <c r="F5">
        <v>17</v>
      </c>
      <c r="G5">
        <f t="shared" si="1"/>
        <v>-1654100</v>
      </c>
      <c r="H5">
        <f t="shared" si="2"/>
        <v>0</v>
      </c>
      <c r="I5">
        <f t="shared" si="3"/>
        <v>-1654100</v>
      </c>
      <c r="O5">
        <v>2</v>
      </c>
      <c r="P5">
        <v>28</v>
      </c>
      <c r="Q5">
        <v>29</v>
      </c>
    </row>
    <row r="6" spans="1:17" x14ac:dyDescent="0.25">
      <c r="A6" s="17" t="s">
        <v>780</v>
      </c>
      <c r="B6" s="18">
        <v>-1000000</v>
      </c>
      <c r="C6" s="18">
        <v>-1000000</v>
      </c>
      <c r="D6" s="3">
        <f t="shared" si="0"/>
        <v>0</v>
      </c>
      <c r="E6" s="19" t="s">
        <v>781</v>
      </c>
      <c r="F6">
        <v>9</v>
      </c>
      <c r="G6">
        <f t="shared" si="1"/>
        <v>-9000000</v>
      </c>
      <c r="H6">
        <f t="shared" si="2"/>
        <v>-9000000</v>
      </c>
      <c r="I6">
        <f t="shared" si="3"/>
        <v>0</v>
      </c>
      <c r="O6">
        <v>3</v>
      </c>
      <c r="P6">
        <v>27</v>
      </c>
      <c r="Q6">
        <v>28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 x14ac:dyDescent="0.25">
      <c r="A24" s="2" t="s">
        <v>6</v>
      </c>
      <c r="B24" s="3">
        <f>SUM(B2:B22)</f>
        <v>34509770</v>
      </c>
      <c r="C24" s="3">
        <f>SUM(C2:C22)</f>
        <v>11149969</v>
      </c>
      <c r="D24" s="3">
        <f>SUM(D2:D22)</f>
        <v>23359801</v>
      </c>
      <c r="E24" s="2"/>
      <c r="O24">
        <v>21</v>
      </c>
      <c r="P24">
        <v>9</v>
      </c>
      <c r="Q24">
        <v>10</v>
      </c>
    </row>
    <row r="25" spans="1:17" x14ac:dyDescent="0.25">
      <c r="G25" s="18">
        <f>SUM(G2:G23)</f>
        <v>1061786513</v>
      </c>
      <c r="H25" s="18">
        <f>SUM(H2:H23)</f>
        <v>355393099</v>
      </c>
      <c r="I25" s="18">
        <f>SUM(I2:I23)</f>
        <v>706393414</v>
      </c>
      <c r="O25">
        <v>22</v>
      </c>
      <c r="P25">
        <v>8</v>
      </c>
      <c r="Q25">
        <v>9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 x14ac:dyDescent="0.25">
      <c r="O27">
        <v>24</v>
      </c>
      <c r="P27">
        <v>6</v>
      </c>
      <c r="Q27">
        <v>7</v>
      </c>
    </row>
    <row r="28" spans="1:17" x14ac:dyDescent="0.25">
      <c r="F28" t="s">
        <v>25</v>
      </c>
      <c r="O28">
        <v>25</v>
      </c>
      <c r="P28">
        <v>5</v>
      </c>
      <c r="Q28">
        <v>6</v>
      </c>
    </row>
    <row r="29" spans="1:17" x14ac:dyDescent="0.25">
      <c r="D29" s="41"/>
      <c r="E29" s="41" t="s">
        <v>85</v>
      </c>
      <c r="O29">
        <v>26</v>
      </c>
      <c r="P29">
        <v>4</v>
      </c>
      <c r="Q29">
        <v>5</v>
      </c>
    </row>
    <row r="30" spans="1:17" x14ac:dyDescent="0.25">
      <c r="D30" s="42">
        <v>7849722</v>
      </c>
      <c r="E30" s="41" t="s">
        <v>95</v>
      </c>
      <c r="G30" s="18">
        <v>290873</v>
      </c>
      <c r="H30" s="18">
        <f>G30*H25/G25</f>
        <v>97358.796349136712</v>
      </c>
      <c r="I30" s="18">
        <f>G30*I25/G25</f>
        <v>193514.20365086329</v>
      </c>
      <c r="O30">
        <v>27</v>
      </c>
      <c r="P30">
        <v>3</v>
      </c>
      <c r="Q30">
        <v>4</v>
      </c>
    </row>
    <row r="31" spans="1:17" x14ac:dyDescent="0.25">
      <c r="D31" s="42">
        <v>-170000</v>
      </c>
      <c r="E31" s="54" t="s">
        <v>754</v>
      </c>
      <c r="G31" s="9" t="s">
        <v>784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 x14ac:dyDescent="0.25">
      <c r="B32" s="7"/>
      <c r="D32" s="42">
        <v>295200</v>
      </c>
      <c r="E32" s="41" t="s">
        <v>764</v>
      </c>
      <c r="O32">
        <v>29</v>
      </c>
      <c r="P32">
        <v>1</v>
      </c>
      <c r="Q32">
        <v>2</v>
      </c>
    </row>
    <row r="33" spans="4:17" x14ac:dyDescent="0.25">
      <c r="D33" s="42">
        <v>-30000</v>
      </c>
      <c r="E33" s="41" t="s">
        <v>775</v>
      </c>
      <c r="O33">
        <v>30</v>
      </c>
      <c r="P33">
        <v>0</v>
      </c>
      <c r="Q33">
        <v>1</v>
      </c>
    </row>
    <row r="34" spans="4:17" x14ac:dyDescent="0.25">
      <c r="D34" s="42">
        <v>-100000</v>
      </c>
      <c r="E34" s="41" t="s">
        <v>777</v>
      </c>
      <c r="P34" t="s">
        <v>60</v>
      </c>
      <c r="Q34" t="s">
        <v>61</v>
      </c>
    </row>
    <row r="35" spans="4:17" x14ac:dyDescent="0.25">
      <c r="D35" s="42">
        <v>-50000</v>
      </c>
      <c r="E35" s="41" t="s">
        <v>782</v>
      </c>
    </row>
    <row r="36" spans="4:17" x14ac:dyDescent="0.25">
      <c r="D36" s="42">
        <v>0</v>
      </c>
      <c r="E36" s="41"/>
    </row>
    <row r="37" spans="4:17" x14ac:dyDescent="0.25">
      <c r="D37" s="7">
        <v>0</v>
      </c>
      <c r="E37" s="41"/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7794922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10" workbookViewId="0">
      <selection activeCell="B5" sqref="B5:E5"/>
    </sheetView>
  </sheetViews>
  <sheetFormatPr defaultRowHeight="15" x14ac:dyDescent="0.25"/>
  <cols>
    <col min="1" max="1" width="9.7109375" bestFit="1" customWidth="1"/>
    <col min="2" max="4" width="15.140625" bestFit="1" customWidth="1"/>
    <col min="5" max="5" width="33.42578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786</v>
      </c>
      <c r="B2" s="3">
        <f>'آبان 96'!B24</f>
        <v>34509770</v>
      </c>
      <c r="C2" s="1">
        <f>'آبان 96'!C24</f>
        <v>11149969</v>
      </c>
      <c r="D2" s="3">
        <f>B2-C2</f>
        <v>23359801</v>
      </c>
      <c r="E2" s="2" t="s">
        <v>59</v>
      </c>
      <c r="F2">
        <v>30</v>
      </c>
      <c r="G2">
        <f>B2*F2</f>
        <v>1035293100</v>
      </c>
      <c r="H2">
        <f>C2*F2</f>
        <v>334499070</v>
      </c>
      <c r="I2">
        <f>D2*F2</f>
        <v>700794030</v>
      </c>
    </row>
    <row r="3" spans="1:17" x14ac:dyDescent="0.25">
      <c r="A3" s="20" t="s">
        <v>634</v>
      </c>
      <c r="B3" s="39">
        <v>290900</v>
      </c>
      <c r="C3" s="39">
        <v>97359</v>
      </c>
      <c r="D3" s="3">
        <f t="shared" ref="D3:D22" si="0">B3-C3</f>
        <v>193541</v>
      </c>
      <c r="E3" s="23" t="s">
        <v>785</v>
      </c>
      <c r="F3">
        <v>29</v>
      </c>
      <c r="G3">
        <f t="shared" ref="G3:G23" si="1">B3*F3</f>
        <v>8436100</v>
      </c>
      <c r="H3">
        <f t="shared" ref="H3:H23" si="2">C3*F3</f>
        <v>2823411</v>
      </c>
      <c r="I3">
        <f t="shared" ref="I3:I23" si="3">D3*F3</f>
        <v>5612689</v>
      </c>
    </row>
    <row r="4" spans="1:17" x14ac:dyDescent="0.25">
      <c r="A4" s="20" t="s">
        <v>808</v>
      </c>
      <c r="B4" s="18">
        <v>-1000500</v>
      </c>
      <c r="C4" s="18">
        <v>-1000500</v>
      </c>
      <c r="D4" s="3">
        <f t="shared" si="0"/>
        <v>0</v>
      </c>
      <c r="E4" s="11" t="s">
        <v>809</v>
      </c>
      <c r="F4">
        <v>13</v>
      </c>
      <c r="G4">
        <f t="shared" si="1"/>
        <v>-13006500</v>
      </c>
      <c r="H4">
        <f t="shared" si="2"/>
        <v>-13006500</v>
      </c>
      <c r="I4">
        <f t="shared" si="3"/>
        <v>0</v>
      </c>
      <c r="O4">
        <v>1</v>
      </c>
      <c r="P4">
        <v>29</v>
      </c>
      <c r="Q4">
        <v>30</v>
      </c>
    </row>
    <row r="5" spans="1:17" x14ac:dyDescent="0.25">
      <c r="A5" s="30" t="s">
        <v>829</v>
      </c>
      <c r="B5" s="39">
        <v>282240</v>
      </c>
      <c r="C5" s="39">
        <v>88807</v>
      </c>
      <c r="D5" s="35">
        <f t="shared" si="0"/>
        <v>193433</v>
      </c>
      <c r="E5" s="23" t="s">
        <v>242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 x14ac:dyDescent="0.25">
      <c r="A6" s="17" t="s">
        <v>780</v>
      </c>
      <c r="B6" s="18">
        <v>0</v>
      </c>
      <c r="C6" s="18">
        <v>0</v>
      </c>
      <c r="D6" s="3">
        <f t="shared" si="0"/>
        <v>0</v>
      </c>
      <c r="E6" s="19"/>
      <c r="F6">
        <v>9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 x14ac:dyDescent="0.25">
      <c r="A24" s="2" t="s">
        <v>6</v>
      </c>
      <c r="B24" s="3">
        <f>SUM(B2:B22)</f>
        <v>34082410</v>
      </c>
      <c r="C24" s="3">
        <f>SUM(C2:C22)</f>
        <v>10335635</v>
      </c>
      <c r="D24" s="3">
        <f>SUM(D2:D22)</f>
        <v>23746775</v>
      </c>
      <c r="E24" s="2"/>
      <c r="O24">
        <v>21</v>
      </c>
      <c r="P24">
        <v>9</v>
      </c>
      <c r="Q24">
        <v>10</v>
      </c>
    </row>
    <row r="25" spans="1:17" x14ac:dyDescent="0.25">
      <c r="G25" s="18">
        <f>SUM(G2:G23)</f>
        <v>1030722700</v>
      </c>
      <c r="H25" s="18">
        <f>SUM(H2:H23)</f>
        <v>324315981</v>
      </c>
      <c r="I25" s="18">
        <f>SUM(I2:I23)</f>
        <v>706406719</v>
      </c>
      <c r="O25">
        <v>22</v>
      </c>
      <c r="P25">
        <v>8</v>
      </c>
      <c r="Q25">
        <v>9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 x14ac:dyDescent="0.25">
      <c r="O27">
        <v>24</v>
      </c>
      <c r="P27">
        <v>6</v>
      </c>
      <c r="Q27">
        <v>7</v>
      </c>
    </row>
    <row r="28" spans="1:17" x14ac:dyDescent="0.25">
      <c r="F28" t="s">
        <v>25</v>
      </c>
      <c r="O28">
        <v>25</v>
      </c>
      <c r="P28">
        <v>5</v>
      </c>
      <c r="Q28">
        <v>6</v>
      </c>
    </row>
    <row r="29" spans="1:17" x14ac:dyDescent="0.25">
      <c r="D29" s="41"/>
      <c r="E29" s="41" t="s">
        <v>85</v>
      </c>
      <c r="O29">
        <v>26</v>
      </c>
      <c r="P29">
        <v>4</v>
      </c>
      <c r="Q29">
        <v>5</v>
      </c>
    </row>
    <row r="30" spans="1:17" x14ac:dyDescent="0.25">
      <c r="D30" s="42">
        <v>7794922</v>
      </c>
      <c r="E30" s="41" t="s">
        <v>95</v>
      </c>
      <c r="G30" s="18">
        <v>282240</v>
      </c>
      <c r="H30" s="18">
        <f>G30*H25/G25</f>
        <v>88806.565022231487</v>
      </c>
      <c r="I30" s="18">
        <f>G30*I25/G25</f>
        <v>193433.43497776851</v>
      </c>
      <c r="O30">
        <v>27</v>
      </c>
      <c r="P30">
        <v>3</v>
      </c>
      <c r="Q30">
        <v>4</v>
      </c>
    </row>
    <row r="31" spans="1:17" x14ac:dyDescent="0.25">
      <c r="D31" s="42">
        <v>-10000</v>
      </c>
      <c r="E31" s="54" t="s">
        <v>792</v>
      </c>
      <c r="G31" s="9" t="s">
        <v>240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 x14ac:dyDescent="0.25">
      <c r="B32" s="7"/>
      <c r="D32" s="42">
        <v>-150000</v>
      </c>
      <c r="E32" s="41" t="s">
        <v>802</v>
      </c>
      <c r="O32">
        <v>29</v>
      </c>
      <c r="P32">
        <v>1</v>
      </c>
      <c r="Q32">
        <v>2</v>
      </c>
    </row>
    <row r="33" spans="4:17" x14ac:dyDescent="0.25">
      <c r="D33" s="42">
        <v>-8000</v>
      </c>
      <c r="E33" s="41" t="s">
        <v>810</v>
      </c>
      <c r="O33">
        <v>30</v>
      </c>
      <c r="P33">
        <v>0</v>
      </c>
      <c r="Q33">
        <v>1</v>
      </c>
    </row>
    <row r="34" spans="4:17" x14ac:dyDescent="0.25">
      <c r="D34" s="42">
        <v>-100000</v>
      </c>
      <c r="E34" s="41" t="s">
        <v>811</v>
      </c>
      <c r="P34" t="s">
        <v>60</v>
      </c>
      <c r="Q34" t="s">
        <v>61</v>
      </c>
    </row>
    <row r="35" spans="4:17" x14ac:dyDescent="0.25">
      <c r="D35" s="42">
        <v>0</v>
      </c>
      <c r="E35" s="41"/>
    </row>
    <row r="36" spans="4:17" x14ac:dyDescent="0.25">
      <c r="D36" s="42">
        <v>0</v>
      </c>
      <c r="E36" s="41"/>
    </row>
    <row r="37" spans="4:17" x14ac:dyDescent="0.25">
      <c r="D37" s="7">
        <v>0</v>
      </c>
      <c r="E37" s="41"/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7526922</v>
      </c>
      <c r="E42" t="s">
        <v>6</v>
      </c>
    </row>
    <row r="43" spans="4:17" x14ac:dyDescent="0.25">
      <c r="D43" s="7"/>
      <c r="E43" s="4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7" workbookViewId="0">
      <selection activeCell="C6" sqref="C6"/>
    </sheetView>
  </sheetViews>
  <sheetFormatPr defaultRowHeight="15" x14ac:dyDescent="0.25"/>
  <cols>
    <col min="2" max="4" width="15.140625" bestFit="1" customWidth="1"/>
    <col min="5" max="5" width="26.28515625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829</v>
      </c>
      <c r="B2" s="3">
        <f>'آذر 96'!B24</f>
        <v>34082410</v>
      </c>
      <c r="C2" s="1">
        <f>'آذر 96'!C24</f>
        <v>10335635</v>
      </c>
      <c r="D2" s="3">
        <f>B2-C2</f>
        <v>23746775</v>
      </c>
      <c r="E2" s="2" t="s">
        <v>59</v>
      </c>
      <c r="F2">
        <v>30</v>
      </c>
      <c r="G2">
        <f>B2*F2</f>
        <v>1022472300</v>
      </c>
      <c r="H2">
        <f>C2*F2</f>
        <v>310069050</v>
      </c>
      <c r="I2">
        <f>D2*F2</f>
        <v>712403250</v>
      </c>
    </row>
    <row r="3" spans="1:17" x14ac:dyDescent="0.25">
      <c r="A3" s="20" t="s">
        <v>834</v>
      </c>
      <c r="B3" s="18">
        <v>1500000</v>
      </c>
      <c r="C3" s="18">
        <v>0</v>
      </c>
      <c r="D3" s="43">
        <f t="shared" ref="D3:D22" si="0">B3-C3</f>
        <v>1500000</v>
      </c>
      <c r="E3" s="20" t="s">
        <v>835</v>
      </c>
      <c r="F3">
        <v>27</v>
      </c>
      <c r="G3">
        <f t="shared" ref="G3:G23" si="1">B3*F3</f>
        <v>40500000</v>
      </c>
      <c r="H3">
        <f t="shared" ref="H3:H23" si="2">C3*F3</f>
        <v>0</v>
      </c>
      <c r="I3">
        <f t="shared" ref="I3:I23" si="3">D3*F3</f>
        <v>40500000</v>
      </c>
    </row>
    <row r="4" spans="1:17" x14ac:dyDescent="0.25">
      <c r="A4" s="20" t="s">
        <v>855</v>
      </c>
      <c r="B4" s="18">
        <v>0</v>
      </c>
      <c r="C4" s="18">
        <v>-1000000</v>
      </c>
      <c r="D4" s="3">
        <f t="shared" si="0"/>
        <v>1000000</v>
      </c>
      <c r="E4" s="11" t="s">
        <v>856</v>
      </c>
      <c r="F4">
        <v>14</v>
      </c>
      <c r="G4">
        <f t="shared" si="1"/>
        <v>0</v>
      </c>
      <c r="H4">
        <f t="shared" si="2"/>
        <v>-14000000</v>
      </c>
      <c r="I4">
        <f t="shared" si="3"/>
        <v>14000000</v>
      </c>
      <c r="O4">
        <v>1</v>
      </c>
      <c r="P4">
        <v>29</v>
      </c>
      <c r="Q4">
        <v>30</v>
      </c>
    </row>
    <row r="5" spans="1:17" x14ac:dyDescent="0.25">
      <c r="A5" s="30" t="s">
        <v>870</v>
      </c>
      <c r="B5" s="39">
        <v>291225</v>
      </c>
      <c r="C5" s="39">
        <v>81022</v>
      </c>
      <c r="D5" s="35">
        <f t="shared" si="0"/>
        <v>210203</v>
      </c>
      <c r="E5" s="23" t="s">
        <v>264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 x14ac:dyDescent="0.25">
      <c r="A6" s="17" t="s">
        <v>780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 x14ac:dyDescent="0.25">
      <c r="A24" s="2" t="s">
        <v>6</v>
      </c>
      <c r="B24" s="3">
        <f>SUM(B2:B22)</f>
        <v>35873635</v>
      </c>
      <c r="C24" s="3">
        <f>SUM(C2:C22)</f>
        <v>9416657</v>
      </c>
      <c r="D24" s="3">
        <f>SUM(D2:D22)</f>
        <v>26456978</v>
      </c>
      <c r="E24" s="2"/>
      <c r="O24">
        <v>21</v>
      </c>
      <c r="P24">
        <v>9</v>
      </c>
      <c r="Q24">
        <v>10</v>
      </c>
    </row>
    <row r="25" spans="1:17" x14ac:dyDescent="0.25">
      <c r="G25" s="18">
        <f>SUM(G2:G23)</f>
        <v>1062972300</v>
      </c>
      <c r="H25" s="18">
        <f>SUM(H2:H23)</f>
        <v>296069050</v>
      </c>
      <c r="I25" s="18">
        <f>SUM(I2:I23)</f>
        <v>766903250</v>
      </c>
      <c r="O25">
        <v>22</v>
      </c>
      <c r="P25">
        <v>8</v>
      </c>
      <c r="Q25">
        <v>9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 x14ac:dyDescent="0.25">
      <c r="O27">
        <v>24</v>
      </c>
      <c r="P27">
        <v>6</v>
      </c>
      <c r="Q27">
        <v>7</v>
      </c>
    </row>
    <row r="28" spans="1:17" x14ac:dyDescent="0.25">
      <c r="F28" t="s">
        <v>25</v>
      </c>
      <c r="O28">
        <v>25</v>
      </c>
      <c r="P28">
        <v>5</v>
      </c>
      <c r="Q28">
        <v>6</v>
      </c>
    </row>
    <row r="29" spans="1:17" x14ac:dyDescent="0.25">
      <c r="D29" s="41"/>
      <c r="E29" s="41" t="s">
        <v>85</v>
      </c>
      <c r="O29">
        <v>26</v>
      </c>
      <c r="P29">
        <v>4</v>
      </c>
      <c r="Q29">
        <v>5</v>
      </c>
    </row>
    <row r="30" spans="1:17" x14ac:dyDescent="0.25">
      <c r="D30" s="42">
        <v>7526922</v>
      </c>
      <c r="E30" s="41" t="s">
        <v>95</v>
      </c>
      <c r="G30" s="18">
        <v>290893</v>
      </c>
      <c r="H30" s="18">
        <f>G30*H25/G25</f>
        <v>81022.256329398238</v>
      </c>
      <c r="I30" s="18">
        <f>G30*I25/G25</f>
        <v>209870.74367060178</v>
      </c>
      <c r="O30">
        <v>27</v>
      </c>
      <c r="P30">
        <v>3</v>
      </c>
      <c r="Q30">
        <v>4</v>
      </c>
    </row>
    <row r="31" spans="1:17" x14ac:dyDescent="0.25">
      <c r="D31" s="42">
        <v>-20000</v>
      </c>
      <c r="E31" s="54" t="s">
        <v>843</v>
      </c>
      <c r="G31" s="9" t="s">
        <v>910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 x14ac:dyDescent="0.25">
      <c r="B32" s="7"/>
      <c r="D32" s="42">
        <v>-4000</v>
      </c>
      <c r="E32" s="41" t="s">
        <v>844</v>
      </c>
      <c r="O32">
        <v>29</v>
      </c>
      <c r="P32">
        <v>1</v>
      </c>
      <c r="Q32">
        <v>2</v>
      </c>
    </row>
    <row r="33" spans="4:17" x14ac:dyDescent="0.25">
      <c r="D33" s="42">
        <v>-112000</v>
      </c>
      <c r="E33" s="41" t="s">
        <v>851</v>
      </c>
      <c r="O33">
        <v>30</v>
      </c>
      <c r="P33">
        <v>0</v>
      </c>
      <c r="Q33">
        <v>1</v>
      </c>
    </row>
    <row r="34" spans="4:17" x14ac:dyDescent="0.25">
      <c r="D34" s="42">
        <v>-9000</v>
      </c>
      <c r="E34" s="41" t="s">
        <v>853</v>
      </c>
      <c r="P34" t="s">
        <v>60</v>
      </c>
      <c r="Q34" t="s">
        <v>61</v>
      </c>
    </row>
    <row r="35" spans="4:17" x14ac:dyDescent="0.25">
      <c r="D35" s="42">
        <v>-80000</v>
      </c>
      <c r="E35" s="41" t="s">
        <v>854</v>
      </c>
    </row>
    <row r="36" spans="4:17" x14ac:dyDescent="0.25">
      <c r="D36" s="42">
        <v>-10000</v>
      </c>
      <c r="E36" s="41" t="s">
        <v>864</v>
      </c>
    </row>
    <row r="37" spans="4:17" x14ac:dyDescent="0.25">
      <c r="D37" s="7">
        <v>-180000</v>
      </c>
      <c r="E37" s="41" t="s">
        <v>869</v>
      </c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7111922</v>
      </c>
      <c r="E42" t="s">
        <v>6</v>
      </c>
    </row>
    <row r="43" spans="4:17" x14ac:dyDescent="0.25">
      <c r="D43" s="7"/>
      <c r="E43" s="4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selection activeCell="D2" sqref="D2"/>
    </sheetView>
  </sheetViews>
  <sheetFormatPr defaultRowHeight="15" x14ac:dyDescent="0.25"/>
  <cols>
    <col min="1" max="1" width="10.7109375" bestFit="1" customWidth="1"/>
    <col min="2" max="4" width="15.140625" bestFit="1" customWidth="1"/>
    <col min="5" max="5" width="23.5703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829</v>
      </c>
      <c r="B2" s="3">
        <f>'دی 96'!B24</f>
        <v>35873635</v>
      </c>
      <c r="C2" s="1">
        <f>'دی 96'!C24</f>
        <v>9416657</v>
      </c>
      <c r="D2" s="3">
        <f>B2-C2</f>
        <v>26456978</v>
      </c>
      <c r="E2" s="2" t="s">
        <v>59</v>
      </c>
      <c r="F2">
        <v>30</v>
      </c>
      <c r="G2">
        <f>B2*F2</f>
        <v>1076209050</v>
      </c>
      <c r="H2">
        <f>C2*F2</f>
        <v>282499710</v>
      </c>
      <c r="I2">
        <f>D2*F2</f>
        <v>793709340</v>
      </c>
    </row>
    <row r="3" spans="1:17" x14ac:dyDescent="0.25">
      <c r="A3" s="20" t="s">
        <v>899</v>
      </c>
      <c r="B3" s="18">
        <v>0</v>
      </c>
      <c r="C3" s="18">
        <v>-1000000</v>
      </c>
      <c r="D3" s="43">
        <f t="shared" ref="D3:D22" si="0">B3-C3</f>
        <v>1000000</v>
      </c>
      <c r="E3" s="20" t="s">
        <v>903</v>
      </c>
      <c r="F3">
        <v>10</v>
      </c>
      <c r="G3">
        <f t="shared" ref="G3:G23" si="1">B3*F3</f>
        <v>0</v>
      </c>
      <c r="H3">
        <f t="shared" ref="H3:H23" si="2">C3*F3</f>
        <v>-10000000</v>
      </c>
      <c r="I3">
        <f t="shared" ref="I3:I23" si="3">D3*F3</f>
        <v>10000000</v>
      </c>
    </row>
    <row r="4" spans="1:17" x14ac:dyDescent="0.25">
      <c r="A4" s="23" t="s">
        <v>908</v>
      </c>
      <c r="B4" s="39">
        <v>294852</v>
      </c>
      <c r="C4" s="39">
        <v>74657</v>
      </c>
      <c r="D4" s="35">
        <f t="shared" si="0"/>
        <v>220195</v>
      </c>
      <c r="E4" s="23" t="s">
        <v>918</v>
      </c>
      <c r="F4">
        <v>0</v>
      </c>
      <c r="G4">
        <f t="shared" si="1"/>
        <v>0</v>
      </c>
      <c r="H4">
        <f t="shared" si="2"/>
        <v>0</v>
      </c>
      <c r="I4">
        <f t="shared" si="3"/>
        <v>0</v>
      </c>
      <c r="O4">
        <v>1</v>
      </c>
      <c r="P4">
        <v>29</v>
      </c>
      <c r="Q4">
        <v>30</v>
      </c>
    </row>
    <row r="5" spans="1:17" x14ac:dyDescent="0.25">
      <c r="A5" s="30" t="s">
        <v>769</v>
      </c>
      <c r="B5" s="18">
        <v>0</v>
      </c>
      <c r="C5" s="18">
        <v>0</v>
      </c>
      <c r="D5" s="3">
        <f t="shared" si="0"/>
        <v>0</v>
      </c>
      <c r="E5" s="20"/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 x14ac:dyDescent="0.25">
      <c r="A6" s="17" t="s">
        <v>780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 x14ac:dyDescent="0.25">
      <c r="A24" s="2" t="s">
        <v>6</v>
      </c>
      <c r="B24" s="3">
        <f>SUM(B2:B22)</f>
        <v>36168487</v>
      </c>
      <c r="C24" s="3">
        <f>SUM(C2:C22)</f>
        <v>8491314</v>
      </c>
      <c r="D24" s="3">
        <f>SUM(D2:D22)</f>
        <v>27677173</v>
      </c>
      <c r="E24" s="2"/>
      <c r="O24">
        <v>21</v>
      </c>
      <c r="P24">
        <v>9</v>
      </c>
      <c r="Q24">
        <v>10</v>
      </c>
    </row>
    <row r="25" spans="1:17" x14ac:dyDescent="0.25">
      <c r="G25" s="18">
        <f>SUM(G2:G23)</f>
        <v>1076209050</v>
      </c>
      <c r="H25" s="18">
        <f>SUM(H2:H23)</f>
        <v>272499710</v>
      </c>
      <c r="I25" s="18">
        <f>SUM(I2:I23)</f>
        <v>803709340</v>
      </c>
      <c r="O25">
        <v>22</v>
      </c>
      <c r="P25">
        <v>8</v>
      </c>
      <c r="Q25">
        <v>9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 x14ac:dyDescent="0.25">
      <c r="O27">
        <v>24</v>
      </c>
      <c r="P27">
        <v>6</v>
      </c>
      <c r="Q27">
        <v>7</v>
      </c>
    </row>
    <row r="28" spans="1:17" x14ac:dyDescent="0.25">
      <c r="F28" t="s">
        <v>25</v>
      </c>
      <c r="O28">
        <v>25</v>
      </c>
      <c r="P28">
        <v>5</v>
      </c>
      <c r="Q28">
        <v>6</v>
      </c>
    </row>
    <row r="29" spans="1:17" x14ac:dyDescent="0.25">
      <c r="D29" s="41"/>
      <c r="E29" s="41" t="s">
        <v>85</v>
      </c>
      <c r="O29">
        <v>26</v>
      </c>
      <c r="P29">
        <v>4</v>
      </c>
      <c r="Q29">
        <v>5</v>
      </c>
    </row>
    <row r="30" spans="1:17" x14ac:dyDescent="0.25">
      <c r="D30" s="42">
        <v>7111922</v>
      </c>
      <c r="E30" s="41" t="s">
        <v>95</v>
      </c>
      <c r="G30" s="18">
        <f>G25*100000/365000000</f>
        <v>294851.79452054796</v>
      </c>
      <c r="H30" s="18">
        <f>G30*H25/G25</f>
        <v>74657.454794520556</v>
      </c>
      <c r="I30" s="18">
        <f>G30*I25/G25</f>
        <v>220194.33972602742</v>
      </c>
      <c r="O30">
        <v>27</v>
      </c>
      <c r="P30">
        <v>3</v>
      </c>
      <c r="Q30">
        <v>4</v>
      </c>
    </row>
    <row r="31" spans="1:17" x14ac:dyDescent="0.25">
      <c r="D31" s="42">
        <v>-20000</v>
      </c>
      <c r="E31" s="54" t="s">
        <v>901</v>
      </c>
      <c r="G31" s="9" t="s">
        <v>406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 x14ac:dyDescent="0.25">
      <c r="B32" s="7"/>
      <c r="D32" s="42">
        <v>-10000</v>
      </c>
      <c r="E32" s="41" t="s">
        <v>902</v>
      </c>
      <c r="O32">
        <v>29</v>
      </c>
      <c r="P32">
        <v>1</v>
      </c>
      <c r="Q32">
        <v>2</v>
      </c>
    </row>
    <row r="33" spans="4:17" x14ac:dyDescent="0.25">
      <c r="D33" s="42">
        <v>0</v>
      </c>
      <c r="E33" s="41"/>
      <c r="O33">
        <v>30</v>
      </c>
      <c r="P33">
        <v>0</v>
      </c>
      <c r="Q33">
        <v>1</v>
      </c>
    </row>
    <row r="34" spans="4:17" x14ac:dyDescent="0.25">
      <c r="D34" s="42">
        <v>0</v>
      </c>
      <c r="E34" s="41"/>
      <c r="P34" t="s">
        <v>60</v>
      </c>
      <c r="Q34" t="s">
        <v>61</v>
      </c>
    </row>
    <row r="35" spans="4:17" x14ac:dyDescent="0.25">
      <c r="D35" s="42">
        <v>0</v>
      </c>
      <c r="E35" s="41"/>
    </row>
    <row r="36" spans="4:17" x14ac:dyDescent="0.25">
      <c r="D36" s="42">
        <v>0</v>
      </c>
      <c r="E36" s="41"/>
    </row>
    <row r="37" spans="4:17" x14ac:dyDescent="0.25">
      <c r="D37" s="7">
        <v>0</v>
      </c>
      <c r="E37" s="41"/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7081922</v>
      </c>
      <c r="E42" t="s">
        <v>6</v>
      </c>
    </row>
    <row r="43" spans="4:17" x14ac:dyDescent="0.25">
      <c r="D43" s="7"/>
      <c r="E43" s="4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3"/>
  <sheetViews>
    <sheetView workbookViewId="0">
      <pane ySplit="1" topLeftCell="A67" activePane="bottomLeft" state="frozen"/>
      <selection pane="bottomLeft" activeCell="F94" sqref="F94"/>
    </sheetView>
  </sheetViews>
  <sheetFormatPr defaultRowHeight="15" x14ac:dyDescent="0.25"/>
  <cols>
    <col min="1" max="1" width="10.7109375" bestFit="1" customWidth="1"/>
    <col min="2" max="2" width="9.28515625" customWidth="1"/>
    <col min="3" max="3" width="16.140625" bestFit="1" customWidth="1"/>
    <col min="4" max="4" width="11.42578125" customWidth="1"/>
    <col min="5" max="5" width="15.140625" bestFit="1" customWidth="1"/>
    <col min="6" max="6" width="18.7109375" customWidth="1"/>
    <col min="7" max="7" width="7.85546875" customWidth="1"/>
    <col min="8" max="8" width="14.5703125" bestFit="1" customWidth="1"/>
    <col min="9" max="9" width="16.140625" bestFit="1" customWidth="1"/>
    <col min="10" max="10" width="10.28515625" bestFit="1" customWidth="1"/>
    <col min="11" max="11" width="12.42578125" bestFit="1" customWidth="1"/>
    <col min="12" max="12" width="16.85546875" bestFit="1" customWidth="1"/>
    <col min="13" max="13" width="15.85546875" bestFit="1" customWidth="1"/>
    <col min="14" max="15" width="8.85546875" bestFit="1" customWidth="1"/>
    <col min="16" max="16" width="14.140625" bestFit="1" customWidth="1"/>
    <col min="17" max="17" width="12.85546875" bestFit="1" customWidth="1"/>
    <col min="18" max="18" width="37" bestFit="1" customWidth="1"/>
    <col min="19" max="19" width="13.85546875" bestFit="1" customWidth="1"/>
    <col min="20" max="20" width="37" bestFit="1" customWidth="1"/>
    <col min="21" max="21" width="11.42578125" bestFit="1" customWidth="1"/>
    <col min="25" max="25" width="11.42578125" bestFit="1" customWidth="1"/>
    <col min="27" max="27" width="35.140625" customWidth="1"/>
  </cols>
  <sheetData>
    <row r="1" spans="1:24" x14ac:dyDescent="0.25">
      <c r="A1" s="11" t="s">
        <v>967</v>
      </c>
      <c r="B1" s="11" t="s">
        <v>964</v>
      </c>
      <c r="C1" s="11" t="s">
        <v>965</v>
      </c>
      <c r="D1" s="11" t="s">
        <v>977</v>
      </c>
      <c r="E1" s="11" t="s">
        <v>979</v>
      </c>
      <c r="F1" s="11" t="s">
        <v>968</v>
      </c>
      <c r="G1" s="11" t="s">
        <v>183</v>
      </c>
      <c r="H1" s="11" t="s">
        <v>984</v>
      </c>
      <c r="I1" s="11" t="s">
        <v>973</v>
      </c>
      <c r="J1" s="11" t="s">
        <v>980</v>
      </c>
      <c r="K1" s="11" t="s">
        <v>981</v>
      </c>
      <c r="L1" s="11" t="s">
        <v>974</v>
      </c>
      <c r="M1" s="11" t="s">
        <v>982</v>
      </c>
      <c r="N1" s="11" t="s">
        <v>5</v>
      </c>
      <c r="O1" s="11" t="s">
        <v>484</v>
      </c>
      <c r="P1" s="11" t="s">
        <v>39</v>
      </c>
      <c r="Q1" s="11" t="s">
        <v>1067</v>
      </c>
      <c r="R1" s="11" t="s">
        <v>8</v>
      </c>
      <c r="S1" s="11" t="s">
        <v>986</v>
      </c>
    </row>
    <row r="2" spans="1:24" x14ac:dyDescent="0.25">
      <c r="A2" s="77" t="s">
        <v>952</v>
      </c>
      <c r="B2" s="77" t="s">
        <v>975</v>
      </c>
      <c r="C2" s="77">
        <v>400</v>
      </c>
      <c r="D2" s="77" t="s">
        <v>61</v>
      </c>
      <c r="E2" s="78">
        <v>96959</v>
      </c>
      <c r="F2" s="78">
        <v>39275391</v>
      </c>
      <c r="G2" s="77">
        <v>0</v>
      </c>
      <c r="H2" s="77">
        <v>21</v>
      </c>
      <c r="I2" s="78">
        <f>F2*G2*($H$82-H2)/(36500)</f>
        <v>0</v>
      </c>
      <c r="J2" s="77">
        <v>7.2499999999999995E-2</v>
      </c>
      <c r="K2" s="78">
        <f>C2*E2*J2/100</f>
        <v>28118.11</v>
      </c>
      <c r="L2" s="77">
        <f>(E2*(1+J2/100)+I2/C2)/(1-J3/100)</f>
        <v>97099.692552100285</v>
      </c>
      <c r="M2" s="77"/>
      <c r="N2" s="77"/>
      <c r="O2" s="77"/>
      <c r="P2" s="77"/>
      <c r="Q2" s="77"/>
      <c r="R2" s="77" t="s">
        <v>976</v>
      </c>
      <c r="S2" s="77"/>
    </row>
    <row r="3" spans="1:24" x14ac:dyDescent="0.25">
      <c r="A3" s="77" t="s">
        <v>952</v>
      </c>
      <c r="B3" s="77" t="s">
        <v>975</v>
      </c>
      <c r="C3" s="77">
        <v>400</v>
      </c>
      <c r="D3" s="77" t="s">
        <v>978</v>
      </c>
      <c r="E3" s="78">
        <v>99999</v>
      </c>
      <c r="F3" s="78">
        <v>40434473</v>
      </c>
      <c r="G3" s="77"/>
      <c r="H3" s="77">
        <v>21</v>
      </c>
      <c r="I3" s="78">
        <f>F3*G3*($H$82-H3)/(36500)</f>
        <v>0</v>
      </c>
      <c r="J3" s="77">
        <v>7.2499999999999995E-2</v>
      </c>
      <c r="K3" s="78">
        <f>C3*E3*J3/100</f>
        <v>28999.71</v>
      </c>
      <c r="L3" s="77">
        <v>0</v>
      </c>
      <c r="M3" s="79">
        <f>F3-F2</f>
        <v>1159082</v>
      </c>
      <c r="N3" s="77">
        <v>400</v>
      </c>
      <c r="O3" s="77">
        <f>C2-N3</f>
        <v>0</v>
      </c>
      <c r="P3" s="79">
        <f>M3*N3/C2</f>
        <v>1159082</v>
      </c>
      <c r="Q3" s="79">
        <f>M3*O3/C2</f>
        <v>0</v>
      </c>
      <c r="R3" s="77" t="s">
        <v>985</v>
      </c>
      <c r="S3" s="77"/>
      <c r="X3" s="26"/>
    </row>
    <row r="4" spans="1:24" x14ac:dyDescent="0.25">
      <c r="A4" s="80" t="s">
        <v>962</v>
      </c>
      <c r="B4" s="80" t="s">
        <v>983</v>
      </c>
      <c r="C4" s="80">
        <v>300</v>
      </c>
      <c r="D4" s="80" t="s">
        <v>61</v>
      </c>
      <c r="E4" s="81">
        <v>97219</v>
      </c>
      <c r="F4" s="81">
        <v>29203853</v>
      </c>
      <c r="G4" s="80">
        <v>3</v>
      </c>
      <c r="H4" s="80">
        <v>21</v>
      </c>
      <c r="I4" s="81">
        <f>F4*G4*($H$82-H4)/(36500)</f>
        <v>2400.3166849315066</v>
      </c>
      <c r="J4" s="80">
        <v>7.2499999999999995E-2</v>
      </c>
      <c r="K4" s="81">
        <f>C4*E4*J4/100</f>
        <v>21145.1325</v>
      </c>
      <c r="L4" s="80">
        <f t="shared" ref="L4" si="0">(E4*(1+J4/100)+I4/C4)/(1-J5/100)</f>
        <v>97368.076686213957</v>
      </c>
      <c r="M4" s="80"/>
      <c r="N4" s="80"/>
      <c r="O4" s="80"/>
      <c r="P4" s="80"/>
      <c r="Q4" s="80"/>
      <c r="R4" s="80"/>
      <c r="S4" s="81"/>
    </row>
    <row r="5" spans="1:24" x14ac:dyDescent="0.25">
      <c r="A5" s="80" t="s">
        <v>960</v>
      </c>
      <c r="B5" s="80" t="s">
        <v>983</v>
      </c>
      <c r="C5" s="80">
        <v>300</v>
      </c>
      <c r="D5" s="80" t="s">
        <v>978</v>
      </c>
      <c r="E5" s="81">
        <v>98000</v>
      </c>
      <c r="F5" s="81">
        <v>29446055</v>
      </c>
      <c r="G5" s="80">
        <v>0</v>
      </c>
      <c r="H5" s="80">
        <v>0</v>
      </c>
      <c r="I5" s="81">
        <f>F5*G5*($H$82-H5)/(36500)</f>
        <v>0</v>
      </c>
      <c r="J5" s="80">
        <v>7.2499999999999995E-2</v>
      </c>
      <c r="K5" s="81"/>
      <c r="L5" s="80">
        <v>0</v>
      </c>
      <c r="M5" s="82">
        <f>F5-F4</f>
        <v>242202</v>
      </c>
      <c r="N5" s="80">
        <v>300</v>
      </c>
      <c r="O5" s="80">
        <f>C4-N5</f>
        <v>0</v>
      </c>
      <c r="P5" s="82">
        <f>M5*N5/C4</f>
        <v>242202</v>
      </c>
      <c r="Q5" s="82">
        <f>M5*O5/C4</f>
        <v>0</v>
      </c>
      <c r="R5" s="80"/>
      <c r="S5" s="81"/>
    </row>
    <row r="6" spans="1:24" x14ac:dyDescent="0.25">
      <c r="A6" s="77" t="s">
        <v>960</v>
      </c>
      <c r="B6" s="77" t="s">
        <v>1054</v>
      </c>
      <c r="C6" s="77">
        <v>200</v>
      </c>
      <c r="D6" s="77" t="s">
        <v>61</v>
      </c>
      <c r="E6" s="78">
        <v>70000</v>
      </c>
      <c r="F6" s="78">
        <v>14010149</v>
      </c>
      <c r="G6" s="77">
        <v>0</v>
      </c>
      <c r="H6" s="77">
        <v>0</v>
      </c>
      <c r="I6" s="78">
        <f>F6*G6*($H$82-H6)/(36500)</f>
        <v>0</v>
      </c>
      <c r="J6" s="77">
        <v>7.2499999999999995E-2</v>
      </c>
      <c r="K6" s="78">
        <f>C6*E6*J6/100</f>
        <v>10149.999999999998</v>
      </c>
      <c r="L6" s="77">
        <f t="shared" ref="L6" si="1">(E6*(1+J6/100)+I6/C6)/(1-J7/100)</f>
        <v>70101.573640889648</v>
      </c>
      <c r="M6" s="77"/>
      <c r="N6" s="77"/>
      <c r="O6" s="77"/>
      <c r="P6" s="77"/>
      <c r="Q6" s="77"/>
      <c r="R6" s="77"/>
      <c r="S6" s="77"/>
    </row>
    <row r="7" spans="1:24" x14ac:dyDescent="0.25">
      <c r="A7" s="77" t="s">
        <v>960</v>
      </c>
      <c r="B7" s="77" t="s">
        <v>1054</v>
      </c>
      <c r="C7" s="77">
        <v>200</v>
      </c>
      <c r="D7" s="77" t="s">
        <v>978</v>
      </c>
      <c r="E7" s="78">
        <v>704889</v>
      </c>
      <c r="F7" s="78">
        <v>14087559</v>
      </c>
      <c r="G7" s="77">
        <v>0</v>
      </c>
      <c r="H7" s="77">
        <v>0</v>
      </c>
      <c r="I7" s="78">
        <f>F7*G7*($H$82-H7)/(36500)</f>
        <v>0</v>
      </c>
      <c r="J7" s="77">
        <v>7.2499999999999995E-2</v>
      </c>
      <c r="K7" s="78">
        <f>C7*E7*J7/100</f>
        <v>102208.905</v>
      </c>
      <c r="L7" s="77">
        <v>0</v>
      </c>
      <c r="M7" s="79">
        <f>F7-F6</f>
        <v>77410</v>
      </c>
      <c r="N7" s="77">
        <v>100</v>
      </c>
      <c r="O7" s="77">
        <f>C6-N7</f>
        <v>100</v>
      </c>
      <c r="P7" s="79">
        <f>M7*N7/C6</f>
        <v>38705</v>
      </c>
      <c r="Q7" s="79">
        <f>M7*O7/C6</f>
        <v>38705</v>
      </c>
      <c r="R7" s="77"/>
      <c r="S7" s="77"/>
    </row>
    <row r="8" spans="1:24" x14ac:dyDescent="0.25">
      <c r="A8" s="80" t="s">
        <v>960</v>
      </c>
      <c r="B8" s="80" t="s">
        <v>995</v>
      </c>
      <c r="C8" s="80">
        <v>200</v>
      </c>
      <c r="D8" s="80" t="s">
        <v>61</v>
      </c>
      <c r="E8" s="81">
        <v>83000</v>
      </c>
      <c r="F8" s="81">
        <v>17464390</v>
      </c>
      <c r="G8" s="80">
        <v>0</v>
      </c>
      <c r="H8" s="80">
        <v>15</v>
      </c>
      <c r="I8" s="81">
        <f>F8*G8*($H$82-H8)/(36500)</f>
        <v>0</v>
      </c>
      <c r="J8" s="80">
        <v>7.2499999999999995E-2</v>
      </c>
      <c r="K8" s="81">
        <f>C8*E8*J8/100</f>
        <v>12035</v>
      </c>
      <c r="L8" s="80">
        <f>(E8*(1+J8/100)+I8/C8)/(1-J9/100)</f>
        <v>83120.437317054864</v>
      </c>
      <c r="M8" s="80"/>
      <c r="N8" s="80"/>
      <c r="O8" s="80"/>
      <c r="P8" s="80"/>
      <c r="Q8" s="80"/>
      <c r="R8" s="80"/>
      <c r="S8" s="80"/>
    </row>
    <row r="9" spans="1:24" x14ac:dyDescent="0.25">
      <c r="A9" s="80" t="s">
        <v>960</v>
      </c>
      <c r="B9" s="80" t="s">
        <v>995</v>
      </c>
      <c r="C9" s="80">
        <v>200</v>
      </c>
      <c r="D9" s="80" t="s">
        <v>978</v>
      </c>
      <c r="E9" s="81">
        <v>83399</v>
      </c>
      <c r="F9" s="81">
        <v>17520183</v>
      </c>
      <c r="G9" s="80">
        <v>0</v>
      </c>
      <c r="H9" s="80">
        <v>15</v>
      </c>
      <c r="I9" s="81">
        <f>F9*G9*($H$82-H9)/(36500)</f>
        <v>0</v>
      </c>
      <c r="J9" s="80">
        <v>7.2499999999999995E-2</v>
      </c>
      <c r="K9" s="81">
        <f>C9*E9*J9/100</f>
        <v>12092.855</v>
      </c>
      <c r="L9" s="80">
        <v>0</v>
      </c>
      <c r="M9" s="82">
        <f>F9-F8</f>
        <v>55793</v>
      </c>
      <c r="N9" s="80">
        <v>100</v>
      </c>
      <c r="O9" s="80">
        <f>C8-N9</f>
        <v>100</v>
      </c>
      <c r="P9" s="82">
        <f>M9*N9/C8</f>
        <v>27896.5</v>
      </c>
      <c r="Q9" s="82">
        <f>M9*O9/C8</f>
        <v>27896.5</v>
      </c>
      <c r="R9" s="80"/>
      <c r="S9" s="80"/>
    </row>
    <row r="10" spans="1:24" x14ac:dyDescent="0.25">
      <c r="A10" s="77" t="s">
        <v>1074</v>
      </c>
      <c r="B10" s="77" t="s">
        <v>1054</v>
      </c>
      <c r="C10" s="77">
        <v>143</v>
      </c>
      <c r="D10" s="77" t="s">
        <v>61</v>
      </c>
      <c r="E10" s="78">
        <v>70003</v>
      </c>
      <c r="F10" s="78">
        <v>10017729</v>
      </c>
      <c r="G10" s="77">
        <v>0</v>
      </c>
      <c r="H10" s="77">
        <v>0</v>
      </c>
      <c r="I10" s="78">
        <f>F10*G10*($H$82-H10)/(36500)</f>
        <v>0</v>
      </c>
      <c r="J10" s="77">
        <v>7.2499999999999995E-2</v>
      </c>
      <c r="K10" s="78">
        <f>C10*E10*J10/100</f>
        <v>7257.5610249999991</v>
      </c>
      <c r="L10" s="77">
        <f t="shared" ref="L10" si="2">(E10*(1+J10/100)+I10/C10)/(1-J11/100)</f>
        <v>70104.577994045685</v>
      </c>
      <c r="M10" s="79"/>
      <c r="N10" s="77"/>
      <c r="O10" s="77"/>
      <c r="P10" s="79"/>
      <c r="Q10" s="79"/>
      <c r="R10" s="77"/>
      <c r="S10" s="77"/>
    </row>
    <row r="11" spans="1:24" x14ac:dyDescent="0.25">
      <c r="A11" s="77" t="s">
        <v>1074</v>
      </c>
      <c r="B11" s="77" t="s">
        <v>1054</v>
      </c>
      <c r="C11" s="77">
        <v>143</v>
      </c>
      <c r="D11" s="77" t="s">
        <v>978</v>
      </c>
      <c r="E11" s="78">
        <v>70500</v>
      </c>
      <c r="F11" s="78">
        <v>10074191</v>
      </c>
      <c r="G11" s="77">
        <v>0</v>
      </c>
      <c r="H11" s="77">
        <v>0</v>
      </c>
      <c r="I11" s="78">
        <f>F11*G11*($H$82-H11)/(36500)</f>
        <v>0</v>
      </c>
      <c r="J11" s="77">
        <v>7.2499999999999995E-2</v>
      </c>
      <c r="K11" s="78">
        <f>C11*E11*J11/100</f>
        <v>7309.0874999999996</v>
      </c>
      <c r="L11" s="77"/>
      <c r="M11" s="79">
        <f>F11-F10</f>
        <v>56462</v>
      </c>
      <c r="N11" s="77">
        <v>71.5</v>
      </c>
      <c r="O11" s="77">
        <f>C10-N11</f>
        <v>71.5</v>
      </c>
      <c r="P11" s="79">
        <f>M11*N11/C10</f>
        <v>28231</v>
      </c>
      <c r="Q11" s="79">
        <f>M11*O11/C10</f>
        <v>28231</v>
      </c>
      <c r="R11" s="77"/>
      <c r="S11" s="77"/>
    </row>
    <row r="12" spans="1:24" x14ac:dyDescent="0.25">
      <c r="A12" s="80" t="s">
        <v>1074</v>
      </c>
      <c r="B12" s="80" t="s">
        <v>966</v>
      </c>
      <c r="C12" s="80">
        <v>500</v>
      </c>
      <c r="D12" s="80" t="s">
        <v>61</v>
      </c>
      <c r="E12" s="81">
        <v>80620</v>
      </c>
      <c r="F12" s="81">
        <v>40339223</v>
      </c>
      <c r="G12" s="80">
        <v>0</v>
      </c>
      <c r="H12" s="80">
        <v>0</v>
      </c>
      <c r="I12" s="81">
        <f>F12*G12*($H$82-H12)/(36500)</f>
        <v>0</v>
      </c>
      <c r="J12" s="80">
        <v>7.2499999999999995E-2</v>
      </c>
      <c r="K12" s="81">
        <f>C12*E12*J12/100</f>
        <v>29224.75</v>
      </c>
      <c r="L12" s="80"/>
      <c r="M12" s="82"/>
      <c r="N12" s="80"/>
      <c r="O12" s="80"/>
      <c r="P12" s="82"/>
      <c r="Q12" s="82"/>
      <c r="R12" s="80"/>
      <c r="S12" s="80"/>
      <c r="T12">
        <v>97370</v>
      </c>
    </row>
    <row r="13" spans="1:24" x14ac:dyDescent="0.25">
      <c r="A13" s="80" t="s">
        <v>1074</v>
      </c>
      <c r="B13" s="80" t="s">
        <v>966</v>
      </c>
      <c r="C13" s="80">
        <v>500</v>
      </c>
      <c r="D13" s="80" t="s">
        <v>978</v>
      </c>
      <c r="E13" s="81">
        <v>80980</v>
      </c>
      <c r="F13" s="81">
        <v>40460644</v>
      </c>
      <c r="G13" s="80">
        <v>0</v>
      </c>
      <c r="H13" s="80">
        <v>0</v>
      </c>
      <c r="I13" s="81"/>
      <c r="J13" s="80">
        <v>7.2499999999999995E-2</v>
      </c>
      <c r="K13" s="81">
        <f>C13*E13*J13/100</f>
        <v>29355.25</v>
      </c>
      <c r="L13" s="80"/>
      <c r="M13" s="82">
        <f>F13-F12</f>
        <v>121421</v>
      </c>
      <c r="N13" s="80">
        <v>250</v>
      </c>
      <c r="O13" s="80">
        <v>250</v>
      </c>
      <c r="P13" s="82">
        <f>M13*N13/C12</f>
        <v>60710.5</v>
      </c>
      <c r="Q13" s="82">
        <f>M13*O13/C12</f>
        <v>60710.5</v>
      </c>
      <c r="R13" s="80"/>
      <c r="S13" s="80"/>
    </row>
    <row r="14" spans="1:24" x14ac:dyDescent="0.25">
      <c r="A14" s="77" t="s">
        <v>1074</v>
      </c>
      <c r="B14" s="77" t="s">
        <v>1054</v>
      </c>
      <c r="C14" s="77">
        <v>140</v>
      </c>
      <c r="D14" s="77" t="s">
        <v>1076</v>
      </c>
      <c r="E14" s="78">
        <v>70502</v>
      </c>
      <c r="F14" s="78">
        <v>9877463</v>
      </c>
      <c r="G14" s="77">
        <v>0</v>
      </c>
      <c r="H14" s="77">
        <v>0</v>
      </c>
      <c r="I14" s="78"/>
      <c r="J14" s="77">
        <v>7.2499999999999995E-2</v>
      </c>
      <c r="K14" s="78">
        <f>C14*E14*J14/100</f>
        <v>7155.9529999999995</v>
      </c>
      <c r="L14" s="77"/>
      <c r="M14" s="79"/>
      <c r="N14" s="77"/>
      <c r="O14" s="77"/>
      <c r="P14" s="79"/>
      <c r="Q14" s="79"/>
      <c r="R14" s="77"/>
      <c r="S14" s="77"/>
      <c r="T14">
        <v>98020</v>
      </c>
    </row>
    <row r="15" spans="1:24" x14ac:dyDescent="0.25">
      <c r="A15" s="77" t="s">
        <v>1074</v>
      </c>
      <c r="B15" s="77" t="s">
        <v>1054</v>
      </c>
      <c r="C15" s="77">
        <v>140</v>
      </c>
      <c r="D15" s="77" t="s">
        <v>978</v>
      </c>
      <c r="E15" s="78">
        <v>71186</v>
      </c>
      <c r="F15" s="78">
        <v>9958940</v>
      </c>
      <c r="G15" s="77">
        <v>0</v>
      </c>
      <c r="H15" s="77">
        <v>0</v>
      </c>
      <c r="I15" s="78"/>
      <c r="J15" s="77">
        <v>7.2499999999999995E-2</v>
      </c>
      <c r="K15" s="78">
        <f>C15*E15*J15/100</f>
        <v>7225.378999999999</v>
      </c>
      <c r="L15" s="77"/>
      <c r="M15" s="79">
        <f>F15-F14</f>
        <v>81477</v>
      </c>
      <c r="N15" s="77">
        <v>70</v>
      </c>
      <c r="O15" s="77">
        <v>70</v>
      </c>
      <c r="P15" s="79">
        <f>M15*N15/C14</f>
        <v>40738.5</v>
      </c>
      <c r="Q15" s="79">
        <f>M15*O15/C14</f>
        <v>40738.5</v>
      </c>
      <c r="R15" s="77"/>
      <c r="S15" s="77"/>
    </row>
    <row r="16" spans="1:24" x14ac:dyDescent="0.25">
      <c r="A16" s="80" t="s">
        <v>952</v>
      </c>
      <c r="B16" s="80" t="s">
        <v>966</v>
      </c>
      <c r="C16" s="80">
        <v>3</v>
      </c>
      <c r="D16" s="80" t="s">
        <v>61</v>
      </c>
      <c r="E16" s="81">
        <v>80100</v>
      </c>
      <c r="F16" s="81">
        <v>240474</v>
      </c>
      <c r="G16" s="80">
        <v>5</v>
      </c>
      <c r="H16" s="80">
        <v>0</v>
      </c>
      <c r="I16" s="81">
        <f>F16*G16*($H$82-H16)/(36500)</f>
        <v>724.71616438356159</v>
      </c>
      <c r="J16" s="80">
        <v>7.2499999999999995E-2</v>
      </c>
      <c r="K16" s="81">
        <f>C16*E16*J16/100</f>
        <v>174.2175</v>
      </c>
      <c r="L16" s="80"/>
      <c r="M16" s="82"/>
      <c r="N16" s="80"/>
      <c r="O16" s="80"/>
      <c r="P16" s="82"/>
      <c r="Q16" s="82"/>
      <c r="R16" s="80"/>
      <c r="S16" s="80"/>
    </row>
    <row r="17" spans="1:20" x14ac:dyDescent="0.25">
      <c r="A17" s="80" t="s">
        <v>1074</v>
      </c>
      <c r="B17" s="80" t="s">
        <v>966</v>
      </c>
      <c r="C17" s="80">
        <v>3</v>
      </c>
      <c r="D17" s="80" t="s">
        <v>978</v>
      </c>
      <c r="E17" s="81">
        <v>81000</v>
      </c>
      <c r="F17" s="81">
        <v>243596</v>
      </c>
      <c r="G17" s="80">
        <v>0</v>
      </c>
      <c r="H17" s="80">
        <v>0</v>
      </c>
      <c r="I17" s="81"/>
      <c r="J17" s="80">
        <v>7.2499999999999995E-2</v>
      </c>
      <c r="K17" s="81">
        <f>C17*E17*J17/100</f>
        <v>176.17500000000001</v>
      </c>
      <c r="L17" s="80"/>
      <c r="M17" s="82">
        <f>F17-F16</f>
        <v>3122</v>
      </c>
      <c r="N17" s="80">
        <v>1.5</v>
      </c>
      <c r="O17" s="80">
        <v>1.5</v>
      </c>
      <c r="P17" s="82">
        <f>M17*N17/C16</f>
        <v>1561</v>
      </c>
      <c r="Q17" s="82">
        <f>M17*O17/C16</f>
        <v>1561</v>
      </c>
      <c r="R17" s="80"/>
      <c r="S17" s="80"/>
    </row>
    <row r="18" spans="1:20" x14ac:dyDescent="0.25">
      <c r="A18" s="77"/>
      <c r="B18" s="77"/>
      <c r="C18" s="77"/>
      <c r="D18" s="77"/>
      <c r="E18" s="78"/>
      <c r="F18" s="78"/>
      <c r="G18" s="77"/>
      <c r="H18" s="77"/>
      <c r="I18" s="78"/>
      <c r="J18" s="77"/>
      <c r="K18" s="78"/>
      <c r="L18" s="77"/>
      <c r="M18" s="79"/>
      <c r="N18" s="77"/>
      <c r="O18" s="77"/>
      <c r="P18" s="79"/>
      <c r="Q18" s="79"/>
      <c r="R18" s="77"/>
      <c r="S18" s="77"/>
      <c r="T18">
        <v>97431</v>
      </c>
    </row>
    <row r="19" spans="1:20" x14ac:dyDescent="0.25">
      <c r="A19" s="77"/>
      <c r="B19" s="77"/>
      <c r="C19" s="77"/>
      <c r="D19" s="77"/>
      <c r="E19" s="78"/>
      <c r="F19" s="78"/>
      <c r="G19" s="77"/>
      <c r="H19" s="77"/>
      <c r="I19" s="78"/>
      <c r="J19" s="77"/>
      <c r="K19" s="78"/>
      <c r="L19" s="77"/>
      <c r="M19" s="79"/>
      <c r="N19" s="77"/>
      <c r="O19" s="77"/>
      <c r="P19" s="79"/>
      <c r="Q19" s="79"/>
      <c r="R19" s="77"/>
      <c r="S19" s="77"/>
    </row>
    <row r="20" spans="1:20" x14ac:dyDescent="0.25">
      <c r="A20" s="80"/>
      <c r="B20" s="80"/>
      <c r="C20" s="80"/>
      <c r="D20" s="80"/>
      <c r="E20" s="81"/>
      <c r="F20" s="81"/>
      <c r="G20" s="80"/>
      <c r="H20" s="80"/>
      <c r="I20" s="81"/>
      <c r="J20" s="80"/>
      <c r="K20" s="81"/>
      <c r="L20" s="80"/>
      <c r="M20" s="82"/>
      <c r="N20" s="80"/>
      <c r="O20" s="80"/>
      <c r="P20" s="82"/>
      <c r="Q20" s="82"/>
      <c r="R20" s="80"/>
      <c r="S20" s="80"/>
    </row>
    <row r="21" spans="1:20" x14ac:dyDescent="0.25">
      <c r="A21" s="80"/>
      <c r="B21" s="80"/>
      <c r="C21" s="80"/>
      <c r="D21" s="80"/>
      <c r="E21" s="81"/>
      <c r="F21" s="81"/>
      <c r="G21" s="80"/>
      <c r="H21" s="80"/>
      <c r="I21" s="81"/>
      <c r="J21" s="80"/>
      <c r="K21" s="81"/>
      <c r="L21" s="80"/>
      <c r="M21" s="82"/>
      <c r="N21" s="80"/>
      <c r="O21" s="80"/>
      <c r="P21" s="82"/>
      <c r="Q21" s="82"/>
      <c r="R21" s="80"/>
      <c r="S21" s="80"/>
    </row>
    <row r="22" spans="1:20" x14ac:dyDescent="0.25">
      <c r="A22" s="77"/>
      <c r="B22" s="77"/>
      <c r="C22" s="77"/>
      <c r="D22" s="77"/>
      <c r="E22" s="78"/>
      <c r="F22" s="78"/>
      <c r="G22" s="77"/>
      <c r="H22" s="77"/>
      <c r="I22" s="78"/>
      <c r="J22" s="77"/>
      <c r="K22" s="78"/>
      <c r="L22" s="77"/>
      <c r="M22" s="79"/>
      <c r="N22" s="77"/>
      <c r="O22" s="77"/>
      <c r="P22" s="79"/>
      <c r="Q22" s="79"/>
      <c r="R22" s="77"/>
      <c r="S22" s="77"/>
    </row>
    <row r="23" spans="1:20" x14ac:dyDescent="0.25">
      <c r="A23" s="77"/>
      <c r="B23" s="77"/>
      <c r="C23" s="77"/>
      <c r="D23" s="77"/>
      <c r="E23" s="78"/>
      <c r="F23" s="78"/>
      <c r="G23" s="77"/>
      <c r="H23" s="77"/>
      <c r="I23" s="78"/>
      <c r="J23" s="77"/>
      <c r="K23" s="78"/>
      <c r="L23" s="77"/>
      <c r="M23" s="79"/>
      <c r="N23" s="77"/>
      <c r="O23" s="77"/>
      <c r="P23" s="79"/>
      <c r="Q23" s="79"/>
      <c r="R23" s="77"/>
      <c r="S23" s="77"/>
    </row>
    <row r="24" spans="1:20" x14ac:dyDescent="0.25">
      <c r="A24" s="80"/>
      <c r="B24" s="80"/>
      <c r="C24" s="80"/>
      <c r="D24" s="80"/>
      <c r="E24" s="81"/>
      <c r="F24" s="81"/>
      <c r="G24" s="80"/>
      <c r="H24" s="80"/>
      <c r="I24" s="81"/>
      <c r="J24" s="80"/>
      <c r="K24" s="81"/>
      <c r="L24" s="80"/>
      <c r="M24" s="82"/>
      <c r="N24" s="80"/>
      <c r="O24" s="80"/>
      <c r="P24" s="82"/>
      <c r="Q24" s="82"/>
      <c r="R24" s="80"/>
      <c r="S24" s="80"/>
    </row>
    <row r="25" spans="1:20" x14ac:dyDescent="0.25">
      <c r="A25" s="80"/>
      <c r="B25" s="80"/>
      <c r="C25" s="80"/>
      <c r="D25" s="80"/>
      <c r="E25" s="81"/>
      <c r="F25" s="81"/>
      <c r="G25" s="80"/>
      <c r="H25" s="80"/>
      <c r="I25" s="81"/>
      <c r="J25" s="80"/>
      <c r="K25" s="81"/>
      <c r="L25" s="80"/>
      <c r="M25" s="82"/>
      <c r="N25" s="80"/>
      <c r="O25" s="80"/>
      <c r="P25" s="82"/>
      <c r="Q25" s="82"/>
      <c r="R25" s="80"/>
      <c r="S25" s="80"/>
    </row>
    <row r="26" spans="1:20" x14ac:dyDescent="0.25">
      <c r="A26" s="77"/>
      <c r="B26" s="77"/>
      <c r="C26" s="77"/>
      <c r="D26" s="77"/>
      <c r="E26" s="78"/>
      <c r="F26" s="78"/>
      <c r="G26" s="77"/>
      <c r="H26" s="77"/>
      <c r="I26" s="78"/>
      <c r="J26" s="77"/>
      <c r="K26" s="78"/>
      <c r="L26" s="77"/>
      <c r="M26" s="79"/>
      <c r="N26" s="77"/>
      <c r="O26" s="77"/>
      <c r="P26" s="79"/>
      <c r="Q26" s="79"/>
      <c r="R26" s="77"/>
      <c r="S26" s="77"/>
    </row>
    <row r="27" spans="1:20" x14ac:dyDescent="0.25">
      <c r="A27" s="77"/>
      <c r="B27" s="77"/>
      <c r="C27" s="77"/>
      <c r="D27" s="77"/>
      <c r="E27" s="78"/>
      <c r="F27" s="78"/>
      <c r="G27" s="77"/>
      <c r="H27" s="77"/>
      <c r="I27" s="78"/>
      <c r="J27" s="77"/>
      <c r="K27" s="78"/>
      <c r="L27" s="77"/>
      <c r="M27" s="79"/>
      <c r="N27" s="77"/>
      <c r="O27" s="77"/>
      <c r="P27" s="79"/>
      <c r="Q27" s="79"/>
      <c r="R27" s="77"/>
      <c r="S27" s="77"/>
    </row>
    <row r="28" spans="1:20" x14ac:dyDescent="0.25">
      <c r="A28" s="80"/>
      <c r="B28" s="80"/>
      <c r="C28" s="80"/>
      <c r="D28" s="80"/>
      <c r="E28" s="81"/>
      <c r="F28" s="81"/>
      <c r="G28" s="80"/>
      <c r="H28" s="80"/>
      <c r="I28" s="81"/>
      <c r="J28" s="80"/>
      <c r="K28" s="81"/>
      <c r="L28" s="80"/>
      <c r="M28" s="82"/>
      <c r="N28" s="80"/>
      <c r="O28" s="80"/>
      <c r="P28" s="82"/>
      <c r="Q28" s="82"/>
      <c r="R28" s="80"/>
      <c r="S28" s="80"/>
    </row>
    <row r="29" spans="1:20" x14ac:dyDescent="0.25">
      <c r="A29" s="80"/>
      <c r="B29" s="80"/>
      <c r="C29" s="80"/>
      <c r="D29" s="80"/>
      <c r="E29" s="81"/>
      <c r="F29" s="81"/>
      <c r="G29" s="80"/>
      <c r="H29" s="80"/>
      <c r="I29" s="81"/>
      <c r="J29" s="80"/>
      <c r="K29" s="81"/>
      <c r="L29" s="80"/>
      <c r="M29" s="82"/>
      <c r="N29" s="80"/>
      <c r="O29" s="80"/>
      <c r="P29" s="82"/>
      <c r="Q29" s="82"/>
      <c r="R29" s="80"/>
      <c r="S29" s="80"/>
    </row>
    <row r="30" spans="1:20" x14ac:dyDescent="0.25">
      <c r="A30" s="77"/>
      <c r="B30" s="77"/>
      <c r="C30" s="77"/>
      <c r="D30" s="77"/>
      <c r="E30" s="78"/>
      <c r="F30" s="78"/>
      <c r="G30" s="77"/>
      <c r="H30" s="77"/>
      <c r="I30" s="78"/>
      <c r="J30" s="77"/>
      <c r="K30" s="78"/>
      <c r="L30" s="77"/>
      <c r="M30" s="79"/>
      <c r="N30" s="77"/>
      <c r="O30" s="77"/>
      <c r="P30" s="79"/>
      <c r="Q30" s="79"/>
      <c r="R30" s="77"/>
      <c r="S30" s="77"/>
    </row>
    <row r="31" spans="1:20" x14ac:dyDescent="0.25">
      <c r="A31" s="77"/>
      <c r="B31" s="77"/>
      <c r="C31" s="77"/>
      <c r="D31" s="77"/>
      <c r="E31" s="78"/>
      <c r="F31" s="78"/>
      <c r="G31" s="77"/>
      <c r="H31" s="77"/>
      <c r="I31" s="78"/>
      <c r="J31" s="77"/>
      <c r="K31" s="78"/>
      <c r="L31" s="77"/>
      <c r="M31" s="79"/>
      <c r="N31" s="77"/>
      <c r="O31" s="77"/>
      <c r="P31" s="79"/>
      <c r="Q31" s="79"/>
      <c r="R31" s="77"/>
      <c r="S31" s="77"/>
    </row>
    <row r="32" spans="1:20" x14ac:dyDescent="0.25">
      <c r="A32" s="16" t="s">
        <v>952</v>
      </c>
      <c r="B32" s="16" t="s">
        <v>966</v>
      </c>
      <c r="C32" s="16">
        <v>497</v>
      </c>
      <c r="D32" s="16" t="s">
        <v>61</v>
      </c>
      <c r="E32" s="14">
        <v>80100</v>
      </c>
      <c r="F32" s="14">
        <v>39838611</v>
      </c>
      <c r="G32" s="16">
        <v>5</v>
      </c>
      <c r="H32" s="16">
        <v>0</v>
      </c>
      <c r="I32" s="14">
        <f>F32*G32*($H$82-H32)/(36500)</f>
        <v>120061.56739726027</v>
      </c>
      <c r="J32" s="16">
        <v>7.2499999999999995E-2</v>
      </c>
      <c r="K32" s="14">
        <f>C32*E32*J32/100</f>
        <v>28862.032500000001</v>
      </c>
      <c r="L32" s="16">
        <f>(E32*(1+J32/100)+I32/C32)/(1-J33/100)</f>
        <v>80457.977103615936</v>
      </c>
      <c r="M32" s="16"/>
      <c r="N32" s="16"/>
      <c r="O32" s="16"/>
      <c r="P32" s="16"/>
      <c r="Q32" s="16"/>
      <c r="R32" s="16"/>
      <c r="S32" s="14">
        <v>81000</v>
      </c>
    </row>
    <row r="33" spans="1:19" x14ac:dyDescent="0.25">
      <c r="A33" s="16"/>
      <c r="B33" s="16"/>
      <c r="C33" s="16"/>
      <c r="D33" s="16"/>
      <c r="E33" s="14">
        <v>80980</v>
      </c>
      <c r="F33" s="14">
        <v>40460644</v>
      </c>
      <c r="G33" s="16"/>
      <c r="H33" s="16"/>
      <c r="I33" s="14">
        <f>F33*G33*($H$82-H33)/(36500)</f>
        <v>0</v>
      </c>
      <c r="J33" s="16">
        <v>7.2499999999999995E-2</v>
      </c>
      <c r="K33" s="14"/>
      <c r="L33" s="16">
        <v>0</v>
      </c>
      <c r="M33" s="16">
        <f>F33-F32</f>
        <v>622033</v>
      </c>
      <c r="N33" s="16">
        <v>248.5</v>
      </c>
      <c r="O33" s="16">
        <f>C32-N33</f>
        <v>248.5</v>
      </c>
      <c r="P33" s="16">
        <f>M33*N33/C32</f>
        <v>311016.5</v>
      </c>
      <c r="Q33" s="16">
        <f>M33*O33/C32</f>
        <v>311016.5</v>
      </c>
      <c r="R33" s="16"/>
      <c r="S33" s="16"/>
    </row>
    <row r="34" spans="1:19" x14ac:dyDescent="0.25">
      <c r="A34" s="84" t="s">
        <v>962</v>
      </c>
      <c r="B34" s="84" t="s">
        <v>983</v>
      </c>
      <c r="C34" s="84">
        <v>100</v>
      </c>
      <c r="D34" s="84" t="s">
        <v>61</v>
      </c>
      <c r="E34" s="85">
        <v>97219</v>
      </c>
      <c r="F34" s="85">
        <v>9734617</v>
      </c>
      <c r="G34" s="84">
        <v>4</v>
      </c>
      <c r="H34" s="84">
        <v>21</v>
      </c>
      <c r="I34" s="85">
        <f>F34*G34*($H$82-H34)/(36500)</f>
        <v>1066.8073424657534</v>
      </c>
      <c r="J34" s="84">
        <v>7.2499999999999995E-2</v>
      </c>
      <c r="K34" s="85"/>
      <c r="L34" s="84">
        <f t="shared" ref="L34" si="3">(E34*(1+J34/100)+I34/C34)/(1-J35/100)</f>
        <v>97370.745639012966</v>
      </c>
      <c r="M34" s="84"/>
      <c r="N34" s="84"/>
      <c r="O34" s="84"/>
      <c r="P34" s="84"/>
      <c r="Q34" s="84"/>
      <c r="R34" s="84"/>
      <c r="S34" s="85">
        <v>98000</v>
      </c>
    </row>
    <row r="35" spans="1:19" x14ac:dyDescent="0.25">
      <c r="A35" s="84"/>
      <c r="B35" s="84"/>
      <c r="C35" s="84"/>
      <c r="D35" s="84"/>
      <c r="E35" s="85"/>
      <c r="F35" s="85"/>
      <c r="G35" s="84"/>
      <c r="H35" s="84"/>
      <c r="I35" s="85">
        <f>F35*G35*($H$82-H35)/(36500)</f>
        <v>0</v>
      </c>
      <c r="J35" s="84">
        <v>7.2499999999999995E-2</v>
      </c>
      <c r="K35" s="85">
        <f t="shared" ref="K35:K40" si="4">C35*E35*J35/100</f>
        <v>0</v>
      </c>
      <c r="L35" s="84">
        <v>0</v>
      </c>
      <c r="M35" s="84"/>
      <c r="N35" s="84">
        <v>100</v>
      </c>
      <c r="O35" s="84">
        <f>C34-N35</f>
        <v>0</v>
      </c>
      <c r="P35" s="84">
        <f>M35*N35/C34</f>
        <v>0</v>
      </c>
      <c r="Q35" s="84">
        <f>M35*O35/C34</f>
        <v>0</v>
      </c>
      <c r="R35" s="84"/>
      <c r="S35" s="84"/>
    </row>
    <row r="36" spans="1:19" x14ac:dyDescent="0.25">
      <c r="A36" s="16" t="s">
        <v>960</v>
      </c>
      <c r="B36" s="16" t="s">
        <v>991</v>
      </c>
      <c r="C36" s="16">
        <v>100</v>
      </c>
      <c r="D36" s="16" t="s">
        <v>61</v>
      </c>
      <c r="E36" s="14">
        <v>97501</v>
      </c>
      <c r="F36" s="14">
        <v>10173179</v>
      </c>
      <c r="G36" s="16">
        <v>1</v>
      </c>
      <c r="H36" s="16">
        <v>21</v>
      </c>
      <c r="I36" s="14">
        <f>F36*G36*($H$82-H36)/(36500)</f>
        <v>278.71723287671233</v>
      </c>
      <c r="J36" s="16">
        <v>7.2499999999999995E-2</v>
      </c>
      <c r="K36" s="14">
        <f t="shared" si="4"/>
        <v>7068.8225000000002</v>
      </c>
      <c r="L36" s="16">
        <f t="shared" ref="L36" si="5">(E36*(1+J36/100)+I36/C36)/(1-J37/100)</f>
        <v>97645.268216785946</v>
      </c>
      <c r="M36" s="16"/>
      <c r="N36" s="16"/>
      <c r="O36" s="16"/>
      <c r="P36" s="16"/>
      <c r="Q36" s="16"/>
      <c r="R36" s="16" t="s">
        <v>1073</v>
      </c>
      <c r="S36" s="14">
        <v>98000</v>
      </c>
    </row>
    <row r="37" spans="1:19" x14ac:dyDescent="0.25">
      <c r="A37" s="16"/>
      <c r="B37" s="16"/>
      <c r="C37" s="16"/>
      <c r="D37" s="16"/>
      <c r="E37" s="14"/>
      <c r="F37" s="14"/>
      <c r="G37" s="16"/>
      <c r="H37" s="16"/>
      <c r="I37" s="14">
        <f>F37*G37*($H$82-H37)/(36500)</f>
        <v>0</v>
      </c>
      <c r="J37" s="16">
        <v>7.2499999999999995E-2</v>
      </c>
      <c r="K37" s="16"/>
      <c r="L37" s="16">
        <v>0</v>
      </c>
      <c r="M37" s="16"/>
      <c r="N37" s="16">
        <v>50</v>
      </c>
      <c r="O37" s="16">
        <f>C36-N37</f>
        <v>50</v>
      </c>
      <c r="P37" s="16">
        <f>M37*N37/C36</f>
        <v>0</v>
      </c>
      <c r="Q37" s="16">
        <f>M37*O37/C36</f>
        <v>0</v>
      </c>
      <c r="R37" s="16"/>
      <c r="S37" s="16"/>
    </row>
    <row r="38" spans="1:19" x14ac:dyDescent="0.25">
      <c r="A38" s="84" t="s">
        <v>960</v>
      </c>
      <c r="B38" s="84" t="s">
        <v>991</v>
      </c>
      <c r="C38" s="84">
        <v>300</v>
      </c>
      <c r="D38" s="84" t="s">
        <v>61</v>
      </c>
      <c r="E38" s="85">
        <v>98000</v>
      </c>
      <c r="F38" s="85">
        <v>30669287</v>
      </c>
      <c r="G38" s="84">
        <v>1</v>
      </c>
      <c r="H38" s="84">
        <v>21</v>
      </c>
      <c r="I38" s="85">
        <f>F38*G38*($H$82-H38)/(36500)</f>
        <v>840.25443835616443</v>
      </c>
      <c r="J38" s="84">
        <v>7.2499999999999995E-2</v>
      </c>
      <c r="K38" s="85">
        <f t="shared" si="4"/>
        <v>21315</v>
      </c>
      <c r="L38" s="84">
        <f t="shared" ref="L38" si="6">(E38*(1+J38/100)+I38/C38)/(1-J39/100)</f>
        <v>98145.005977461507</v>
      </c>
      <c r="M38" s="84"/>
      <c r="N38" s="84"/>
      <c r="O38" s="84"/>
      <c r="P38" s="84"/>
      <c r="Q38" s="84"/>
      <c r="R38" s="84" t="s">
        <v>1072</v>
      </c>
      <c r="S38" s="85">
        <v>98000</v>
      </c>
    </row>
    <row r="39" spans="1:19" x14ac:dyDescent="0.25">
      <c r="A39" s="84"/>
      <c r="B39" s="84"/>
      <c r="C39" s="84"/>
      <c r="D39" s="84"/>
      <c r="E39" s="85"/>
      <c r="F39" s="85"/>
      <c r="G39" s="84"/>
      <c r="H39" s="84"/>
      <c r="I39" s="85">
        <f>F39*G39*($H$82-H39)/(36500)</f>
        <v>0</v>
      </c>
      <c r="J39" s="84">
        <v>7.2499999999999995E-2</v>
      </c>
      <c r="K39" s="84"/>
      <c r="L39" s="84">
        <v>0</v>
      </c>
      <c r="M39" s="84"/>
      <c r="N39" s="84">
        <v>150</v>
      </c>
      <c r="O39" s="84">
        <f>C38-N39</f>
        <v>150</v>
      </c>
      <c r="P39" s="84">
        <f>M39*N39/C38</f>
        <v>0</v>
      </c>
      <c r="Q39" s="84">
        <f>M39*O39/C38</f>
        <v>0</v>
      </c>
      <c r="R39" s="84"/>
      <c r="S39" s="84"/>
    </row>
    <row r="40" spans="1:19" x14ac:dyDescent="0.25">
      <c r="A40" s="16" t="s">
        <v>960</v>
      </c>
      <c r="B40" s="16" t="s">
        <v>975</v>
      </c>
      <c r="C40" s="16">
        <v>300</v>
      </c>
      <c r="D40" s="16" t="s">
        <v>61</v>
      </c>
      <c r="E40" s="14">
        <v>97100</v>
      </c>
      <c r="F40" s="14">
        <v>29566012</v>
      </c>
      <c r="G40" s="16">
        <v>1</v>
      </c>
      <c r="H40" s="16">
        <v>21</v>
      </c>
      <c r="I40" s="14">
        <f>F40*G40*($H$82-H40)/(36500)</f>
        <v>810.02772602739731</v>
      </c>
      <c r="J40" s="16">
        <v>7.2499999999999995E-2</v>
      </c>
      <c r="K40" s="16">
        <f t="shared" si="4"/>
        <v>21119.25</v>
      </c>
      <c r="L40" s="16">
        <f t="shared" ref="L40" si="7">(E40*(1+J40/100)+I40/C40)/(1-J41/100)</f>
        <v>97243.59920184144</v>
      </c>
      <c r="M40" s="16"/>
      <c r="N40" s="16"/>
      <c r="O40" s="16"/>
      <c r="P40" s="16"/>
      <c r="Q40" s="16"/>
      <c r="R40" s="16" t="s">
        <v>1070</v>
      </c>
      <c r="S40" s="14">
        <v>98000</v>
      </c>
    </row>
    <row r="41" spans="1:19" x14ac:dyDescent="0.25">
      <c r="A41" s="16"/>
      <c r="B41" s="16"/>
      <c r="C41" s="16"/>
      <c r="D41" s="16"/>
      <c r="E41" s="14"/>
      <c r="F41" s="14"/>
      <c r="G41" s="16"/>
      <c r="H41" s="16"/>
      <c r="I41" s="14">
        <f>F41*G41*($H$82-H41)/(36500)</f>
        <v>0</v>
      </c>
      <c r="J41" s="16">
        <v>7.2499999999999995E-2</v>
      </c>
      <c r="K41" s="16"/>
      <c r="L41" s="16">
        <v>0</v>
      </c>
      <c r="M41" s="16"/>
      <c r="N41" s="16">
        <v>150</v>
      </c>
      <c r="O41" s="16">
        <f>C40-N41</f>
        <v>150</v>
      </c>
      <c r="P41" s="16">
        <f>M41*N41/C40</f>
        <v>0</v>
      </c>
      <c r="Q41" s="16">
        <f>M41*O41/C40</f>
        <v>0</v>
      </c>
      <c r="R41" s="16"/>
      <c r="S41" s="16"/>
    </row>
    <row r="42" spans="1:19" x14ac:dyDescent="0.25">
      <c r="A42" s="84" t="s">
        <v>960</v>
      </c>
      <c r="B42" s="84" t="s">
        <v>975</v>
      </c>
      <c r="C42" s="84">
        <v>400</v>
      </c>
      <c r="D42" s="84" t="s">
        <v>61</v>
      </c>
      <c r="E42" s="85">
        <v>97500</v>
      </c>
      <c r="F42" s="85">
        <v>39581466</v>
      </c>
      <c r="G42" s="84">
        <v>1</v>
      </c>
      <c r="H42" s="84">
        <v>21</v>
      </c>
      <c r="I42" s="85">
        <f>F42*G42*($H$82-H42)/(36500)</f>
        <v>1084.4237260273972</v>
      </c>
      <c r="J42" s="84">
        <v>7.2499999999999995E-2</v>
      </c>
      <c r="K42" s="84">
        <f t="shared" ref="K42" si="8">C42*E42*J42/100</f>
        <v>28275</v>
      </c>
      <c r="L42" s="84">
        <f>(E42*(1+J42/100)+I42/C42)/(1-J43/100)</f>
        <v>97644.190597498266</v>
      </c>
      <c r="M42" s="84"/>
      <c r="N42" s="84"/>
      <c r="O42" s="84"/>
      <c r="P42" s="84"/>
      <c r="Q42" s="84"/>
      <c r="R42" s="84" t="s">
        <v>1071</v>
      </c>
      <c r="S42" s="85">
        <v>98000</v>
      </c>
    </row>
    <row r="43" spans="1:19" x14ac:dyDescent="0.25">
      <c r="A43" s="84"/>
      <c r="B43" s="84"/>
      <c r="C43" s="84"/>
      <c r="D43" s="84"/>
      <c r="E43" s="84"/>
      <c r="F43" s="84"/>
      <c r="G43" s="84"/>
      <c r="H43" s="84"/>
      <c r="I43" s="85">
        <f>F43*G43*($H$82-H43)/(36500)</f>
        <v>0</v>
      </c>
      <c r="J43" s="84">
        <v>7.2499999999999995E-2</v>
      </c>
      <c r="K43" s="84"/>
      <c r="L43" s="84">
        <v>0</v>
      </c>
      <c r="M43" s="84"/>
      <c r="N43" s="84">
        <v>200</v>
      </c>
      <c r="O43" s="84">
        <f>C42-N43</f>
        <v>200</v>
      </c>
      <c r="P43" s="84">
        <f>M43*N43/C42</f>
        <v>0</v>
      </c>
      <c r="Q43" s="84">
        <f>M43*O43/C42</f>
        <v>0</v>
      </c>
      <c r="R43" s="84"/>
      <c r="S43" s="84"/>
    </row>
    <row r="44" spans="1:19" x14ac:dyDescent="0.25">
      <c r="A44" s="16" t="s">
        <v>1074</v>
      </c>
      <c r="B44" s="16" t="s">
        <v>1054</v>
      </c>
      <c r="C44" s="16">
        <v>143</v>
      </c>
      <c r="D44" s="16" t="s">
        <v>61</v>
      </c>
      <c r="E44" s="14">
        <v>70003</v>
      </c>
      <c r="F44" s="14">
        <v>10017729</v>
      </c>
      <c r="G44" s="16">
        <v>0</v>
      </c>
      <c r="H44" s="16">
        <v>0</v>
      </c>
      <c r="I44" s="14">
        <f>F44*G44*($H$82-H44)/(36500)</f>
        <v>0</v>
      </c>
      <c r="J44" s="16">
        <v>7.2499999999999995E-2</v>
      </c>
      <c r="K44" s="16">
        <f t="shared" ref="K44" si="9">C44*E44*J44/100</f>
        <v>7257.5610249999991</v>
      </c>
      <c r="L44" s="16">
        <f t="shared" ref="L44" si="10">(E44*(1+J44/100)+I44/C44)/(1-J45/100)</f>
        <v>70053.752175000001</v>
      </c>
      <c r="M44" s="16"/>
      <c r="N44" s="16"/>
      <c r="O44" s="16"/>
      <c r="P44" s="16"/>
      <c r="Q44" s="16"/>
      <c r="R44" s="16"/>
      <c r="S44" s="16"/>
    </row>
    <row r="45" spans="1:19" x14ac:dyDescent="0.25">
      <c r="A45" s="16"/>
      <c r="B45" s="16"/>
      <c r="C45" s="16"/>
      <c r="D45" s="16"/>
      <c r="E45" s="16"/>
      <c r="F45" s="14">
        <v>10074191</v>
      </c>
      <c r="G45" s="16"/>
      <c r="H45" s="16"/>
      <c r="I45" s="14"/>
      <c r="J45" s="16"/>
      <c r="K45" s="16"/>
      <c r="L45" s="16"/>
      <c r="M45" s="14">
        <f>F45-F44</f>
        <v>56462</v>
      </c>
      <c r="N45" s="16">
        <v>71.5</v>
      </c>
      <c r="O45" s="16">
        <f>C44-N45</f>
        <v>71.5</v>
      </c>
      <c r="P45" s="14">
        <f>M45*N45/C44</f>
        <v>28231</v>
      </c>
      <c r="Q45" s="14">
        <f>M45*O45/C44</f>
        <v>28231</v>
      </c>
      <c r="R45" s="16"/>
      <c r="S45" s="16"/>
    </row>
    <row r="46" spans="1:19" x14ac:dyDescent="0.25">
      <c r="A46" s="84"/>
      <c r="B46" s="84"/>
      <c r="C46" s="84"/>
      <c r="D46" s="84"/>
      <c r="E46" s="84"/>
      <c r="F46" s="84"/>
      <c r="G46" s="84"/>
      <c r="H46" s="84"/>
      <c r="I46" s="85"/>
      <c r="J46" s="84"/>
      <c r="K46" s="84"/>
      <c r="L46" s="84"/>
      <c r="M46" s="84"/>
      <c r="N46" s="84"/>
      <c r="O46" s="84"/>
      <c r="P46" s="84"/>
      <c r="Q46" s="84"/>
      <c r="R46" s="84"/>
      <c r="S46" s="84"/>
    </row>
    <row r="47" spans="1:19" x14ac:dyDescent="0.25">
      <c r="A47" s="84"/>
      <c r="B47" s="84"/>
      <c r="C47" s="84"/>
      <c r="D47" s="84"/>
      <c r="E47" s="84"/>
      <c r="F47" s="84"/>
      <c r="G47" s="84"/>
      <c r="H47" s="84"/>
      <c r="I47" s="85"/>
      <c r="J47" s="84"/>
      <c r="K47" s="84"/>
      <c r="L47" s="84"/>
      <c r="M47" s="84"/>
      <c r="N47" s="84"/>
      <c r="O47" s="84"/>
      <c r="P47" s="84"/>
      <c r="Q47" s="84"/>
      <c r="R47" s="84"/>
      <c r="S47" s="84"/>
    </row>
    <row r="48" spans="1:19" x14ac:dyDescent="0.25">
      <c r="A48" s="16"/>
      <c r="B48" s="16"/>
      <c r="C48" s="16"/>
      <c r="D48" s="16"/>
      <c r="E48" s="16"/>
      <c r="F48" s="16"/>
      <c r="G48" s="16"/>
      <c r="H48" s="16"/>
      <c r="I48" s="14"/>
      <c r="J48" s="16"/>
      <c r="K48" s="16"/>
      <c r="L48" s="16"/>
      <c r="M48" s="16"/>
      <c r="N48" s="16"/>
      <c r="O48" s="16"/>
      <c r="P48" s="16"/>
      <c r="Q48" s="16"/>
      <c r="R48" s="16"/>
      <c r="S48" s="16"/>
    </row>
    <row r="49" spans="1:19" x14ac:dyDescent="0.25">
      <c r="A49" s="16"/>
      <c r="B49" s="16"/>
      <c r="C49" s="16"/>
      <c r="D49" s="16"/>
      <c r="E49" s="16"/>
      <c r="F49" s="16"/>
      <c r="G49" s="16"/>
      <c r="H49" s="16"/>
      <c r="I49" s="14"/>
      <c r="J49" s="16"/>
      <c r="K49" s="16"/>
      <c r="L49" s="16"/>
      <c r="M49" s="16"/>
      <c r="N49" s="16"/>
      <c r="O49" s="16"/>
      <c r="P49" s="16"/>
      <c r="Q49" s="16"/>
      <c r="R49" s="16"/>
      <c r="S49" s="16"/>
    </row>
    <row r="50" spans="1:19" x14ac:dyDescent="0.25">
      <c r="A50" s="84"/>
      <c r="B50" s="84"/>
      <c r="C50" s="84"/>
      <c r="D50" s="84"/>
      <c r="E50" s="84"/>
      <c r="F50" s="84"/>
      <c r="G50" s="84"/>
      <c r="H50" s="84"/>
      <c r="I50" s="85"/>
      <c r="J50" s="84"/>
      <c r="K50" s="84"/>
      <c r="L50" s="84"/>
      <c r="M50" s="84"/>
      <c r="N50" s="84"/>
      <c r="O50" s="84"/>
      <c r="P50" s="84"/>
      <c r="Q50" s="84"/>
      <c r="R50" s="84"/>
      <c r="S50" s="84"/>
    </row>
    <row r="51" spans="1:19" x14ac:dyDescent="0.25">
      <c r="A51" s="84"/>
      <c r="B51" s="84"/>
      <c r="C51" s="84"/>
      <c r="D51" s="84"/>
      <c r="E51" s="84"/>
      <c r="F51" s="84"/>
      <c r="G51" s="84"/>
      <c r="H51" s="84"/>
      <c r="I51" s="85"/>
      <c r="J51" s="84"/>
      <c r="K51" s="84"/>
      <c r="L51" s="84"/>
      <c r="M51" s="84"/>
      <c r="N51" s="84"/>
      <c r="O51" s="84"/>
      <c r="P51" s="84"/>
      <c r="Q51" s="84"/>
      <c r="R51" s="84"/>
      <c r="S51" s="84"/>
    </row>
    <row r="52" spans="1:19" x14ac:dyDescent="0.25">
      <c r="A52" s="84"/>
      <c r="B52" s="84"/>
      <c r="C52" s="84"/>
      <c r="D52" s="84"/>
      <c r="E52" s="84"/>
      <c r="F52" s="84"/>
      <c r="G52" s="84"/>
      <c r="H52" s="84"/>
      <c r="I52" s="85" t="s">
        <v>25</v>
      </c>
      <c r="J52" s="84"/>
      <c r="K52" s="84"/>
      <c r="L52" s="84"/>
      <c r="M52" s="84"/>
      <c r="N52" s="84"/>
      <c r="O52" s="84"/>
      <c r="P52" s="84"/>
      <c r="Q52" s="84"/>
      <c r="R52" s="84"/>
      <c r="S52" s="84"/>
    </row>
    <row r="53" spans="1:19" x14ac:dyDescent="0.25">
      <c r="A53" s="84"/>
      <c r="B53" s="84"/>
      <c r="C53" s="84"/>
      <c r="D53" s="84"/>
      <c r="E53" s="84"/>
      <c r="F53" s="84"/>
      <c r="G53" s="84"/>
      <c r="H53" s="84"/>
      <c r="I53" s="85"/>
      <c r="J53" s="84"/>
      <c r="K53" s="84"/>
      <c r="L53" s="84"/>
      <c r="M53" s="84"/>
      <c r="N53" s="84"/>
      <c r="O53" s="84"/>
      <c r="P53" s="84"/>
      <c r="Q53" s="84"/>
      <c r="R53" s="84"/>
      <c r="S53" s="84"/>
    </row>
    <row r="54" spans="1:19" x14ac:dyDescent="0.25">
      <c r="A54" s="84"/>
      <c r="B54" s="84"/>
      <c r="C54" s="84"/>
      <c r="D54" s="84"/>
      <c r="E54" s="84"/>
      <c r="F54" s="84"/>
      <c r="G54" s="84"/>
      <c r="H54" s="84"/>
      <c r="I54" s="85"/>
      <c r="J54" s="84"/>
      <c r="K54" s="84"/>
      <c r="L54" s="84"/>
      <c r="M54" s="84"/>
      <c r="N54" s="84"/>
      <c r="O54" s="84"/>
      <c r="P54" s="84"/>
      <c r="Q54" s="84"/>
      <c r="R54" s="84"/>
      <c r="S54" s="84"/>
    </row>
    <row r="55" spans="1:19" x14ac:dyDescent="0.25">
      <c r="A55" s="84"/>
      <c r="B55" s="84"/>
      <c r="C55" s="84"/>
      <c r="D55" s="84"/>
      <c r="E55" s="84"/>
      <c r="F55" s="84"/>
      <c r="G55" s="84"/>
      <c r="H55" s="84"/>
      <c r="I55" s="85"/>
      <c r="J55" s="84"/>
      <c r="K55" s="84"/>
      <c r="L55" s="84"/>
      <c r="M55" s="84"/>
      <c r="N55" s="84"/>
      <c r="O55" s="84"/>
      <c r="P55" s="84"/>
      <c r="Q55" s="84"/>
      <c r="R55" s="84"/>
      <c r="S55" s="84"/>
    </row>
    <row r="56" spans="1:19" x14ac:dyDescent="0.2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83"/>
      <c r="O56" s="83"/>
      <c r="P56" s="11"/>
      <c r="Q56" s="11"/>
      <c r="R56" s="11"/>
      <c r="S56" s="11"/>
    </row>
    <row r="57" spans="1:19" x14ac:dyDescent="0.2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3">
        <f>SUM(M2:M55)</f>
        <v>2475464</v>
      </c>
      <c r="N57" s="11"/>
      <c r="O57" s="11"/>
      <c r="P57" s="3">
        <f>SUM(P2:P56)</f>
        <v>1938374</v>
      </c>
      <c r="Q57" s="3">
        <f>SUM(Q3:Q56)</f>
        <v>537090</v>
      </c>
      <c r="R57" s="11"/>
      <c r="S57" s="11"/>
    </row>
    <row r="58" spans="1:19" x14ac:dyDescent="0.2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 t="s">
        <v>191</v>
      </c>
      <c r="N58" s="11"/>
      <c r="O58" s="11"/>
      <c r="P58" s="11" t="s">
        <v>1068</v>
      </c>
      <c r="Q58" s="11" t="s">
        <v>1069</v>
      </c>
      <c r="R58" s="11"/>
      <c r="S58" s="11"/>
    </row>
    <row r="60" spans="1:19" x14ac:dyDescent="0.25">
      <c r="B60" s="11" t="s">
        <v>987</v>
      </c>
      <c r="C60" s="11" t="s">
        <v>182</v>
      </c>
      <c r="D60">
        <f>(C34*E34+C36*E36+C38*E38+C40*E40+C42*E42)/(C34+C36+C38+C40+C42)</f>
        <v>97501.666666666672</v>
      </c>
    </row>
    <row r="61" spans="1:19" x14ac:dyDescent="0.25">
      <c r="B61" s="11" t="s">
        <v>988</v>
      </c>
      <c r="C61" s="3">
        <v>10833789</v>
      </c>
      <c r="F61" s="7"/>
    </row>
    <row r="62" spans="1:19" x14ac:dyDescent="0.25">
      <c r="B62" s="11" t="s">
        <v>966</v>
      </c>
      <c r="C62" s="3">
        <f>C32*S32*(1-J33/100)</f>
        <v>40227813.675000004</v>
      </c>
    </row>
    <row r="63" spans="1:19" x14ac:dyDescent="0.25">
      <c r="B63" s="11" t="s">
        <v>989</v>
      </c>
      <c r="C63" s="3">
        <f>C34*S34*(1-J35/100)</f>
        <v>9792895</v>
      </c>
    </row>
    <row r="64" spans="1:19" x14ac:dyDescent="0.25">
      <c r="B64" s="11" t="s">
        <v>991</v>
      </c>
      <c r="C64" s="3">
        <f>C36*S36*(1-J37/100)</f>
        <v>9792895</v>
      </c>
      <c r="E64" t="s">
        <v>25</v>
      </c>
    </row>
    <row r="65" spans="2:9" x14ac:dyDescent="0.25">
      <c r="B65" s="11" t="s">
        <v>991</v>
      </c>
      <c r="C65" s="3">
        <f>C38*S38*(1-J39/100)</f>
        <v>29378685</v>
      </c>
    </row>
    <row r="66" spans="2:9" x14ac:dyDescent="0.25">
      <c r="B66" s="11" t="s">
        <v>975</v>
      </c>
      <c r="C66" s="3">
        <f>C40*S40*(1-J41/100)</f>
        <v>29378685</v>
      </c>
    </row>
    <row r="67" spans="2:9" x14ac:dyDescent="0.25">
      <c r="B67" s="11" t="s">
        <v>975</v>
      </c>
      <c r="C67" s="3">
        <f>C42*S42*(1-J43/100)</f>
        <v>39171580</v>
      </c>
    </row>
    <row r="68" spans="2:9" x14ac:dyDescent="0.25">
      <c r="B68" s="11" t="s">
        <v>1055</v>
      </c>
      <c r="C68" s="3">
        <v>1247972</v>
      </c>
    </row>
    <row r="69" spans="2:9" x14ac:dyDescent="0.25">
      <c r="B69" s="11" t="s">
        <v>1055</v>
      </c>
      <c r="C69" s="3">
        <v>416110</v>
      </c>
    </row>
    <row r="70" spans="2:9" x14ac:dyDescent="0.25">
      <c r="B70" s="11" t="s">
        <v>1056</v>
      </c>
      <c r="C70" s="3">
        <v>414893</v>
      </c>
    </row>
    <row r="71" spans="2:9" x14ac:dyDescent="0.25">
      <c r="B71" s="11" t="s">
        <v>1057</v>
      </c>
      <c r="C71" s="38">
        <v>553191</v>
      </c>
    </row>
    <row r="72" spans="2:9" x14ac:dyDescent="0.25">
      <c r="B72" s="11"/>
      <c r="C72" s="11"/>
    </row>
    <row r="73" spans="2:9" x14ac:dyDescent="0.25">
      <c r="B73" s="11"/>
      <c r="C73" s="11"/>
    </row>
    <row r="74" spans="2:9" x14ac:dyDescent="0.25">
      <c r="B74" s="11"/>
      <c r="C74" s="11"/>
    </row>
    <row r="75" spans="2:9" x14ac:dyDescent="0.25">
      <c r="B75" s="11" t="s">
        <v>6</v>
      </c>
      <c r="C75" s="29">
        <f>SUM(C61:C74)</f>
        <v>171208508.67500001</v>
      </c>
    </row>
    <row r="76" spans="2:9" x14ac:dyDescent="0.25">
      <c r="B76" s="11"/>
      <c r="C76" s="11"/>
      <c r="D76" t="s">
        <v>25</v>
      </c>
    </row>
    <row r="77" spans="2:9" x14ac:dyDescent="0.25">
      <c r="B77" s="11" t="s">
        <v>982</v>
      </c>
      <c r="C77" s="29">
        <f>C75-I92</f>
        <v>2211845.6613013744</v>
      </c>
      <c r="G77" s="25"/>
    </row>
    <row r="78" spans="2:9" x14ac:dyDescent="0.25">
      <c r="I78" s="25"/>
    </row>
    <row r="79" spans="2:9" x14ac:dyDescent="0.25">
      <c r="I79" s="25"/>
    </row>
    <row r="80" spans="2:9" x14ac:dyDescent="0.25">
      <c r="I80" s="28"/>
    </row>
    <row r="81" spans="1:10" x14ac:dyDescent="0.25">
      <c r="H81" s="11" t="s">
        <v>984</v>
      </c>
      <c r="I81" s="25"/>
    </row>
    <row r="82" spans="1:10" x14ac:dyDescent="0.25">
      <c r="H82" s="11">
        <v>22</v>
      </c>
      <c r="I82" s="25"/>
    </row>
    <row r="83" spans="1:10" x14ac:dyDescent="0.25">
      <c r="A83" s="11" t="s">
        <v>180</v>
      </c>
      <c r="B83" s="11" t="s">
        <v>970</v>
      </c>
      <c r="C83" s="11" t="s">
        <v>267</v>
      </c>
      <c r="D83" s="11" t="s">
        <v>8</v>
      </c>
      <c r="E83" s="11" t="s">
        <v>5</v>
      </c>
      <c r="F83" s="11" t="s">
        <v>484</v>
      </c>
      <c r="G83" s="11" t="s">
        <v>183</v>
      </c>
      <c r="H83" s="11" t="s">
        <v>971</v>
      </c>
      <c r="I83" s="11" t="s">
        <v>972</v>
      </c>
      <c r="J83" s="25"/>
    </row>
    <row r="84" spans="1:10" x14ac:dyDescent="0.25">
      <c r="A84" s="11" t="s">
        <v>952</v>
      </c>
      <c r="B84" s="11" t="s">
        <v>963</v>
      </c>
      <c r="C84" s="3">
        <v>80500000</v>
      </c>
      <c r="D84" s="11" t="s">
        <v>676</v>
      </c>
      <c r="E84" s="3">
        <v>80500000</v>
      </c>
      <c r="F84" s="29">
        <f>C84-E84</f>
        <v>0</v>
      </c>
      <c r="G84" s="11">
        <v>6</v>
      </c>
      <c r="H84" s="3">
        <f>C84*G84*$H$82/(365*100)</f>
        <v>291123.28767123289</v>
      </c>
      <c r="I84" s="29">
        <f>C84+H84</f>
        <v>80791123.287671238</v>
      </c>
      <c r="J84" s="25"/>
    </row>
    <row r="85" spans="1:10" x14ac:dyDescent="0.25">
      <c r="A85" s="84" t="s">
        <v>960</v>
      </c>
      <c r="B85" s="84" t="s">
        <v>963</v>
      </c>
      <c r="C85" s="85">
        <v>87000000</v>
      </c>
      <c r="D85" s="84" t="s">
        <v>1053</v>
      </c>
      <c r="E85" s="84">
        <v>0</v>
      </c>
      <c r="F85" s="86">
        <f t="shared" ref="F85:F88" si="11">C85-E85</f>
        <v>87000000</v>
      </c>
      <c r="G85" s="84">
        <f>G84-4</f>
        <v>2</v>
      </c>
      <c r="H85" s="85">
        <f>C85*G85*$H$82/(365*100)</f>
        <v>104876.71232876713</v>
      </c>
      <c r="I85" s="86">
        <f>C85+H85</f>
        <v>87104876.712328762</v>
      </c>
      <c r="J85" s="25"/>
    </row>
    <row r="86" spans="1:10" x14ac:dyDescent="0.25">
      <c r="A86" s="11" t="s">
        <v>1074</v>
      </c>
      <c r="B86" s="11" t="s">
        <v>963</v>
      </c>
      <c r="C86" s="11">
        <v>1100000</v>
      </c>
      <c r="D86" s="11" t="s">
        <v>676</v>
      </c>
      <c r="E86" s="3">
        <v>1100000</v>
      </c>
      <c r="F86" s="29">
        <f t="shared" si="11"/>
        <v>0</v>
      </c>
      <c r="G86" s="11">
        <f>G84-5</f>
        <v>1</v>
      </c>
      <c r="H86" s="3">
        <f>C86*G86*$H$82/(365*100)</f>
        <v>663.01369863013701</v>
      </c>
      <c r="I86" s="29">
        <f>C86+H86</f>
        <v>1100663.01369863</v>
      </c>
      <c r="J86" s="25"/>
    </row>
    <row r="87" spans="1:10" x14ac:dyDescent="0.25">
      <c r="A87" s="11"/>
      <c r="B87" s="11"/>
      <c r="C87" s="11"/>
      <c r="D87" s="11"/>
      <c r="E87" s="11"/>
      <c r="F87" s="29">
        <f t="shared" si="11"/>
        <v>0</v>
      </c>
      <c r="G87" s="11"/>
      <c r="H87" s="3">
        <f>C87*G87*$H$82/(365*100)</f>
        <v>0</v>
      </c>
      <c r="I87" s="29">
        <f>C87+H87</f>
        <v>0</v>
      </c>
      <c r="J87" s="25"/>
    </row>
    <row r="88" spans="1:10" x14ac:dyDescent="0.25">
      <c r="A88" s="11"/>
      <c r="B88" s="11"/>
      <c r="C88" s="11"/>
      <c r="D88" s="11"/>
      <c r="E88" s="11"/>
      <c r="F88" s="29">
        <f t="shared" si="11"/>
        <v>0</v>
      </c>
      <c r="G88" s="11"/>
      <c r="H88" s="3">
        <f>C88*G88*$H$82/(365*100)</f>
        <v>0</v>
      </c>
      <c r="I88" s="29">
        <f>C88+H88</f>
        <v>0</v>
      </c>
      <c r="J88" s="25"/>
    </row>
    <row r="89" spans="1:10" x14ac:dyDescent="0.25">
      <c r="A89" s="11"/>
      <c r="B89" s="11"/>
      <c r="C89" s="11"/>
      <c r="D89" s="11"/>
      <c r="E89" s="11"/>
      <c r="F89" s="11"/>
      <c r="G89" s="11"/>
      <c r="H89" s="3">
        <f>C89*G89*$H$82/(365*100)</f>
        <v>0</v>
      </c>
      <c r="I89" s="29">
        <f>C89+H89</f>
        <v>0</v>
      </c>
    </row>
    <row r="90" spans="1:10" x14ac:dyDescent="0.25">
      <c r="A90" s="11"/>
      <c r="B90" s="11"/>
      <c r="C90" s="11"/>
      <c r="D90" s="11"/>
      <c r="E90" s="11"/>
      <c r="F90" s="11"/>
      <c r="G90" s="11"/>
      <c r="H90" s="3">
        <f>C90*G90*$H$82/(365*100)</f>
        <v>0</v>
      </c>
      <c r="I90" s="11"/>
    </row>
    <row r="91" spans="1:10" x14ac:dyDescent="0.25">
      <c r="A91" s="11"/>
      <c r="B91" s="11"/>
      <c r="C91" s="11"/>
      <c r="D91" s="11"/>
      <c r="E91" s="11"/>
      <c r="F91" s="11"/>
      <c r="G91" s="11"/>
      <c r="H91" s="11"/>
      <c r="I91" s="11"/>
    </row>
    <row r="92" spans="1:10" x14ac:dyDescent="0.25">
      <c r="A92" s="11"/>
      <c r="B92" s="11"/>
      <c r="C92" s="29">
        <f>SUM(C84:C90)</f>
        <v>168600000</v>
      </c>
      <c r="D92" s="11"/>
      <c r="E92" s="3">
        <f>SUM(E84:E90)</f>
        <v>81600000</v>
      </c>
      <c r="F92" s="29">
        <f>SUM(F84:F89)</f>
        <v>87000000</v>
      </c>
      <c r="G92" s="11"/>
      <c r="H92" s="11"/>
      <c r="I92" s="29">
        <f>SUM(I84:I90)</f>
        <v>168996663.01369864</v>
      </c>
    </row>
    <row r="93" spans="1:10" x14ac:dyDescent="0.25">
      <c r="F93" s="7">
        <f>F92+Q57</f>
        <v>87537090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9"/>
  <sheetViews>
    <sheetView zoomScaleNormal="100" workbookViewId="0">
      <selection activeCell="I7" sqref="I7"/>
    </sheetView>
  </sheetViews>
  <sheetFormatPr defaultRowHeight="15" x14ac:dyDescent="0.25"/>
  <cols>
    <col min="5" max="5" width="10.85546875" bestFit="1" customWidth="1"/>
    <col min="6" max="6" width="10.85546875" customWidth="1"/>
    <col min="7" max="7" width="17.5703125" bestFit="1" customWidth="1"/>
    <col min="8" max="9" width="12.42578125" bestFit="1" customWidth="1"/>
    <col min="10" max="10" width="11" bestFit="1" customWidth="1"/>
    <col min="15" max="17" width="12.42578125" bestFit="1" customWidth="1"/>
    <col min="19" max="19" width="14.5703125" bestFit="1" customWidth="1"/>
    <col min="21" max="21" width="12.42578125" bestFit="1" customWidth="1"/>
  </cols>
  <sheetData>
    <row r="1" spans="1:22" x14ac:dyDescent="0.25">
      <c r="A1" s="11" t="s">
        <v>961</v>
      </c>
      <c r="B1" s="11" t="s">
        <v>990</v>
      </c>
      <c r="C1" s="11" t="s">
        <v>1006</v>
      </c>
      <c r="D1" s="11" t="s">
        <v>1007</v>
      </c>
      <c r="E1" s="11" t="s">
        <v>1003</v>
      </c>
      <c r="F1" s="11" t="s">
        <v>1045</v>
      </c>
      <c r="G1" s="11" t="s">
        <v>1020</v>
      </c>
      <c r="H1" s="11" t="s">
        <v>969</v>
      </c>
      <c r="I1" s="11" t="s">
        <v>1008</v>
      </c>
      <c r="J1" s="70" t="s">
        <v>1039</v>
      </c>
      <c r="M1">
        <v>96</v>
      </c>
      <c r="N1">
        <v>12</v>
      </c>
      <c r="O1" s="3">
        <v>92000</v>
      </c>
      <c r="P1" s="3">
        <f>O1</f>
        <v>92000</v>
      </c>
      <c r="Q1" s="3">
        <v>0</v>
      </c>
      <c r="S1" t="s">
        <v>984</v>
      </c>
      <c r="T1" t="s">
        <v>1051</v>
      </c>
      <c r="U1" t="s">
        <v>1052</v>
      </c>
    </row>
    <row r="2" spans="1:22" x14ac:dyDescent="0.25">
      <c r="A2" s="11">
        <v>1</v>
      </c>
      <c r="B2" s="11" t="s">
        <v>1049</v>
      </c>
      <c r="C2" s="11">
        <v>17</v>
      </c>
      <c r="D2" s="11">
        <v>6</v>
      </c>
      <c r="E2" s="11" t="s">
        <v>1050</v>
      </c>
      <c r="F2" s="11">
        <f>46-$E$32</f>
        <v>46</v>
      </c>
      <c r="G2" s="3">
        <v>100000</v>
      </c>
      <c r="H2" s="3">
        <v>96000</v>
      </c>
      <c r="I2" s="11"/>
      <c r="J2" s="70"/>
      <c r="M2">
        <v>97</v>
      </c>
      <c r="N2">
        <v>1</v>
      </c>
      <c r="O2">
        <f t="shared" ref="O2:O3" si="0">$V$2</f>
        <v>1466.666666666667</v>
      </c>
      <c r="P2" s="3">
        <f>P1*(1+$S$2/1200)</f>
        <v>93686.666666666672</v>
      </c>
      <c r="Q2" s="3">
        <f>O2+Q1*(1+$S$2/1200)</f>
        <v>1466.666666666667</v>
      </c>
      <c r="S2">
        <v>22</v>
      </c>
      <c r="T2">
        <v>17.600000000000001</v>
      </c>
      <c r="U2" s="3">
        <v>100000</v>
      </c>
      <c r="V2">
        <f>U2*T2/(100*12)</f>
        <v>1466.666666666667</v>
      </c>
    </row>
    <row r="3" spans="1:22" x14ac:dyDescent="0.25">
      <c r="A3" s="11">
        <v>2</v>
      </c>
      <c r="B3" s="11" t="s">
        <v>991</v>
      </c>
      <c r="C3" s="11">
        <v>21</v>
      </c>
      <c r="D3" s="11">
        <v>3</v>
      </c>
      <c r="E3" s="11" t="s">
        <v>1013</v>
      </c>
      <c r="F3" s="11">
        <f>19-$E$32</f>
        <v>19</v>
      </c>
      <c r="G3" s="3">
        <v>100000</v>
      </c>
      <c r="H3" s="3">
        <v>98000</v>
      </c>
      <c r="I3" s="3">
        <v>98100</v>
      </c>
      <c r="J3" s="11"/>
      <c r="M3">
        <v>97</v>
      </c>
      <c r="N3">
        <v>2</v>
      </c>
      <c r="O3">
        <f t="shared" si="0"/>
        <v>1466.666666666667</v>
      </c>
      <c r="P3" s="3">
        <f t="shared" ref="P3:P20" si="1">P2*(1+$S$2/1200)</f>
        <v>95404.255555555559</v>
      </c>
      <c r="Q3" s="3">
        <f t="shared" ref="Q3:Q49" si="2">O3+Q2*(1+$S$2/1200)</f>
        <v>2960.2222222222226</v>
      </c>
    </row>
    <row r="4" spans="1:22" x14ac:dyDescent="0.25">
      <c r="A4" s="11">
        <v>3</v>
      </c>
      <c r="B4" s="11" t="s">
        <v>992</v>
      </c>
      <c r="C4" s="11">
        <v>16</v>
      </c>
      <c r="D4" s="11">
        <v>3</v>
      </c>
      <c r="E4" s="11" t="s">
        <v>1014</v>
      </c>
      <c r="F4" s="11">
        <f>19-$E$32</f>
        <v>19</v>
      </c>
      <c r="G4" s="3">
        <v>100000</v>
      </c>
      <c r="H4" s="3">
        <v>91000</v>
      </c>
      <c r="I4" s="3">
        <v>91500</v>
      </c>
      <c r="J4" s="11"/>
      <c r="M4">
        <v>97</v>
      </c>
      <c r="N4">
        <v>3</v>
      </c>
      <c r="O4">
        <f>$V$2</f>
        <v>1466.666666666667</v>
      </c>
      <c r="P4" s="3">
        <f t="shared" si="1"/>
        <v>97153.333574074073</v>
      </c>
      <c r="Q4" s="3">
        <f t="shared" si="2"/>
        <v>4481.1596296296302</v>
      </c>
    </row>
    <row r="5" spans="1:22" x14ac:dyDescent="0.25">
      <c r="A5" s="11">
        <v>4</v>
      </c>
      <c r="B5" s="23" t="s">
        <v>983</v>
      </c>
      <c r="C5" s="11">
        <v>21</v>
      </c>
      <c r="D5" s="11">
        <v>3</v>
      </c>
      <c r="E5" s="11" t="s">
        <v>1015</v>
      </c>
      <c r="F5" s="11">
        <f>21-$E$32</f>
        <v>21</v>
      </c>
      <c r="G5" s="3">
        <v>100000</v>
      </c>
      <c r="H5" s="3">
        <v>97200</v>
      </c>
      <c r="I5" s="3">
        <v>98100</v>
      </c>
      <c r="J5" s="11"/>
      <c r="M5">
        <v>97</v>
      </c>
      <c r="N5">
        <v>4</v>
      </c>
      <c r="O5">
        <f t="shared" ref="O5:O49" si="3">$V$2</f>
        <v>1466.666666666667</v>
      </c>
      <c r="P5" s="3">
        <f t="shared" si="1"/>
        <v>98934.47802293209</v>
      </c>
      <c r="Q5" s="3">
        <f t="shared" si="2"/>
        <v>6029.9808895061733</v>
      </c>
    </row>
    <row r="6" spans="1:22" x14ac:dyDescent="0.25">
      <c r="A6" s="11">
        <v>5</v>
      </c>
      <c r="B6" s="11" t="s">
        <v>975</v>
      </c>
      <c r="C6" s="11">
        <v>21</v>
      </c>
      <c r="D6" s="11">
        <v>3</v>
      </c>
      <c r="E6" s="11" t="s">
        <v>1016</v>
      </c>
      <c r="F6" s="11">
        <f>24-$E$32</f>
        <v>24</v>
      </c>
      <c r="G6" s="3">
        <v>100000</v>
      </c>
      <c r="H6" s="3">
        <v>99500</v>
      </c>
      <c r="I6" s="3">
        <v>98100</v>
      </c>
      <c r="J6" s="11"/>
      <c r="M6">
        <v>97</v>
      </c>
      <c r="N6">
        <v>5</v>
      </c>
      <c r="O6">
        <f t="shared" si="3"/>
        <v>1466.666666666667</v>
      </c>
      <c r="P6" s="3">
        <f t="shared" si="1"/>
        <v>100748.27678668585</v>
      </c>
      <c r="Q6" s="3">
        <f t="shared" si="2"/>
        <v>7607.1972058137862</v>
      </c>
    </row>
    <row r="7" spans="1:22" x14ac:dyDescent="0.25">
      <c r="A7" s="11">
        <v>6</v>
      </c>
      <c r="B7" s="11" t="s">
        <v>993</v>
      </c>
      <c r="C7" s="11">
        <v>18</v>
      </c>
      <c r="D7" s="11">
        <v>3</v>
      </c>
      <c r="E7" s="11" t="s">
        <v>1048</v>
      </c>
      <c r="F7" s="11">
        <f>24-$E$32</f>
        <v>24</v>
      </c>
      <c r="G7" s="3">
        <v>100000</v>
      </c>
      <c r="H7" s="3">
        <v>93000</v>
      </c>
      <c r="I7" s="3"/>
      <c r="J7" s="11"/>
      <c r="M7">
        <v>97</v>
      </c>
      <c r="N7">
        <v>6</v>
      </c>
      <c r="O7">
        <f t="shared" si="3"/>
        <v>1466.666666666667</v>
      </c>
      <c r="P7" s="3">
        <f t="shared" si="1"/>
        <v>102595.32852777508</v>
      </c>
      <c r="Q7" s="3">
        <f t="shared" si="2"/>
        <v>9213.3291545870379</v>
      </c>
    </row>
    <row r="8" spans="1:22" x14ac:dyDescent="0.25">
      <c r="A8" s="11">
        <v>7</v>
      </c>
      <c r="B8" s="11" t="s">
        <v>994</v>
      </c>
      <c r="C8" s="11">
        <v>16</v>
      </c>
      <c r="D8" s="11">
        <v>3</v>
      </c>
      <c r="E8" s="11" t="s">
        <v>1017</v>
      </c>
      <c r="F8" s="11">
        <f>22-$E$32</f>
        <v>22</v>
      </c>
      <c r="G8" s="3">
        <v>100000</v>
      </c>
      <c r="H8" s="3">
        <v>90000</v>
      </c>
      <c r="I8" s="3"/>
      <c r="J8" s="11"/>
      <c r="M8">
        <v>97</v>
      </c>
      <c r="N8">
        <v>7</v>
      </c>
      <c r="O8">
        <f t="shared" si="3"/>
        <v>1466.666666666667</v>
      </c>
      <c r="P8" s="3">
        <f t="shared" si="1"/>
        <v>104476.24288411763</v>
      </c>
      <c r="Q8" s="3">
        <f t="shared" si="2"/>
        <v>10848.906855754467</v>
      </c>
    </row>
    <row r="9" spans="1:22" x14ac:dyDescent="0.25">
      <c r="A9" s="11">
        <v>8</v>
      </c>
      <c r="B9" s="11" t="s">
        <v>995</v>
      </c>
      <c r="C9" s="11">
        <v>15</v>
      </c>
      <c r="D9" s="11">
        <v>6</v>
      </c>
      <c r="E9" s="11" t="s">
        <v>1018</v>
      </c>
      <c r="F9" s="11">
        <f>33-$E$32</f>
        <v>33</v>
      </c>
      <c r="G9" s="3">
        <v>100000</v>
      </c>
      <c r="H9" s="3">
        <v>82000</v>
      </c>
      <c r="I9" s="3">
        <v>85000</v>
      </c>
      <c r="J9" s="11"/>
      <c r="M9">
        <v>97</v>
      </c>
      <c r="N9">
        <v>8</v>
      </c>
      <c r="O9">
        <f t="shared" si="3"/>
        <v>1466.666666666667</v>
      </c>
      <c r="P9" s="3">
        <f t="shared" si="1"/>
        <v>106391.64067032645</v>
      </c>
      <c r="Q9" s="3">
        <f t="shared" si="2"/>
        <v>12514.470148109966</v>
      </c>
    </row>
    <row r="10" spans="1:22" x14ac:dyDescent="0.25">
      <c r="A10" s="11">
        <v>9</v>
      </c>
      <c r="B10" s="11" t="s">
        <v>966</v>
      </c>
      <c r="C10" s="11">
        <v>0</v>
      </c>
      <c r="D10" s="11">
        <v>0</v>
      </c>
      <c r="E10" s="11" t="s">
        <v>1019</v>
      </c>
      <c r="F10" s="11">
        <f>12-$E$32</f>
        <v>12</v>
      </c>
      <c r="G10" s="3">
        <v>100000</v>
      </c>
      <c r="H10" s="3">
        <v>80200</v>
      </c>
      <c r="I10" s="3"/>
      <c r="J10" s="11"/>
      <c r="M10">
        <v>97</v>
      </c>
      <c r="N10">
        <v>9</v>
      </c>
      <c r="O10">
        <f t="shared" si="3"/>
        <v>1466.666666666667</v>
      </c>
      <c r="P10" s="3">
        <f t="shared" si="1"/>
        <v>108342.15408261577</v>
      </c>
      <c r="Q10" s="3">
        <f t="shared" si="2"/>
        <v>14210.568767491983</v>
      </c>
    </row>
    <row r="11" spans="1:22" x14ac:dyDescent="0.25">
      <c r="A11" s="11">
        <v>10</v>
      </c>
      <c r="B11" s="11" t="s">
        <v>996</v>
      </c>
      <c r="C11" s="11">
        <v>0</v>
      </c>
      <c r="D11" s="11">
        <v>0</v>
      </c>
      <c r="E11" s="11" t="s">
        <v>1029</v>
      </c>
      <c r="F11" s="11">
        <f>5-$E$32</f>
        <v>5</v>
      </c>
      <c r="G11" s="3">
        <v>100000</v>
      </c>
      <c r="H11" s="3">
        <v>92020</v>
      </c>
      <c r="I11" s="3"/>
      <c r="J11" s="11"/>
      <c r="M11">
        <v>97</v>
      </c>
      <c r="N11">
        <v>10</v>
      </c>
      <c r="O11">
        <f t="shared" si="3"/>
        <v>1466.666666666667</v>
      </c>
      <c r="P11" s="3">
        <f t="shared" si="1"/>
        <v>110328.42690746373</v>
      </c>
      <c r="Q11" s="3">
        <f t="shared" si="2"/>
        <v>15937.762528229337</v>
      </c>
    </row>
    <row r="12" spans="1:22" x14ac:dyDescent="0.25">
      <c r="A12" s="11">
        <v>11</v>
      </c>
      <c r="B12" s="11" t="s">
        <v>997</v>
      </c>
      <c r="C12" s="11">
        <v>0</v>
      </c>
      <c r="D12" s="11">
        <v>0</v>
      </c>
      <c r="E12" s="11" t="s">
        <v>1030</v>
      </c>
      <c r="F12" s="11">
        <f>6-$E$32</f>
        <v>6</v>
      </c>
      <c r="G12" s="3">
        <v>100000</v>
      </c>
      <c r="H12" s="3">
        <v>90100</v>
      </c>
      <c r="I12" s="3"/>
      <c r="J12" s="11"/>
      <c r="M12">
        <v>97</v>
      </c>
      <c r="N12">
        <v>11</v>
      </c>
      <c r="O12">
        <f t="shared" si="3"/>
        <v>1466.666666666667</v>
      </c>
      <c r="P12" s="3">
        <f t="shared" si="1"/>
        <v>112351.11473410056</v>
      </c>
      <c r="Q12" s="3">
        <f t="shared" si="2"/>
        <v>17696.621507913544</v>
      </c>
    </row>
    <row r="13" spans="1:22" x14ac:dyDescent="0.25">
      <c r="A13" s="11">
        <v>12</v>
      </c>
      <c r="B13" s="11" t="s">
        <v>998</v>
      </c>
      <c r="C13" s="11">
        <v>0</v>
      </c>
      <c r="D13" s="11">
        <v>0</v>
      </c>
      <c r="E13" s="11" t="s">
        <v>1031</v>
      </c>
      <c r="F13" s="11">
        <f>7-$E$32</f>
        <v>7</v>
      </c>
      <c r="G13" s="3">
        <v>100000</v>
      </c>
      <c r="H13" s="3">
        <v>88600</v>
      </c>
      <c r="I13" s="3"/>
      <c r="J13" s="11"/>
      <c r="M13">
        <v>97</v>
      </c>
      <c r="N13">
        <v>12</v>
      </c>
      <c r="O13">
        <f t="shared" si="3"/>
        <v>1466.666666666667</v>
      </c>
      <c r="P13" s="3">
        <f t="shared" si="1"/>
        <v>114410.88517089239</v>
      </c>
      <c r="Q13" s="3">
        <f t="shared" si="2"/>
        <v>19487.726235558624</v>
      </c>
    </row>
    <row r="14" spans="1:22" x14ac:dyDescent="0.25">
      <c r="A14" s="11">
        <v>13</v>
      </c>
      <c r="B14" s="11" t="s">
        <v>999</v>
      </c>
      <c r="C14" s="11">
        <v>0</v>
      </c>
      <c r="D14" s="11">
        <v>0</v>
      </c>
      <c r="E14" s="11" t="s">
        <v>1032</v>
      </c>
      <c r="F14" s="11">
        <f>20-$E$32</f>
        <v>20</v>
      </c>
      <c r="G14" s="3">
        <v>100000</v>
      </c>
      <c r="H14" s="3">
        <v>71000</v>
      </c>
      <c r="I14" s="3">
        <v>70000</v>
      </c>
      <c r="J14" s="11"/>
      <c r="M14">
        <v>98</v>
      </c>
      <c r="N14">
        <v>1</v>
      </c>
      <c r="O14">
        <f t="shared" si="3"/>
        <v>1466.666666666667</v>
      </c>
      <c r="P14" s="3">
        <f t="shared" si="1"/>
        <v>116508.41806569208</v>
      </c>
      <c r="Q14" s="3">
        <f t="shared" si="2"/>
        <v>21311.667883210532</v>
      </c>
    </row>
    <row r="15" spans="1:22" x14ac:dyDescent="0.25">
      <c r="A15" s="11">
        <v>14</v>
      </c>
      <c r="B15" s="11" t="s">
        <v>1000</v>
      </c>
      <c r="C15" s="11">
        <v>0</v>
      </c>
      <c r="D15" s="11">
        <v>0</v>
      </c>
      <c r="E15" s="11" t="s">
        <v>1033</v>
      </c>
      <c r="F15" s="11">
        <f>9-$E$32</f>
        <v>9</v>
      </c>
      <c r="G15" s="3">
        <v>100000</v>
      </c>
      <c r="H15" s="3">
        <v>84500</v>
      </c>
      <c r="I15" s="3"/>
      <c r="J15" s="11"/>
      <c r="M15">
        <v>98</v>
      </c>
      <c r="N15">
        <v>2</v>
      </c>
      <c r="O15">
        <f t="shared" si="3"/>
        <v>1466.666666666667</v>
      </c>
      <c r="P15" s="3">
        <f t="shared" si="1"/>
        <v>118644.40573022976</v>
      </c>
      <c r="Q15" s="3">
        <f t="shared" si="2"/>
        <v>23169.048461069393</v>
      </c>
    </row>
    <row r="16" spans="1:22" x14ac:dyDescent="0.25">
      <c r="A16" s="11">
        <v>15</v>
      </c>
      <c r="B16" s="11" t="s">
        <v>1001</v>
      </c>
      <c r="C16" s="11">
        <v>0</v>
      </c>
      <c r="D16" s="11">
        <v>0</v>
      </c>
      <c r="E16" s="11" t="s">
        <v>1034</v>
      </c>
      <c r="F16" s="11">
        <f>19-$E$32</f>
        <v>19</v>
      </c>
      <c r="G16" s="3">
        <v>100000</v>
      </c>
      <c r="H16" s="3">
        <v>71000</v>
      </c>
      <c r="I16" s="3"/>
      <c r="J16" s="11"/>
      <c r="M16">
        <v>98</v>
      </c>
      <c r="N16">
        <v>3</v>
      </c>
      <c r="O16">
        <f t="shared" si="3"/>
        <v>1466.666666666667</v>
      </c>
      <c r="P16" s="3">
        <f t="shared" si="1"/>
        <v>120819.55316861731</v>
      </c>
      <c r="Q16" s="3">
        <f t="shared" si="2"/>
        <v>25060.481016188998</v>
      </c>
    </row>
    <row r="17" spans="1:17" x14ac:dyDescent="0.25">
      <c r="A17" s="11">
        <v>16</v>
      </c>
      <c r="B17" s="11" t="s">
        <v>1002</v>
      </c>
      <c r="C17" s="11">
        <v>0</v>
      </c>
      <c r="D17" s="11">
        <v>0</v>
      </c>
      <c r="E17" s="11" t="s">
        <v>1036</v>
      </c>
      <c r="F17" s="11">
        <f>10-$E$32</f>
        <v>10</v>
      </c>
      <c r="G17" s="3">
        <v>100000</v>
      </c>
      <c r="H17" s="3">
        <v>84000</v>
      </c>
      <c r="I17" s="3"/>
      <c r="J17" s="11"/>
      <c r="M17">
        <v>98</v>
      </c>
      <c r="N17">
        <v>4</v>
      </c>
      <c r="O17">
        <f t="shared" si="3"/>
        <v>1466.666666666667</v>
      </c>
      <c r="P17" s="3">
        <f t="shared" si="1"/>
        <v>123034.57831004195</v>
      </c>
      <c r="Q17" s="3">
        <f t="shared" si="2"/>
        <v>26986.589834819129</v>
      </c>
    </row>
    <row r="18" spans="1:17" x14ac:dyDescent="0.25">
      <c r="A18" s="11">
        <v>17</v>
      </c>
      <c r="B18" s="11" t="s">
        <v>1021</v>
      </c>
      <c r="C18" s="11">
        <v>0</v>
      </c>
      <c r="D18" s="11">
        <v>0</v>
      </c>
      <c r="E18" s="11" t="s">
        <v>1035</v>
      </c>
      <c r="F18" s="11">
        <f>16-$E$32</f>
        <v>16</v>
      </c>
      <c r="G18" s="3">
        <v>100000</v>
      </c>
      <c r="H18" s="3">
        <v>75500</v>
      </c>
      <c r="I18" s="3"/>
      <c r="J18" s="11"/>
      <c r="M18">
        <v>98</v>
      </c>
      <c r="N18">
        <v>5</v>
      </c>
      <c r="O18">
        <f t="shared" si="3"/>
        <v>1466.666666666667</v>
      </c>
      <c r="P18" s="3">
        <f t="shared" si="1"/>
        <v>125290.21224572606</v>
      </c>
      <c r="Q18" s="3">
        <f t="shared" si="2"/>
        <v>28948.010648457483</v>
      </c>
    </row>
    <row r="19" spans="1:17" x14ac:dyDescent="0.25">
      <c r="A19" s="11">
        <v>18</v>
      </c>
      <c r="B19" s="11" t="s">
        <v>1022</v>
      </c>
      <c r="C19" s="11">
        <v>0</v>
      </c>
      <c r="D19" s="11">
        <v>0</v>
      </c>
      <c r="E19" s="11" t="s">
        <v>1035</v>
      </c>
      <c r="F19" s="11">
        <f>16-$E$32</f>
        <v>16</v>
      </c>
      <c r="G19" s="3">
        <v>100000</v>
      </c>
      <c r="H19" s="3">
        <v>75500</v>
      </c>
      <c r="I19" s="3"/>
      <c r="J19" s="11"/>
      <c r="M19">
        <v>98</v>
      </c>
      <c r="N19">
        <v>6</v>
      </c>
      <c r="O19">
        <f t="shared" si="3"/>
        <v>1466.666666666667</v>
      </c>
      <c r="P19" s="3">
        <f t="shared" si="1"/>
        <v>127587.19947023103</v>
      </c>
      <c r="Q19" s="3">
        <f t="shared" si="2"/>
        <v>30945.390843679204</v>
      </c>
    </row>
    <row r="20" spans="1:17" x14ac:dyDescent="0.25">
      <c r="A20" s="11">
        <v>19</v>
      </c>
      <c r="B20" s="11" t="s">
        <v>1023</v>
      </c>
      <c r="C20" s="11">
        <v>0</v>
      </c>
      <c r="D20" s="11">
        <v>0</v>
      </c>
      <c r="E20" s="11" t="s">
        <v>1041</v>
      </c>
      <c r="F20" s="11">
        <f>21-$E$32</f>
        <v>21</v>
      </c>
      <c r="G20" s="3">
        <v>100000</v>
      </c>
      <c r="H20" s="3">
        <v>70000</v>
      </c>
      <c r="I20" s="3">
        <v>68000</v>
      </c>
      <c r="J20" s="11"/>
      <c r="M20">
        <v>98</v>
      </c>
      <c r="N20" s="9">
        <v>7</v>
      </c>
      <c r="O20">
        <f t="shared" si="3"/>
        <v>1466.666666666667</v>
      </c>
      <c r="P20" s="3">
        <f t="shared" si="1"/>
        <v>129926.29812718526</v>
      </c>
      <c r="Q20" s="3">
        <f t="shared" si="2"/>
        <v>32979.38967581332</v>
      </c>
    </row>
    <row r="21" spans="1:17" x14ac:dyDescent="0.25">
      <c r="A21" s="11">
        <v>20</v>
      </c>
      <c r="B21" s="11" t="s">
        <v>1024</v>
      </c>
      <c r="C21" s="11">
        <v>0</v>
      </c>
      <c r="D21" s="11">
        <v>0</v>
      </c>
      <c r="E21" s="11" t="s">
        <v>1042</v>
      </c>
      <c r="F21" s="11">
        <f>9-$E$32</f>
        <v>9</v>
      </c>
      <c r="G21" s="3">
        <v>100000</v>
      </c>
      <c r="H21" s="3">
        <v>86600</v>
      </c>
      <c r="I21" s="3">
        <v>85000</v>
      </c>
      <c r="J21" s="11"/>
      <c r="K21" t="s">
        <v>25</v>
      </c>
      <c r="M21">
        <v>98</v>
      </c>
      <c r="N21">
        <v>8</v>
      </c>
      <c r="O21">
        <f t="shared" si="3"/>
        <v>1466.666666666667</v>
      </c>
      <c r="P21" s="3">
        <f>P20*(1+$S$2/1200)</f>
        <v>132308.28025951699</v>
      </c>
      <c r="Q21" s="3">
        <f t="shared" si="2"/>
        <v>35050.678486536563</v>
      </c>
    </row>
    <row r="22" spans="1:17" x14ac:dyDescent="0.25">
      <c r="A22" s="11">
        <v>21</v>
      </c>
      <c r="B22" s="11" t="s">
        <v>1025</v>
      </c>
      <c r="C22" s="11">
        <v>0</v>
      </c>
      <c r="D22" s="11">
        <v>0</v>
      </c>
      <c r="E22" s="11" t="s">
        <v>1043</v>
      </c>
      <c r="F22" s="11">
        <f>23-$E$32</f>
        <v>23</v>
      </c>
      <c r="G22" s="3">
        <v>100000</v>
      </c>
      <c r="H22" s="3">
        <v>68000</v>
      </c>
      <c r="I22" s="3">
        <v>66000</v>
      </c>
      <c r="J22" s="11"/>
      <c r="M22">
        <v>98</v>
      </c>
      <c r="N22" s="9">
        <v>9</v>
      </c>
      <c r="O22">
        <f t="shared" si="3"/>
        <v>1466.666666666667</v>
      </c>
      <c r="P22" s="3">
        <f t="shared" ref="P22:P49" si="4">P21*(1+$S$2/1200)</f>
        <v>134733.93206427479</v>
      </c>
      <c r="Q22" s="3">
        <f t="shared" si="2"/>
        <v>37159.940925456394</v>
      </c>
    </row>
    <row r="23" spans="1:17" x14ac:dyDescent="0.25">
      <c r="A23" s="11">
        <v>22</v>
      </c>
      <c r="B23" s="11" t="s">
        <v>1026</v>
      </c>
      <c r="C23" s="11">
        <v>0</v>
      </c>
      <c r="D23" s="11">
        <v>0</v>
      </c>
      <c r="E23" s="11" t="s">
        <v>1044</v>
      </c>
      <c r="F23" s="11">
        <f>22-$E$32</f>
        <v>22</v>
      </c>
      <c r="G23" s="3">
        <v>100000</v>
      </c>
      <c r="H23" s="3">
        <v>69000</v>
      </c>
      <c r="I23" s="3"/>
      <c r="J23" s="11"/>
      <c r="M23">
        <v>98</v>
      </c>
      <c r="N23">
        <v>10</v>
      </c>
      <c r="O23">
        <f t="shared" si="3"/>
        <v>1466.666666666667</v>
      </c>
      <c r="P23" s="3">
        <f t="shared" si="4"/>
        <v>137204.05415211982</v>
      </c>
      <c r="Q23" s="3">
        <f t="shared" si="2"/>
        <v>39307.873175756424</v>
      </c>
    </row>
    <row r="24" spans="1:17" x14ac:dyDescent="0.25">
      <c r="A24" s="11">
        <v>23</v>
      </c>
      <c r="B24" s="11" t="s">
        <v>1027</v>
      </c>
      <c r="C24" s="11">
        <v>0</v>
      </c>
      <c r="D24" s="11">
        <v>0</v>
      </c>
      <c r="E24" s="11" t="s">
        <v>1044</v>
      </c>
      <c r="F24" s="11">
        <f>22-$E$32</f>
        <v>22</v>
      </c>
      <c r="G24" s="3">
        <v>100000</v>
      </c>
      <c r="H24" s="3">
        <v>69000</v>
      </c>
      <c r="I24" s="3"/>
      <c r="J24" s="11"/>
      <c r="M24">
        <v>98</v>
      </c>
      <c r="N24">
        <v>11</v>
      </c>
      <c r="O24">
        <f t="shared" si="3"/>
        <v>1466.666666666667</v>
      </c>
      <c r="P24" s="3">
        <f t="shared" si="4"/>
        <v>139719.46181157534</v>
      </c>
      <c r="Q24" s="3">
        <f t="shared" si="2"/>
        <v>41495.184183978621</v>
      </c>
    </row>
    <row r="25" spans="1:17" x14ac:dyDescent="0.25">
      <c r="A25" s="11">
        <v>24</v>
      </c>
      <c r="B25" s="11" t="s">
        <v>1028</v>
      </c>
      <c r="C25" s="11">
        <v>0</v>
      </c>
      <c r="D25" s="11">
        <v>0</v>
      </c>
      <c r="E25" s="11" t="s">
        <v>1032</v>
      </c>
      <c r="F25" s="11">
        <f>20-$E$32</f>
        <v>20</v>
      </c>
      <c r="G25" s="3">
        <v>100000</v>
      </c>
      <c r="H25" s="3">
        <v>70500</v>
      </c>
      <c r="I25" s="3"/>
      <c r="J25" s="11"/>
      <c r="M25">
        <v>98</v>
      </c>
      <c r="N25">
        <v>12</v>
      </c>
      <c r="O25">
        <f t="shared" si="3"/>
        <v>1466.666666666667</v>
      </c>
      <c r="P25" s="3">
        <f t="shared" si="4"/>
        <v>142280.98527812088</v>
      </c>
      <c r="Q25" s="3">
        <f t="shared" si="2"/>
        <v>43722.595894018224</v>
      </c>
    </row>
    <row r="26" spans="1:17" x14ac:dyDescent="0.25">
      <c r="A26" s="11">
        <v>25</v>
      </c>
      <c r="B26" s="11" t="s">
        <v>1004</v>
      </c>
      <c r="C26" s="11">
        <v>20</v>
      </c>
      <c r="D26" s="11">
        <v>6</v>
      </c>
      <c r="E26" s="11" t="s">
        <v>1010</v>
      </c>
      <c r="F26" s="11">
        <f>42-$E$32</f>
        <v>42</v>
      </c>
      <c r="G26" s="3">
        <v>100000</v>
      </c>
      <c r="H26" s="3">
        <v>100000</v>
      </c>
      <c r="I26" s="3"/>
      <c r="J26" s="11"/>
      <c r="M26">
        <v>99</v>
      </c>
      <c r="N26">
        <v>1</v>
      </c>
      <c r="O26">
        <f t="shared" si="3"/>
        <v>1466.666666666667</v>
      </c>
      <c r="P26" s="3">
        <f t="shared" si="4"/>
        <v>144889.47000821977</v>
      </c>
      <c r="Q26" s="3">
        <f t="shared" si="2"/>
        <v>45990.843485408557</v>
      </c>
    </row>
    <row r="27" spans="1:17" x14ac:dyDescent="0.25">
      <c r="A27" s="11">
        <v>26</v>
      </c>
      <c r="B27" s="11" t="s">
        <v>1005</v>
      </c>
      <c r="C27" s="11">
        <v>18</v>
      </c>
      <c r="D27" s="11">
        <v>6</v>
      </c>
      <c r="E27" s="11" t="s">
        <v>1009</v>
      </c>
      <c r="F27" s="11">
        <f>42-$E$32</f>
        <v>42</v>
      </c>
      <c r="G27" s="3">
        <v>100000</v>
      </c>
      <c r="H27" s="3"/>
      <c r="I27" s="3"/>
      <c r="J27" s="11"/>
      <c r="M27">
        <v>99</v>
      </c>
      <c r="N27">
        <v>2</v>
      </c>
      <c r="O27">
        <f t="shared" si="3"/>
        <v>1466.666666666667</v>
      </c>
      <c r="P27" s="3">
        <f t="shared" si="4"/>
        <v>147545.77695837046</v>
      </c>
      <c r="Q27" s="3">
        <f t="shared" si="2"/>
        <v>48300.675615974375</v>
      </c>
    </row>
    <row r="28" spans="1:17" x14ac:dyDescent="0.25">
      <c r="A28" s="11">
        <v>27</v>
      </c>
      <c r="B28" s="11" t="s">
        <v>1011</v>
      </c>
      <c r="C28" s="11">
        <v>22</v>
      </c>
      <c r="D28" s="11">
        <v>3</v>
      </c>
      <c r="E28" s="11" t="s">
        <v>1012</v>
      </c>
      <c r="F28" s="11">
        <f>12-$E$32</f>
        <v>12</v>
      </c>
      <c r="G28" s="3">
        <v>100000</v>
      </c>
      <c r="H28" s="3">
        <v>103000</v>
      </c>
      <c r="I28" s="3"/>
      <c r="J28" s="11"/>
      <c r="M28">
        <v>99</v>
      </c>
      <c r="N28">
        <v>3</v>
      </c>
      <c r="O28">
        <f t="shared" si="3"/>
        <v>1466.666666666667</v>
      </c>
      <c r="P28" s="3">
        <f t="shared" si="4"/>
        <v>150250.78286927391</v>
      </c>
      <c r="Q28" s="3">
        <f t="shared" si="2"/>
        <v>50652.854668933898</v>
      </c>
    </row>
    <row r="29" spans="1:17" x14ac:dyDescent="0.25">
      <c r="A29" s="11">
        <v>28</v>
      </c>
      <c r="B29" s="11" t="s">
        <v>1037</v>
      </c>
      <c r="C29" s="11">
        <v>21</v>
      </c>
      <c r="D29" s="11">
        <v>1</v>
      </c>
      <c r="E29" s="11" t="s">
        <v>1038</v>
      </c>
      <c r="F29" s="11">
        <f>26-$E$32</f>
        <v>26</v>
      </c>
      <c r="G29" s="3">
        <v>100000</v>
      </c>
      <c r="H29" s="3">
        <v>104000</v>
      </c>
      <c r="I29" s="3">
        <v>100000</v>
      </c>
      <c r="J29" s="11" t="s">
        <v>1040</v>
      </c>
      <c r="M29">
        <v>99</v>
      </c>
      <c r="N29">
        <v>4</v>
      </c>
      <c r="O29">
        <f t="shared" si="3"/>
        <v>1466.666666666667</v>
      </c>
      <c r="P29" s="3">
        <f t="shared" si="4"/>
        <v>153005.38055521061</v>
      </c>
      <c r="Q29" s="3">
        <f t="shared" si="2"/>
        <v>53048.157004531015</v>
      </c>
    </row>
    <row r="30" spans="1:17" x14ac:dyDescent="0.25">
      <c r="M30">
        <v>99</v>
      </c>
      <c r="N30">
        <v>5</v>
      </c>
      <c r="O30">
        <f t="shared" si="3"/>
        <v>1466.666666666667</v>
      </c>
      <c r="P30" s="3">
        <f t="shared" si="4"/>
        <v>155810.47919872281</v>
      </c>
      <c r="Q30" s="3">
        <f t="shared" si="2"/>
        <v>55487.373216280743</v>
      </c>
    </row>
    <row r="31" spans="1:17" x14ac:dyDescent="0.25">
      <c r="M31">
        <v>99</v>
      </c>
      <c r="N31">
        <v>6</v>
      </c>
      <c r="O31">
        <f t="shared" si="3"/>
        <v>1466.666666666667</v>
      </c>
      <c r="P31" s="3">
        <f t="shared" si="4"/>
        <v>158667.00465069938</v>
      </c>
      <c r="Q31" s="3">
        <f t="shared" si="2"/>
        <v>57971.308391912549</v>
      </c>
    </row>
    <row r="32" spans="1:17" x14ac:dyDescent="0.25">
      <c r="C32" t="s">
        <v>1046</v>
      </c>
      <c r="D32" t="s">
        <v>1047</v>
      </c>
      <c r="E32">
        <v>0</v>
      </c>
      <c r="M32">
        <v>99</v>
      </c>
      <c r="N32">
        <v>7</v>
      </c>
      <c r="O32">
        <f t="shared" si="3"/>
        <v>1466.666666666667</v>
      </c>
      <c r="P32" s="3">
        <f t="shared" si="4"/>
        <v>161575.89973596222</v>
      </c>
      <c r="Q32" s="3">
        <f t="shared" si="2"/>
        <v>60500.782379097611</v>
      </c>
    </row>
    <row r="33" spans="13:17" x14ac:dyDescent="0.25">
      <c r="M33">
        <v>99</v>
      </c>
      <c r="N33">
        <v>8</v>
      </c>
      <c r="O33">
        <f t="shared" si="3"/>
        <v>1466.666666666667</v>
      </c>
      <c r="P33" s="3">
        <f t="shared" si="4"/>
        <v>164538.12456445486</v>
      </c>
      <c r="Q33" s="3">
        <f t="shared" si="2"/>
        <v>63076.630056047732</v>
      </c>
    </row>
    <row r="34" spans="13:17" x14ac:dyDescent="0.25">
      <c r="M34">
        <v>99</v>
      </c>
      <c r="N34" s="9">
        <v>9</v>
      </c>
      <c r="O34">
        <f t="shared" si="3"/>
        <v>1466.666666666667</v>
      </c>
      <c r="P34" s="3">
        <f t="shared" si="4"/>
        <v>167554.65684813654</v>
      </c>
      <c r="Q34" s="3">
        <f t="shared" si="2"/>
        <v>65699.701607075272</v>
      </c>
    </row>
    <row r="35" spans="13:17" x14ac:dyDescent="0.25">
      <c r="M35">
        <v>99</v>
      </c>
      <c r="N35">
        <v>10</v>
      </c>
      <c r="O35">
        <f t="shared" si="3"/>
        <v>1466.666666666667</v>
      </c>
      <c r="P35" s="3">
        <f t="shared" si="4"/>
        <v>170626.49222368569</v>
      </c>
      <c r="Q35" s="3">
        <f t="shared" si="2"/>
        <v>68370.862803204989</v>
      </c>
    </row>
    <row r="36" spans="13:17" x14ac:dyDescent="0.25">
      <c r="M36">
        <v>99</v>
      </c>
      <c r="N36">
        <v>11</v>
      </c>
      <c r="O36">
        <f t="shared" si="3"/>
        <v>1466.666666666667</v>
      </c>
      <c r="P36" s="3">
        <f t="shared" si="4"/>
        <v>173754.64458111994</v>
      </c>
      <c r="Q36" s="3">
        <f t="shared" si="2"/>
        <v>71090.995287930418</v>
      </c>
    </row>
    <row r="37" spans="13:17" x14ac:dyDescent="0.25">
      <c r="M37">
        <v>99</v>
      </c>
      <c r="N37">
        <v>12</v>
      </c>
      <c r="O37">
        <f t="shared" si="3"/>
        <v>1466.666666666667</v>
      </c>
      <c r="P37" s="3">
        <f t="shared" si="4"/>
        <v>176940.14639844047</v>
      </c>
      <c r="Q37" s="3">
        <f t="shared" si="2"/>
        <v>73860.996868209142</v>
      </c>
    </row>
    <row r="38" spans="13:17" x14ac:dyDescent="0.25">
      <c r="M38">
        <v>100</v>
      </c>
      <c r="N38">
        <v>1</v>
      </c>
      <c r="O38">
        <f t="shared" si="3"/>
        <v>1466.666666666667</v>
      </c>
      <c r="P38" s="3">
        <f t="shared" si="4"/>
        <v>180184.04908241186</v>
      </c>
      <c r="Q38" s="3">
        <f t="shared" si="2"/>
        <v>76681.781810792978</v>
      </c>
    </row>
    <row r="39" spans="13:17" x14ac:dyDescent="0.25">
      <c r="M39">
        <v>100</v>
      </c>
      <c r="N39">
        <v>2</v>
      </c>
      <c r="O39">
        <f t="shared" si="3"/>
        <v>1466.666666666667</v>
      </c>
      <c r="P39" s="3">
        <f t="shared" si="4"/>
        <v>183487.4233155894</v>
      </c>
      <c r="Q39" s="3">
        <f t="shared" si="2"/>
        <v>79554.281143990855</v>
      </c>
    </row>
    <row r="40" spans="13:17" x14ac:dyDescent="0.25">
      <c r="M40">
        <v>100</v>
      </c>
      <c r="N40">
        <v>3</v>
      </c>
      <c r="O40">
        <f t="shared" si="3"/>
        <v>1466.666666666667</v>
      </c>
      <c r="P40" s="3">
        <f t="shared" si="4"/>
        <v>186851.35940970853</v>
      </c>
      <c r="Q40" s="3">
        <f t="shared" si="2"/>
        <v>82479.442964964022</v>
      </c>
    </row>
    <row r="41" spans="13:17" x14ac:dyDescent="0.25">
      <c r="M41">
        <v>100</v>
      </c>
      <c r="N41">
        <v>4</v>
      </c>
      <c r="O41">
        <f t="shared" si="3"/>
        <v>1466.666666666667</v>
      </c>
      <c r="P41" s="3">
        <f t="shared" si="4"/>
        <v>190276.96766555318</v>
      </c>
      <c r="Q41" s="3">
        <f t="shared" si="2"/>
        <v>85458.232752655036</v>
      </c>
    </row>
    <row r="42" spans="13:17" x14ac:dyDescent="0.25">
      <c r="M42">
        <v>100</v>
      </c>
      <c r="N42">
        <v>5</v>
      </c>
      <c r="O42">
        <f t="shared" si="3"/>
        <v>1466.666666666667</v>
      </c>
      <c r="P42" s="3">
        <f t="shared" si="4"/>
        <v>193765.37873942166</v>
      </c>
      <c r="Q42" s="3">
        <f t="shared" si="2"/>
        <v>88491.633686453715</v>
      </c>
    </row>
    <row r="43" spans="13:17" x14ac:dyDescent="0.25">
      <c r="M43">
        <v>100</v>
      </c>
      <c r="N43" s="9">
        <v>6</v>
      </c>
      <c r="O43">
        <f t="shared" si="3"/>
        <v>1466.666666666667</v>
      </c>
      <c r="P43" s="3">
        <f t="shared" si="4"/>
        <v>197317.74401631104</v>
      </c>
      <c r="Q43" s="3">
        <f t="shared" si="2"/>
        <v>91580.646970705377</v>
      </c>
    </row>
    <row r="44" spans="13:17" x14ac:dyDescent="0.25">
      <c r="M44">
        <v>100</v>
      </c>
      <c r="N44">
        <v>7</v>
      </c>
      <c r="O44">
        <f t="shared" si="3"/>
        <v>1466.666666666667</v>
      </c>
      <c r="P44" s="3">
        <f t="shared" si="4"/>
        <v>200935.23598994341</v>
      </c>
      <c r="Q44" s="3">
        <f t="shared" si="2"/>
        <v>94726.292165168314</v>
      </c>
    </row>
    <row r="45" spans="13:17" x14ac:dyDescent="0.25">
      <c r="M45">
        <v>100</v>
      </c>
      <c r="N45">
        <v>8</v>
      </c>
      <c r="O45">
        <f t="shared" si="3"/>
        <v>1466.666666666667</v>
      </c>
      <c r="P45" s="3">
        <f t="shared" si="4"/>
        <v>204619.04864975903</v>
      </c>
      <c r="Q45" s="3">
        <f t="shared" si="2"/>
        <v>97929.607521529731</v>
      </c>
    </row>
    <row r="46" spans="13:17" x14ac:dyDescent="0.25">
      <c r="M46">
        <v>100</v>
      </c>
      <c r="N46">
        <v>9</v>
      </c>
      <c r="O46">
        <f t="shared" si="3"/>
        <v>1466.666666666667</v>
      </c>
      <c r="P46" s="3">
        <f t="shared" si="4"/>
        <v>208370.39787500462</v>
      </c>
      <c r="Q46" s="3">
        <f t="shared" si="2"/>
        <v>101191.65032609111</v>
      </c>
    </row>
    <row r="47" spans="13:17" x14ac:dyDescent="0.25">
      <c r="M47">
        <v>100</v>
      </c>
      <c r="N47">
        <v>10</v>
      </c>
      <c r="O47">
        <f t="shared" si="3"/>
        <v>1466.666666666667</v>
      </c>
      <c r="P47" s="3">
        <f t="shared" si="4"/>
        <v>212190.52183604636</v>
      </c>
      <c r="Q47" s="3">
        <f t="shared" si="2"/>
        <v>104513.49724873612</v>
      </c>
    </row>
    <row r="48" spans="13:17" x14ac:dyDescent="0.25">
      <c r="M48">
        <v>100</v>
      </c>
      <c r="N48">
        <v>11</v>
      </c>
      <c r="O48">
        <f t="shared" si="3"/>
        <v>1466.666666666667</v>
      </c>
      <c r="P48" s="3">
        <f t="shared" si="4"/>
        <v>216080.68140304054</v>
      </c>
      <c r="Q48" s="3">
        <f t="shared" si="2"/>
        <v>107896.24469829629</v>
      </c>
    </row>
    <row r="49" spans="13:17" x14ac:dyDescent="0.25">
      <c r="M49">
        <v>100</v>
      </c>
      <c r="N49">
        <v>12</v>
      </c>
      <c r="O49">
        <f t="shared" si="3"/>
        <v>1466.666666666667</v>
      </c>
      <c r="P49" s="3">
        <f t="shared" si="4"/>
        <v>220042.16056209628</v>
      </c>
      <c r="Q49" s="3">
        <f t="shared" si="2"/>
        <v>111341.00918443172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اسفند 96</vt:lpstr>
      <vt:lpstr>سارا</vt:lpstr>
      <vt:lpstr>مسکن مریم یاران</vt:lpstr>
      <vt:lpstr>مسکن علی سید الشهدا</vt:lpstr>
      <vt:lpstr>مسکن ایلیا</vt:lpstr>
      <vt:lpstr>برنامه 5 ساله</vt:lpstr>
      <vt:lpstr>مسکن مریم سید الشهدا</vt:lpstr>
      <vt:lpstr>بدهی خانه</vt:lpstr>
      <vt:lpstr>اردیبهشت95</vt:lpstr>
      <vt:lpstr>خرداد 95</vt:lpstr>
      <vt:lpstr>تیرماه95</vt:lpstr>
      <vt:lpstr>مرداد 95</vt:lpstr>
      <vt:lpstr>شهریور 95</vt:lpstr>
      <vt:lpstr>مهر 95</vt:lpstr>
      <vt:lpstr>آبان 95</vt:lpstr>
      <vt:lpstr>آذر 95</vt:lpstr>
      <vt:lpstr>دی 95</vt:lpstr>
      <vt:lpstr>بهمن 95</vt:lpstr>
      <vt:lpstr>اسفند 95</vt:lpstr>
      <vt:lpstr>فروردین 96</vt:lpstr>
      <vt:lpstr>اردیبهشت 96</vt:lpstr>
      <vt:lpstr>خرداد 96</vt:lpstr>
      <vt:lpstr>تیر 96</vt:lpstr>
      <vt:lpstr>مرداد 96</vt:lpstr>
      <vt:lpstr>شهریور 96</vt:lpstr>
      <vt:lpstr>مهر96</vt:lpstr>
      <vt:lpstr>آبان 96</vt:lpstr>
      <vt:lpstr>آذر 96</vt:lpstr>
      <vt:lpstr>دی 96</vt:lpstr>
      <vt:lpstr>بهمن 96</vt:lpstr>
      <vt:lpstr>لیست خرید و فروش</vt:lpstr>
      <vt:lpstr>اوراق بدون ریسک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2018-03-18T11:34:19Z</dcterms:modified>
</cp:coreProperties>
</file>