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N8" i="18"/>
  <c r="N6" i="18"/>
  <c r="G45" i="10"/>
  <c r="N28" i="18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E16" i="18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4" i="13" l="1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<sst xmlns="http://schemas.openxmlformats.org/spreadsheetml/2006/main" count="2747" uniqueCount="1158">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</sst>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workbookViewId="0">
      <selection activeCell="H6" sqref="H6"/>
    </sheetView>
  </sheetViews>
  <sheetFormatPr defaultRowHeight="15" x14ac:dyDescent="0.25"/>
  <cols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1112</v>
      </c>
      <c r="R1" s="11" t="s">
        <v>180</v>
      </c>
      <c r="S1" s="11" t="s">
        <v>267</v>
      </c>
      <c r="T1" s="11" t="s">
        <v>452</v>
      </c>
      <c r="U1" s="11" t="s">
        <v>754</v>
      </c>
      <c r="V1" s="11" t="s">
        <v>280</v>
      </c>
      <c r="W1" s="11" t="s">
        <v>1128</v>
      </c>
      <c r="X1" s="11" t="s">
        <v>35</v>
      </c>
      <c r="Y1" s="11" t="s">
        <v>37</v>
      </c>
      <c r="Z1" s="11" t="s">
        <v>484</v>
      </c>
      <c r="AH1" s="100" t="s">
        <v>1140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1112</v>
      </c>
      <c r="R2" s="11" t="s">
        <v>1127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1113</v>
      </c>
      <c r="R3" s="11" t="s">
        <v>1129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101" t="s">
        <v>1141</v>
      </c>
      <c r="AI3" s="102" t="s">
        <v>1142</v>
      </c>
      <c r="AJ3" s="101" t="s">
        <v>1143</v>
      </c>
      <c r="AK3" s="103" t="s">
        <v>1144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1114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1145</v>
      </c>
      <c r="AI5" s="98" t="s">
        <v>1146</v>
      </c>
      <c r="AJ5" s="98" t="s">
        <v>1147</v>
      </c>
      <c r="AK5" s="98" t="s">
        <v>1148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1115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1149</v>
      </c>
      <c r="AI6" s="99" t="s">
        <v>1150</v>
      </c>
      <c r="AJ6" s="99" t="s">
        <v>1151</v>
      </c>
      <c r="AK6" s="99" t="s">
        <v>1152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1116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1117</v>
      </c>
      <c r="J9">
        <v>232</v>
      </c>
      <c r="K9">
        <v>2.12</v>
      </c>
      <c r="L9">
        <f>$J$9/K9</f>
        <v>109.43396226415094</v>
      </c>
      <c r="O9" t="s">
        <v>1124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4" si="5">$J$9/K10</f>
        <v>114.85148514851485</v>
      </c>
      <c r="O10" t="s">
        <v>1125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1118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1119</v>
      </c>
      <c r="K12">
        <v>1.82</v>
      </c>
      <c r="L12">
        <f t="shared" si="5"/>
        <v>127.47252747252747</v>
      </c>
      <c r="O12" t="s">
        <v>754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1137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1120</v>
      </c>
      <c r="K14">
        <v>1.62</v>
      </c>
      <c r="L14">
        <f>$J$9/K14</f>
        <v>143.20987654320987</v>
      </c>
      <c r="O14" t="s">
        <v>1138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1121</v>
      </c>
      <c r="O15" t="s">
        <v>1126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1157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1122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A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1127</v>
      </c>
      <c r="B4" s="18">
        <v>-52000000</v>
      </c>
      <c r="C4" s="18">
        <v>0</v>
      </c>
      <c r="D4" s="3">
        <f t="shared" si="0"/>
        <v>-52000000</v>
      </c>
      <c r="E4" s="11" t="s">
        <v>1131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958</v>
      </c>
      <c r="B5" s="18">
        <v>0</v>
      </c>
      <c r="C5" s="18">
        <v>0</v>
      </c>
      <c r="D5" s="3">
        <f t="shared" si="0"/>
        <v>0</v>
      </c>
      <c r="E5" s="20" t="s">
        <v>1043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1068</v>
      </c>
      <c r="B6" s="18">
        <v>0</v>
      </c>
      <c r="C6" s="18">
        <v>0</v>
      </c>
      <c r="D6" s="3">
        <f t="shared" si="0"/>
        <v>0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1111</v>
      </c>
      <c r="G31" s="9" t="s">
        <v>1071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1110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1153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-1000000</v>
      </c>
      <c r="C5" s="18">
        <v>-1000000</v>
      </c>
      <c r="D5" s="3">
        <f t="shared" si="0"/>
        <v>0</v>
      </c>
      <c r="E5" s="20" t="s">
        <v>742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725</v>
      </c>
      <c r="B6" s="18">
        <v>-50000000</v>
      </c>
      <c r="C6" s="18">
        <v>0</v>
      </c>
      <c r="D6" s="3">
        <f t="shared" si="0"/>
        <v>-50000000</v>
      </c>
      <c r="E6" s="19" t="s">
        <v>726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727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750</v>
      </c>
      <c r="B4" s="18">
        <v>-1210700</v>
      </c>
      <c r="C4" s="18">
        <v>0</v>
      </c>
      <c r="D4" s="3">
        <f t="shared" si="0"/>
        <v>-1210700</v>
      </c>
      <c r="E4" s="11" t="s">
        <v>751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-97300</v>
      </c>
      <c r="C5" s="18">
        <v>0</v>
      </c>
      <c r="D5" s="3">
        <f t="shared" si="0"/>
        <v>-97300</v>
      </c>
      <c r="E5" s="20" t="s">
        <v>772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-1000000</v>
      </c>
      <c r="C6" s="18">
        <v>-1000000</v>
      </c>
      <c r="D6" s="3">
        <f t="shared" si="0"/>
        <v>0</v>
      </c>
      <c r="E6" s="19" t="s">
        <v>779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752</v>
      </c>
      <c r="G31" s="9" t="s">
        <v>782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806</v>
      </c>
      <c r="B4" s="18">
        <v>-1000500</v>
      </c>
      <c r="C4" s="18">
        <v>-1000500</v>
      </c>
      <c r="D4" s="3">
        <f t="shared" si="0"/>
        <v>0</v>
      </c>
      <c r="E4" s="11" t="s">
        <v>807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827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G162" sqref="G16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721</v>
      </c>
      <c r="B130" s="18">
        <v>-1000000</v>
      </c>
      <c r="C130" s="18">
        <v>-1000000</v>
      </c>
      <c r="D130" s="18">
        <f t="shared" si="12"/>
        <v>0</v>
      </c>
      <c r="E130" s="11" t="s">
        <v>742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725</v>
      </c>
      <c r="B131" s="18">
        <v>-50000000</v>
      </c>
      <c r="C131" s="18">
        <v>0</v>
      </c>
      <c r="D131" s="18">
        <f t="shared" si="12"/>
        <v>-50000000</v>
      </c>
      <c r="E131" s="11" t="s">
        <v>726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750</v>
      </c>
      <c r="B133" s="18">
        <v>-1210700</v>
      </c>
      <c r="C133" s="18">
        <v>0</v>
      </c>
      <c r="D133" s="18">
        <f t="shared" si="12"/>
        <v>-1210700</v>
      </c>
      <c r="E133" s="11" t="s">
        <v>751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767</v>
      </c>
      <c r="B134" s="18">
        <v>-65000</v>
      </c>
      <c r="C134" s="18">
        <v>0</v>
      </c>
      <c r="D134" s="18">
        <f t="shared" si="12"/>
        <v>-65000</v>
      </c>
      <c r="E134" s="11" t="s">
        <v>770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767</v>
      </c>
      <c r="B135" s="18">
        <v>-32300</v>
      </c>
      <c r="C135" s="18">
        <v>0</v>
      </c>
      <c r="D135" s="18">
        <f t="shared" si="12"/>
        <v>-32300</v>
      </c>
      <c r="E135" s="11" t="s">
        <v>771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778</v>
      </c>
      <c r="B136" s="18">
        <v>-1000000</v>
      </c>
      <c r="C136" s="18">
        <v>-1000000</v>
      </c>
      <c r="D136" s="18">
        <f t="shared" si="12"/>
        <v>0</v>
      </c>
      <c r="E136" s="11" t="s">
        <v>779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806</v>
      </c>
      <c r="B138" s="18">
        <v>-1000500</v>
      </c>
      <c r="C138" s="18">
        <v>-1000500</v>
      </c>
      <c r="D138" s="18">
        <f t="shared" si="12"/>
        <v>0</v>
      </c>
      <c r="E138" s="11" t="s">
        <v>807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827</v>
      </c>
      <c r="B139" s="18">
        <v>282240</v>
      </c>
      <c r="C139" s="18">
        <v>88807</v>
      </c>
      <c r="D139" s="18">
        <f t="shared" si="12"/>
        <v>193433</v>
      </c>
      <c r="E139" s="11" t="s">
        <v>830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832</v>
      </c>
      <c r="B140" s="18">
        <v>1500000</v>
      </c>
      <c r="C140" s="18">
        <v>0</v>
      </c>
      <c r="D140" s="18">
        <f t="shared" si="12"/>
        <v>1500000</v>
      </c>
      <c r="E140" s="11" t="s">
        <v>833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855</v>
      </c>
      <c r="B141" s="18">
        <v>0</v>
      </c>
      <c r="C141" s="18">
        <v>-1000000</v>
      </c>
      <c r="D141" s="18">
        <f t="shared" si="12"/>
        <v>1000000</v>
      </c>
      <c r="E141" s="11" t="s">
        <v>854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868</v>
      </c>
      <c r="B142" s="18">
        <v>290893</v>
      </c>
      <c r="C142" s="18">
        <v>81022</v>
      </c>
      <c r="D142" s="18">
        <f t="shared" si="12"/>
        <v>209871</v>
      </c>
      <c r="E142" s="11" t="s">
        <v>874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897</v>
      </c>
      <c r="B143" s="18">
        <v>0</v>
      </c>
      <c r="C143" s="18">
        <v>-1000000</v>
      </c>
      <c r="D143" s="18">
        <f t="shared" si="12"/>
        <v>1000000</v>
      </c>
      <c r="E143" s="11" t="s">
        <v>901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931</v>
      </c>
      <c r="B145" s="18">
        <v>-10000</v>
      </c>
      <c r="C145" s="18">
        <v>-5000</v>
      </c>
      <c r="D145" s="18">
        <f t="shared" si="12"/>
        <v>-5000</v>
      </c>
      <c r="E145" s="74" t="s">
        <v>937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917</v>
      </c>
      <c r="B146" s="18">
        <v>-1000500</v>
      </c>
      <c r="C146" s="18">
        <v>-1000500</v>
      </c>
      <c r="D146" s="18">
        <f t="shared" si="12"/>
        <v>0</v>
      </c>
      <c r="E146" s="11" t="s">
        <v>918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958</v>
      </c>
      <c r="B147" s="18">
        <v>-27000000</v>
      </c>
      <c r="C147" s="18">
        <v>0</v>
      </c>
      <c r="D147" s="18">
        <f t="shared" si="12"/>
        <v>-27000000</v>
      </c>
      <c r="E147" s="11" t="s">
        <v>1042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1068</v>
      </c>
      <c r="B148" s="18">
        <v>252436</v>
      </c>
      <c r="C148" s="18">
        <v>65510</v>
      </c>
      <c r="D148" s="18">
        <f t="shared" si="12"/>
        <v>186926</v>
      </c>
      <c r="E148" s="11" t="s">
        <v>1070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1108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1109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1127</v>
      </c>
      <c r="B150" s="18">
        <v>-52000000</v>
      </c>
      <c r="C150" s="18">
        <v>0</v>
      </c>
      <c r="D150" s="18">
        <f t="shared" si="18"/>
        <v>-52000000</v>
      </c>
      <c r="E150" s="11" t="s">
        <v>1130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873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832</v>
      </c>
      <c r="B3" s="18">
        <v>1500000</v>
      </c>
      <c r="C3" s="18">
        <v>0</v>
      </c>
      <c r="D3" s="43">
        <f t="shared" ref="D3:D22" si="0">B3-C3</f>
        <v>1500000</v>
      </c>
      <c r="E3" s="20" t="s">
        <v>833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853</v>
      </c>
      <c r="B4" s="18">
        <v>0</v>
      </c>
      <c r="C4" s="18">
        <v>-1000000</v>
      </c>
      <c r="D4" s="3">
        <f t="shared" si="0"/>
        <v>1000000</v>
      </c>
      <c r="E4" s="11" t="s">
        <v>854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868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841</v>
      </c>
      <c r="G31" s="9" t="s">
        <v>908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842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849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851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852</v>
      </c>
    </row>
    <row r="36" spans="4:17" x14ac:dyDescent="0.25">
      <c r="D36" s="42">
        <v>-10000</v>
      </c>
      <c r="E36" s="41" t="s">
        <v>862</v>
      </c>
    </row>
    <row r="37" spans="4:17" x14ac:dyDescent="0.25">
      <c r="D37" s="7">
        <v>-180000</v>
      </c>
      <c r="E37" s="41" t="s">
        <v>867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897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901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906</v>
      </c>
      <c r="B4" s="39">
        <v>294852</v>
      </c>
      <c r="C4" s="39">
        <v>74657</v>
      </c>
      <c r="D4" s="35">
        <f t="shared" si="0"/>
        <v>220195</v>
      </c>
      <c r="E4" s="23" t="s">
        <v>916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899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931</v>
      </c>
      <c r="B4" s="18">
        <v>-10000</v>
      </c>
      <c r="C4" s="18">
        <v>-5000</v>
      </c>
      <c r="D4" s="3">
        <f t="shared" si="0"/>
        <v>-5000</v>
      </c>
      <c r="E4" s="11" t="s">
        <v>937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958</v>
      </c>
      <c r="B5" s="18">
        <v>-27000000</v>
      </c>
      <c r="C5" s="18">
        <v>0</v>
      </c>
      <c r="D5" s="3">
        <f t="shared" si="0"/>
        <v>-27000000</v>
      </c>
      <c r="E5" s="20" t="s">
        <v>1043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1068</v>
      </c>
      <c r="B6" s="18">
        <v>252436</v>
      </c>
      <c r="C6" s="18">
        <v>65510</v>
      </c>
      <c r="D6" s="3">
        <f t="shared" si="0"/>
        <v>186926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1060</v>
      </c>
    </row>
    <row r="36" spans="4:17" x14ac:dyDescent="0.25">
      <c r="D36" s="42">
        <v>245000</v>
      </c>
      <c r="E36" s="41" t="s">
        <v>1060</v>
      </c>
    </row>
    <row r="37" spans="4:17" x14ac:dyDescent="0.25">
      <c r="D37" s="7">
        <v>-25000</v>
      </c>
      <c r="E37" s="41" t="s">
        <v>1064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T1" zoomScaleNormal="100" workbookViewId="0">
      <pane ySplit="1" topLeftCell="A2" activePane="bottomLeft" state="frozen"/>
      <selection pane="bottomLeft" activeCell="Z8" sqref="Z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963</v>
      </c>
      <c r="B1" s="11" t="s">
        <v>960</v>
      </c>
      <c r="C1" s="11" t="s">
        <v>961</v>
      </c>
      <c r="D1" s="11" t="s">
        <v>972</v>
      </c>
      <c r="E1" s="11" t="s">
        <v>974</v>
      </c>
      <c r="F1" s="11" t="s">
        <v>964</v>
      </c>
      <c r="G1" s="11" t="s">
        <v>183</v>
      </c>
      <c r="H1" s="11" t="s">
        <v>979</v>
      </c>
      <c r="I1" s="11" t="s">
        <v>969</v>
      </c>
      <c r="J1" s="11" t="s">
        <v>975</v>
      </c>
      <c r="K1" s="11" t="s">
        <v>976</v>
      </c>
      <c r="L1" s="11" t="s">
        <v>970</v>
      </c>
      <c r="M1" s="11" t="s">
        <v>977</v>
      </c>
      <c r="N1" s="11" t="s">
        <v>5</v>
      </c>
      <c r="O1" s="11" t="s">
        <v>483</v>
      </c>
      <c r="P1" s="11" t="s">
        <v>39</v>
      </c>
      <c r="Q1" s="11" t="s">
        <v>1048</v>
      </c>
      <c r="R1" s="11" t="s">
        <v>980</v>
      </c>
      <c r="S1" s="74" t="s">
        <v>1065</v>
      </c>
      <c r="AB1" s="11" t="s">
        <v>979</v>
      </c>
      <c r="AC1" s="25"/>
    </row>
    <row r="2" spans="1:33" x14ac:dyDescent="0.25">
      <c r="A2" s="76" t="s">
        <v>950</v>
      </c>
      <c r="B2" s="76" t="s">
        <v>971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950</v>
      </c>
      <c r="B3" s="76" t="s">
        <v>971</v>
      </c>
      <c r="C3" s="76">
        <v>400</v>
      </c>
      <c r="D3" s="76" t="s">
        <v>973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966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967</v>
      </c>
      <c r="AC3" s="82" t="s">
        <v>1054</v>
      </c>
      <c r="AD3" s="82" t="s">
        <v>1055</v>
      </c>
      <c r="AE3" s="82" t="s">
        <v>1056</v>
      </c>
      <c r="AF3" s="82" t="s">
        <v>1057</v>
      </c>
      <c r="AG3" s="82" t="s">
        <v>968</v>
      </c>
    </row>
    <row r="4" spans="1:33" x14ac:dyDescent="0.25">
      <c r="A4" s="79" t="s">
        <v>950</v>
      </c>
      <c r="B4" s="79" t="s">
        <v>962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1051</v>
      </c>
      <c r="B5" s="79" t="s">
        <v>962</v>
      </c>
      <c r="C5" s="79">
        <v>3</v>
      </c>
      <c r="D5" s="79" t="s">
        <v>973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950</v>
      </c>
      <c r="B6" s="76" t="s">
        <v>962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1062</v>
      </c>
      <c r="B7" s="76" t="s">
        <v>962</v>
      </c>
      <c r="C7" s="76">
        <v>497</v>
      </c>
      <c r="D7" s="76" t="s">
        <v>973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959</v>
      </c>
      <c r="B8" s="79" t="s">
        <v>978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958</v>
      </c>
      <c r="B9" s="79" t="s">
        <v>978</v>
      </c>
      <c r="C9" s="79">
        <v>300</v>
      </c>
      <c r="D9" s="79" t="s">
        <v>973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959</v>
      </c>
      <c r="B10" s="76" t="s">
        <v>978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1062</v>
      </c>
      <c r="B11" s="76" t="s">
        <v>978</v>
      </c>
      <c r="C11" s="76">
        <v>100</v>
      </c>
      <c r="D11" s="76" t="s">
        <v>973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958</v>
      </c>
      <c r="B12" s="79" t="s">
        <v>1040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958</v>
      </c>
      <c r="B13" s="79" t="s">
        <v>1040</v>
      </c>
      <c r="C13" s="79">
        <v>200</v>
      </c>
      <c r="D13" s="79" t="s">
        <v>973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958</v>
      </c>
      <c r="B14" s="76" t="s">
        <v>988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754</v>
      </c>
      <c r="AA14" t="s">
        <v>452</v>
      </c>
    </row>
    <row r="15" spans="1:33" x14ac:dyDescent="0.25">
      <c r="A15" s="76" t="s">
        <v>958</v>
      </c>
      <c r="B15" s="76" t="s">
        <v>988</v>
      </c>
      <c r="C15" s="76">
        <v>200</v>
      </c>
      <c r="D15" s="76" t="s">
        <v>973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1058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958</v>
      </c>
      <c r="B16" s="79" t="s">
        <v>971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1059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1062</v>
      </c>
      <c r="B17" s="79" t="s">
        <v>971</v>
      </c>
      <c r="C17" s="79">
        <v>100</v>
      </c>
      <c r="D17" s="79" t="s">
        <v>973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958</v>
      </c>
      <c r="B18" s="76" t="s">
        <v>971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1089</v>
      </c>
      <c r="Z18">
        <v>8</v>
      </c>
    </row>
    <row r="19" spans="1:30" x14ac:dyDescent="0.25">
      <c r="A19" s="76" t="s">
        <v>1062</v>
      </c>
      <c r="B19" s="76" t="s">
        <v>971</v>
      </c>
      <c r="C19" s="76">
        <v>100</v>
      </c>
      <c r="D19" s="76" t="s">
        <v>973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1090</v>
      </c>
      <c r="Z19">
        <v>14</v>
      </c>
    </row>
    <row r="20" spans="1:30" x14ac:dyDescent="0.25">
      <c r="A20" s="79" t="s">
        <v>958</v>
      </c>
      <c r="B20" s="79" t="s">
        <v>971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1062</v>
      </c>
      <c r="B21" s="79" t="s">
        <v>971</v>
      </c>
      <c r="C21" s="79">
        <v>200</v>
      </c>
      <c r="D21" s="79" t="s">
        <v>973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958</v>
      </c>
      <c r="B22" s="76" t="s">
        <v>984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981</v>
      </c>
      <c r="X22" s="11" t="s">
        <v>182</v>
      </c>
    </row>
    <row r="23" spans="1:30" x14ac:dyDescent="0.25">
      <c r="A23" s="76" t="s">
        <v>1062</v>
      </c>
      <c r="B23" s="76" t="s">
        <v>984</v>
      </c>
      <c r="C23" s="76">
        <v>100</v>
      </c>
      <c r="D23" s="76" t="s">
        <v>973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982</v>
      </c>
      <c r="X23" s="3">
        <v>0</v>
      </c>
      <c r="AD23" t="s">
        <v>25</v>
      </c>
    </row>
    <row r="24" spans="1:30" x14ac:dyDescent="0.25">
      <c r="A24" s="79" t="s">
        <v>958</v>
      </c>
      <c r="B24" s="79" t="s">
        <v>971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1062</v>
      </c>
      <c r="B25" s="79" t="s">
        <v>971</v>
      </c>
      <c r="C25" s="79">
        <v>300</v>
      </c>
      <c r="D25" s="79" t="s">
        <v>973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958</v>
      </c>
      <c r="B26" s="76" t="s">
        <v>984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1062</v>
      </c>
      <c r="B27" s="76" t="s">
        <v>984</v>
      </c>
      <c r="C27" s="76">
        <v>200</v>
      </c>
      <c r="D27" s="76" t="s">
        <v>973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958</v>
      </c>
      <c r="B28" s="90" t="s">
        <v>984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1099</v>
      </c>
      <c r="B29" s="90" t="s">
        <v>984</v>
      </c>
      <c r="C29" s="90">
        <v>100</v>
      </c>
      <c r="D29" s="90" t="s">
        <v>973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1051</v>
      </c>
      <c r="B30" s="79" t="s">
        <v>1040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1051</v>
      </c>
      <c r="B31" s="79" t="s">
        <v>1040</v>
      </c>
      <c r="C31" s="79">
        <v>143</v>
      </c>
      <c r="D31" s="79" t="s">
        <v>973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1051</v>
      </c>
      <c r="B32" s="76" t="s">
        <v>962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1051</v>
      </c>
      <c r="B33" s="76" t="s">
        <v>962</v>
      </c>
      <c r="C33" s="76">
        <v>500</v>
      </c>
      <c r="D33" s="76" t="s">
        <v>973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1051</v>
      </c>
      <c r="B34" s="79" t="s">
        <v>1040</v>
      </c>
      <c r="C34" s="79">
        <v>140</v>
      </c>
      <c r="D34" s="79" t="s">
        <v>1053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977</v>
      </c>
      <c r="X34" s="3">
        <f>X32-AG12</f>
        <v>0</v>
      </c>
    </row>
    <row r="35" spans="1:24" x14ac:dyDescent="0.25">
      <c r="A35" s="79" t="s">
        <v>1051</v>
      </c>
      <c r="B35" s="79" t="s">
        <v>1040</v>
      </c>
      <c r="C35" s="79">
        <v>140</v>
      </c>
      <c r="D35" s="79" t="s">
        <v>973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1062</v>
      </c>
      <c r="B36" s="76" t="s">
        <v>978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1062</v>
      </c>
      <c r="B37" s="76" t="s">
        <v>978</v>
      </c>
      <c r="C37" s="76">
        <v>100</v>
      </c>
      <c r="D37" s="76" t="s">
        <v>973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1062</v>
      </c>
      <c r="B38" s="79" t="s">
        <v>985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1062</v>
      </c>
      <c r="B39" s="79" t="s">
        <v>985</v>
      </c>
      <c r="C39" s="79">
        <v>500</v>
      </c>
      <c r="D39" s="79" t="s">
        <v>973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1062</v>
      </c>
      <c r="B40" s="76" t="s">
        <v>962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1099</v>
      </c>
      <c r="B41" s="76" t="s">
        <v>962</v>
      </c>
      <c r="C41" s="76">
        <v>8</v>
      </c>
      <c r="D41" s="76" t="s">
        <v>973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1062</v>
      </c>
      <c r="B42" s="79" t="s">
        <v>988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1100</v>
      </c>
      <c r="B43" s="79" t="s">
        <v>988</v>
      </c>
      <c r="C43" s="79">
        <v>1900</v>
      </c>
      <c r="D43" s="79" t="s">
        <v>973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1049</v>
      </c>
      <c r="Q71" s="11" t="s">
        <v>1050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O22" sqref="O22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1085</v>
      </c>
      <c r="M1" s="11" t="s">
        <v>996</v>
      </c>
      <c r="N1" s="11" t="s">
        <v>1075</v>
      </c>
      <c r="O1" s="11" t="s">
        <v>998</v>
      </c>
      <c r="P1" s="11" t="s">
        <v>1081</v>
      </c>
      <c r="Q1" s="11" t="s">
        <v>999</v>
      </c>
      <c r="R1" s="11" t="s">
        <v>1033</v>
      </c>
      <c r="S1" s="11" t="s">
        <v>1010</v>
      </c>
      <c r="T1" s="11" t="s">
        <v>965</v>
      </c>
      <c r="U1" s="69" t="s">
        <v>1080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979</v>
      </c>
      <c r="AD1" t="s">
        <v>1038</v>
      </c>
      <c r="AE1" t="s">
        <v>1039</v>
      </c>
      <c r="AI1">
        <v>0.51500000000000001</v>
      </c>
      <c r="AJ1" t="s">
        <v>1066</v>
      </c>
      <c r="AL1" t="s">
        <v>1076</v>
      </c>
      <c r="AM1" t="s">
        <v>1077</v>
      </c>
    </row>
    <row r="2" spans="1:39" x14ac:dyDescent="0.25">
      <c r="A2" s="92" t="s">
        <v>989</v>
      </c>
      <c r="B2" s="93">
        <f>$S2/(1+($AC$2-$O2+$P2)/36500)^$N2</f>
        <v>93372.141250329194</v>
      </c>
      <c r="C2" s="93">
        <f>$S2/(1+($AC$3-$O2+$P2)/36500)^$N2</f>
        <v>93491.869442498981</v>
      </c>
      <c r="D2" s="93">
        <f>$S2/(1+($AC$4-$O2+$P2)/36500)^$N2</f>
        <v>93641.747446750262</v>
      </c>
      <c r="E2" s="93">
        <f>$S2/(1+($AC$5-$O2+$P2)/36500)^$N2</f>
        <v>93791.86777925452</v>
      </c>
      <c r="F2" s="93">
        <f>$S2/(1+($AC$6-$O2+$P2)/36500)^$N2</f>
        <v>93942.230835146183</v>
      </c>
      <c r="G2" s="93">
        <f>$S2/(1+($AC$7-$O2+$P2)/36500)^$N2</f>
        <v>94092.837010202129</v>
      </c>
      <c r="H2" s="93">
        <f>$S2/(1+($AC$8-$O2+$P2)/36500)^$N2</f>
        <v>94243.686700857317</v>
      </c>
      <c r="I2" s="93">
        <f>$S2/(1+($AC$9-$O2+$P2)/36500)^$N2</f>
        <v>94394.780304192886</v>
      </c>
      <c r="J2" s="93">
        <f>$S2/(1+($AC$10-$O2+$P2)/36500)^$N2</f>
        <v>94546.11821794523</v>
      </c>
      <c r="K2" s="93">
        <f>$S2/(1+($AC$11-$O2+$P2)/36500)^$N2</f>
        <v>94697.700840509133</v>
      </c>
      <c r="L2" s="93">
        <f>$S2/(1+($AC$5-$O2+$P2)/36500)^$N2</f>
        <v>93791.86777925452</v>
      </c>
      <c r="M2" s="92" t="s">
        <v>1019</v>
      </c>
      <c r="N2" s="92">
        <f>132-$AD$19</f>
        <v>117</v>
      </c>
      <c r="O2" s="92">
        <v>0</v>
      </c>
      <c r="P2" s="92">
        <v>0</v>
      </c>
      <c r="Q2" s="92">
        <v>0</v>
      </c>
      <c r="R2" s="92">
        <f t="shared" ref="R2:R29" si="0">N2/30.5</f>
        <v>3.8360655737704916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1067</v>
      </c>
    </row>
    <row r="3" spans="1:39" x14ac:dyDescent="0.25">
      <c r="A3" s="94" t="s">
        <v>990</v>
      </c>
      <c r="B3" s="95">
        <f t="shared" ref="B3:B29" si="2">$S3/(1+($AC$2-$O3+$P3)/36500)^$N3</f>
        <v>91476.169204629157</v>
      </c>
      <c r="C3" s="95">
        <f t="shared" ref="C3:C29" si="3">$S3/(1+($AC$3-$O3+$P3)/36500)^$N3</f>
        <v>91628.584328497527</v>
      </c>
      <c r="D3" s="95">
        <f t="shared" ref="D3:D29" si="4">$S3/(1+($AC$4-$O3+$P3)/36500)^$N3</f>
        <v>91819.462754422508</v>
      </c>
      <c r="E3" s="95">
        <f t="shared" ref="E3:E29" si="5">$S3/(1+($AC$5-$O3+$P3)/36500)^$N3</f>
        <v>92010.741435106771</v>
      </c>
      <c r="F3" s="95">
        <f t="shared" ref="F3:F29" si="6">$S3/(1+($AC$6-$O3+$P3)/36500)^$N3</f>
        <v>92202.421215349794</v>
      </c>
      <c r="G3" s="95">
        <f t="shared" ref="G3:G29" si="7">$S3/(1+($AC$7-$O3+$P3)/36500)^$N3</f>
        <v>92394.502941736617</v>
      </c>
      <c r="H3" s="95">
        <f t="shared" ref="H3:H29" si="8">$S3/(1+($AC$8-$O3+$P3)/36500)^$N3</f>
        <v>92586.987462659876</v>
      </c>
      <c r="I3" s="95">
        <f t="shared" ref="I3:I29" si="9">$S3/(1+($AC$9-$O3+$P3)/36500)^$N3</f>
        <v>92779.875628307404</v>
      </c>
      <c r="J3" s="95">
        <f t="shared" ref="J3:J29" si="10">$S3/(1+($AC$10-$O3+$P3)/36500)^$N3</f>
        <v>92973.168290676229</v>
      </c>
      <c r="K3" s="95">
        <f t="shared" ref="K3:K29" si="11">$S3/(1+($AC$11-$O3+$P3)/36500)^$N3</f>
        <v>93166.866303578936</v>
      </c>
      <c r="L3" s="95">
        <f t="shared" ref="L3:L29" si="12">$S3/(1+($AC$5-$O3+$P3)/36500)^$N3</f>
        <v>92010.741435106771</v>
      </c>
      <c r="M3" s="94" t="s">
        <v>1020</v>
      </c>
      <c r="N3" s="94">
        <f>167-$AD$19</f>
        <v>152</v>
      </c>
      <c r="O3" s="94">
        <v>0</v>
      </c>
      <c r="P3" s="94">
        <v>0</v>
      </c>
      <c r="Q3" s="94">
        <v>0</v>
      </c>
      <c r="R3" s="94">
        <f t="shared" si="0"/>
        <v>4.9836065573770494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991</v>
      </c>
      <c r="B4" s="97">
        <f t="shared" si="2"/>
        <v>89934.419743048871</v>
      </c>
      <c r="C4" s="97">
        <f t="shared" si="3"/>
        <v>90112.883491298882</v>
      </c>
      <c r="D4" s="97">
        <f t="shared" si="4"/>
        <v>90336.464025568799</v>
      </c>
      <c r="E4" s="97">
        <f t="shared" si="5"/>
        <v>90560.602361567086</v>
      </c>
      <c r="F4" s="97">
        <f t="shared" si="6"/>
        <v>90785.29989860057</v>
      </c>
      <c r="G4" s="97">
        <f t="shared" si="7"/>
        <v>91010.558039494892</v>
      </c>
      <c r="H4" s="97">
        <f t="shared" si="8"/>
        <v>91236.378190624877</v>
      </c>
      <c r="I4" s="97">
        <f t="shared" si="9"/>
        <v>91462.761761904418</v>
      </c>
      <c r="J4" s="97">
        <f t="shared" si="10"/>
        <v>91689.710166807316</v>
      </c>
      <c r="K4" s="97">
        <f t="shared" si="11"/>
        <v>91917.224822379314</v>
      </c>
      <c r="L4" s="97">
        <f t="shared" si="12"/>
        <v>90560.602361567086</v>
      </c>
      <c r="M4" s="96" t="s">
        <v>1021</v>
      </c>
      <c r="N4" s="96">
        <f>196-$AD$19</f>
        <v>181</v>
      </c>
      <c r="O4" s="96">
        <v>0</v>
      </c>
      <c r="P4" s="96">
        <v>0</v>
      </c>
      <c r="Q4" s="96">
        <v>0</v>
      </c>
      <c r="R4" s="96">
        <f t="shared" si="0"/>
        <v>5.9344262295081966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992</v>
      </c>
      <c r="B5" s="93">
        <f t="shared" si="2"/>
        <v>70930.339558883774</v>
      </c>
      <c r="C5" s="93">
        <f t="shared" si="3"/>
        <v>71387.048006740995</v>
      </c>
      <c r="D5" s="93">
        <f t="shared" si="4"/>
        <v>71962.078211444052</v>
      </c>
      <c r="E5" s="93">
        <f t="shared" si="5"/>
        <v>72541.748313170901</v>
      </c>
      <c r="F5" s="93">
        <f t="shared" si="6"/>
        <v>73126.095815384499</v>
      </c>
      <c r="G5" s="93">
        <f t="shared" si="7"/>
        <v>73715.15852517329</v>
      </c>
      <c r="H5" s="93">
        <f t="shared" si="8"/>
        <v>74308.974555769833</v>
      </c>
      <c r="I5" s="93">
        <f t="shared" si="9"/>
        <v>74907.582328983408</v>
      </c>
      <c r="J5" s="93">
        <f t="shared" si="10"/>
        <v>75511.020577734598</v>
      </c>
      <c r="K5" s="93">
        <f t="shared" si="11"/>
        <v>76119.328348586307</v>
      </c>
      <c r="L5" s="93">
        <f t="shared" si="12"/>
        <v>72541.748313170901</v>
      </c>
      <c r="M5" s="92" t="s">
        <v>1022</v>
      </c>
      <c r="N5" s="92">
        <f>601-$AD$19</f>
        <v>586</v>
      </c>
      <c r="O5" s="92">
        <v>0</v>
      </c>
      <c r="P5" s="92">
        <v>0</v>
      </c>
      <c r="Q5" s="92">
        <v>0</v>
      </c>
      <c r="R5" s="92">
        <f t="shared" si="0"/>
        <v>19.21311475409836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973</v>
      </c>
      <c r="AC5">
        <v>20</v>
      </c>
    </row>
    <row r="6" spans="1:39" x14ac:dyDescent="0.25">
      <c r="A6" s="94" t="s">
        <v>993</v>
      </c>
      <c r="B6" s="95">
        <f t="shared" si="2"/>
        <v>86016.134443069895</v>
      </c>
      <c r="C6" s="95">
        <f t="shared" si="3"/>
        <v>86258.594033586996</v>
      </c>
      <c r="D6" s="95">
        <f t="shared" si="4"/>
        <v>86562.633584231153</v>
      </c>
      <c r="E6" s="95">
        <f t="shared" si="5"/>
        <v>86867.748981408367</v>
      </c>
      <c r="F6" s="95">
        <f t="shared" si="6"/>
        <v>87173.94404682552</v>
      </c>
      <c r="G6" s="95">
        <f t="shared" si="7"/>
        <v>87481.222615803214</v>
      </c>
      <c r="H6" s="95">
        <f t="shared" si="8"/>
        <v>87789.588537353731</v>
      </c>
      <c r="I6" s="95">
        <f t="shared" si="9"/>
        <v>88099.04567420388</v>
      </c>
      <c r="J6" s="95">
        <f t="shared" si="10"/>
        <v>88409.597902860623</v>
      </c>
      <c r="K6" s="95">
        <f t="shared" si="11"/>
        <v>88721.249113664177</v>
      </c>
      <c r="L6" s="95">
        <f t="shared" si="12"/>
        <v>86867.748981408367</v>
      </c>
      <c r="M6" s="94" t="s">
        <v>1023</v>
      </c>
      <c r="N6" s="94">
        <f>272-$AD$19</f>
        <v>257</v>
      </c>
      <c r="O6" s="94">
        <v>0</v>
      </c>
      <c r="P6" s="94">
        <v>0</v>
      </c>
      <c r="Q6" s="94">
        <v>0</v>
      </c>
      <c r="R6" s="94">
        <f t="shared" si="0"/>
        <v>8.4262295081967213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994</v>
      </c>
      <c r="B7" s="97">
        <f t="shared" si="2"/>
        <v>72104.026601619771</v>
      </c>
      <c r="C7" s="97">
        <f t="shared" si="3"/>
        <v>72546.041028911583</v>
      </c>
      <c r="D7" s="97">
        <f t="shared" si="4"/>
        <v>73102.378335409638</v>
      </c>
      <c r="E7" s="97">
        <f t="shared" si="5"/>
        <v>73662.989757103438</v>
      </c>
      <c r="F7" s="97">
        <f t="shared" si="6"/>
        <v>74227.908189502356</v>
      </c>
      <c r="G7" s="97">
        <f t="shared" si="7"/>
        <v>74797.166781722917</v>
      </c>
      <c r="H7" s="97">
        <f t="shared" si="8"/>
        <v>75370.798938501772</v>
      </c>
      <c r="I7" s="97">
        <f t="shared" si="9"/>
        <v>75948.838322121534</v>
      </c>
      <c r="J7" s="97">
        <f t="shared" si="10"/>
        <v>76531.318854430792</v>
      </c>
      <c r="K7" s="97">
        <f t="shared" si="11"/>
        <v>77118.274718856614</v>
      </c>
      <c r="L7" s="97">
        <f t="shared" si="12"/>
        <v>73662.989757103438</v>
      </c>
      <c r="M7" s="96" t="s">
        <v>1024</v>
      </c>
      <c r="N7" s="96">
        <f>573-$AD$19</f>
        <v>558</v>
      </c>
      <c r="O7" s="96">
        <v>0</v>
      </c>
      <c r="P7" s="96">
        <v>0</v>
      </c>
      <c r="Q7" s="96">
        <v>0</v>
      </c>
      <c r="R7" s="96">
        <f t="shared" si="0"/>
        <v>18.295081967213115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995</v>
      </c>
      <c r="B8" s="93">
        <f t="shared" si="2"/>
        <v>85313.190113325734</v>
      </c>
      <c r="C8" s="93">
        <f t="shared" si="3"/>
        <v>85566.787694942497</v>
      </c>
      <c r="D8" s="93">
        <f t="shared" si="4"/>
        <v>85884.848935661168</v>
      </c>
      <c r="E8" s="93">
        <f t="shared" si="5"/>
        <v>86204.096824173757</v>
      </c>
      <c r="F8" s="93">
        <f t="shared" si="6"/>
        <v>86524.535804063504</v>
      </c>
      <c r="G8" s="93">
        <f t="shared" si="7"/>
        <v>86846.170335599381</v>
      </c>
      <c r="H8" s="93">
        <f t="shared" si="8"/>
        <v>87169.004895829392</v>
      </c>
      <c r="I8" s="93">
        <f t="shared" si="9"/>
        <v>87493.043978616435</v>
      </c>
      <c r="J8" s="93">
        <f t="shared" si="10"/>
        <v>87818.292094719145</v>
      </c>
      <c r="K8" s="93">
        <f t="shared" si="11"/>
        <v>88144.753771859498</v>
      </c>
      <c r="L8" s="93">
        <f t="shared" si="12"/>
        <v>86204.096824173757</v>
      </c>
      <c r="M8" s="92" t="s">
        <v>1026</v>
      </c>
      <c r="N8" s="92">
        <f>286-$AD$19</f>
        <v>271</v>
      </c>
      <c r="O8" s="92">
        <v>0</v>
      </c>
      <c r="P8" s="92">
        <v>0</v>
      </c>
      <c r="Q8" s="92">
        <v>0</v>
      </c>
      <c r="R8" s="92">
        <f t="shared" si="0"/>
        <v>8.8852459016393439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1011</v>
      </c>
      <c r="B9" s="95">
        <f t="shared" si="2"/>
        <v>76636.032527417978</v>
      </c>
      <c r="C9" s="95">
        <f t="shared" si="3"/>
        <v>77018.050697963889</v>
      </c>
      <c r="D9" s="95">
        <f t="shared" si="4"/>
        <v>77498.258377655104</v>
      </c>
      <c r="E9" s="95">
        <f t="shared" si="5"/>
        <v>77981.466789170037</v>
      </c>
      <c r="F9" s="95">
        <f t="shared" si="6"/>
        <v>78467.694725024761</v>
      </c>
      <c r="G9" s="95">
        <f t="shared" si="7"/>
        <v>78956.961095662584</v>
      </c>
      <c r="H9" s="95">
        <f t="shared" si="8"/>
        <v>79449.284930242444</v>
      </c>
      <c r="I9" s="95">
        <f t="shared" si="9"/>
        <v>79944.685377343776</v>
      </c>
      <c r="J9" s="95">
        <f t="shared" si="10"/>
        <v>80443.181705744253</v>
      </c>
      <c r="K9" s="95">
        <f t="shared" si="11"/>
        <v>80944.793305181956</v>
      </c>
      <c r="L9" s="95">
        <f t="shared" si="12"/>
        <v>77981.466789170037</v>
      </c>
      <c r="M9" s="94" t="s">
        <v>1025</v>
      </c>
      <c r="N9" s="94">
        <f>469-$AD$19</f>
        <v>454</v>
      </c>
      <c r="O9" s="94">
        <v>0</v>
      </c>
      <c r="P9" s="94">
        <v>0</v>
      </c>
      <c r="Q9" s="94">
        <v>0</v>
      </c>
      <c r="R9" s="94">
        <f t="shared" si="0"/>
        <v>14.885245901639344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1012</v>
      </c>
      <c r="B10" s="97">
        <f t="shared" si="2"/>
        <v>76636.032527417978</v>
      </c>
      <c r="C10" s="97">
        <f t="shared" si="3"/>
        <v>77018.050697963889</v>
      </c>
      <c r="D10" s="97">
        <f t="shared" si="4"/>
        <v>77498.258377655104</v>
      </c>
      <c r="E10" s="97">
        <f t="shared" si="5"/>
        <v>77981.466789170037</v>
      </c>
      <c r="F10" s="97">
        <f t="shared" si="6"/>
        <v>78467.694725024761</v>
      </c>
      <c r="G10" s="97">
        <f t="shared" si="7"/>
        <v>78956.961095662584</v>
      </c>
      <c r="H10" s="97">
        <f t="shared" si="8"/>
        <v>79449.284930242444</v>
      </c>
      <c r="I10" s="97">
        <f t="shared" si="9"/>
        <v>79944.685377343776</v>
      </c>
      <c r="J10" s="97">
        <f t="shared" si="10"/>
        <v>80443.181705744253</v>
      </c>
      <c r="K10" s="97">
        <f t="shared" si="11"/>
        <v>80944.793305181956</v>
      </c>
      <c r="L10" s="97">
        <f t="shared" si="12"/>
        <v>77981.466789170037</v>
      </c>
      <c r="M10" s="96" t="s">
        <v>1025</v>
      </c>
      <c r="N10" s="96">
        <f>469-$AD$19</f>
        <v>454</v>
      </c>
      <c r="O10" s="96">
        <v>0</v>
      </c>
      <c r="P10" s="96">
        <v>0</v>
      </c>
      <c r="Q10" s="96">
        <v>0</v>
      </c>
      <c r="R10" s="96">
        <f t="shared" si="0"/>
        <v>14.885245901639344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1013</v>
      </c>
      <c r="B11" s="93">
        <f t="shared" si="2"/>
        <v>70062.628971153506</v>
      </c>
      <c r="C11" s="93">
        <f t="shared" si="3"/>
        <v>70529.970644728586</v>
      </c>
      <c r="D11" s="93">
        <f t="shared" si="4"/>
        <v>71118.54119613627</v>
      </c>
      <c r="E11" s="93">
        <f t="shared" si="5"/>
        <v>71712.031510845336</v>
      </c>
      <c r="F11" s="93">
        <f t="shared" si="6"/>
        <v>72310.482780555278</v>
      </c>
      <c r="G11" s="93">
        <f t="shared" si="7"/>
        <v>72913.936542393814</v>
      </c>
      <c r="H11" s="93">
        <f t="shared" si="8"/>
        <v>73522.434681875849</v>
      </c>
      <c r="I11" s="93">
        <f t="shared" si="9"/>
        <v>74136.019435778391</v>
      </c>
      <c r="J11" s="93">
        <f t="shared" si="10"/>
        <v>74754.733395124174</v>
      </c>
      <c r="K11" s="93">
        <f t="shared" si="11"/>
        <v>75378.619508165299</v>
      </c>
      <c r="L11" s="93">
        <f t="shared" si="12"/>
        <v>71712.031510845336</v>
      </c>
      <c r="M11" s="92" t="s">
        <v>1029</v>
      </c>
      <c r="N11" s="92">
        <f>622-$AD$19</f>
        <v>607</v>
      </c>
      <c r="O11" s="92">
        <v>0</v>
      </c>
      <c r="P11" s="92">
        <v>0</v>
      </c>
      <c r="Q11" s="92">
        <v>0</v>
      </c>
      <c r="R11" s="92">
        <f t="shared" si="0"/>
        <v>19.901639344262296</v>
      </c>
      <c r="S11" s="93">
        <v>100000</v>
      </c>
      <c r="T11" s="93">
        <v>71800</v>
      </c>
      <c r="U11" s="93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1014</v>
      </c>
      <c r="B12" s="95">
        <f>$S12/(1+($AC$2-$O12+$P12)/36500)^$N12</f>
        <v>86674.053618158825</v>
      </c>
      <c r="C12" s="95">
        <f>$S12/(1+($AC$3-$O12+$P12)/36500)^$N12</f>
        <v>86905.992909014603</v>
      </c>
      <c r="D12" s="95">
        <f t="shared" si="4"/>
        <v>87196.793621001561</v>
      </c>
      <c r="E12" s="95">
        <f t="shared" si="5"/>
        <v>87488.571397897278</v>
      </c>
      <c r="F12" s="95">
        <f t="shared" si="6"/>
        <v>87781.32953600552</v>
      </c>
      <c r="G12" s="95">
        <f t="shared" si="7"/>
        <v>88075.071342781986</v>
      </c>
      <c r="H12" s="95">
        <f t="shared" si="8"/>
        <v>88369.800136900332</v>
      </c>
      <c r="I12" s="95">
        <f t="shared" si="9"/>
        <v>88665.519248265293</v>
      </c>
      <c r="J12" s="95">
        <f t="shared" si="10"/>
        <v>88962.232018066628</v>
      </c>
      <c r="K12" s="95">
        <f t="shared" si="11"/>
        <v>89259.941798821033</v>
      </c>
      <c r="L12" s="95">
        <f t="shared" si="12"/>
        <v>87488.571397897278</v>
      </c>
      <c r="M12" s="94" t="s">
        <v>1030</v>
      </c>
      <c r="N12" s="94">
        <f>259-$AD$19</f>
        <v>244</v>
      </c>
      <c r="O12" s="94">
        <v>0</v>
      </c>
      <c r="P12" s="94">
        <v>0</v>
      </c>
      <c r="Q12" s="94">
        <v>0</v>
      </c>
      <c r="R12" s="94">
        <f t="shared" si="0"/>
        <v>8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1015</v>
      </c>
      <c r="B13" s="97">
        <f t="shared" si="2"/>
        <v>67522.669045121467</v>
      </c>
      <c r="C13" s="97">
        <f t="shared" si="3"/>
        <v>68019.986612853667</v>
      </c>
      <c r="D13" s="97">
        <f t="shared" si="4"/>
        <v>68646.795357752519</v>
      </c>
      <c r="E13" s="97">
        <f t="shared" si="5"/>
        <v>69279.388887848909</v>
      </c>
      <c r="F13" s="97">
        <f t="shared" si="6"/>
        <v>69917.820670936839</v>
      </c>
      <c r="G13" s="97">
        <f t="shared" si="7"/>
        <v>70562.144669715912</v>
      </c>
      <c r="H13" s="97">
        <f t="shared" si="8"/>
        <v>71212.415346440175</v>
      </c>
      <c r="I13" s="97">
        <f t="shared" si="9"/>
        <v>71868.687667494611</v>
      </c>
      <c r="J13" s="97">
        <f t="shared" si="10"/>
        <v>72531.017108103435</v>
      </c>
      <c r="K13" s="97">
        <f t="shared" si="11"/>
        <v>73199.459657056097</v>
      </c>
      <c r="L13" s="97">
        <f t="shared" si="12"/>
        <v>69279.388887848909</v>
      </c>
      <c r="M13" s="96" t="s">
        <v>1031</v>
      </c>
      <c r="N13" s="96">
        <f>685-$AD$19</f>
        <v>670</v>
      </c>
      <c r="O13" s="96">
        <v>0</v>
      </c>
      <c r="P13" s="96">
        <v>0</v>
      </c>
      <c r="Q13" s="96">
        <v>0</v>
      </c>
      <c r="R13" s="96">
        <f t="shared" si="0"/>
        <v>21.967213114754099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1016</v>
      </c>
      <c r="B14" s="93">
        <f t="shared" si="2"/>
        <v>68639.969233476251</v>
      </c>
      <c r="C14" s="93">
        <f t="shared" si="3"/>
        <v>69124.31424725856</v>
      </c>
      <c r="D14" s="93">
        <f t="shared" si="4"/>
        <v>69734.562014883864</v>
      </c>
      <c r="E14" s="93">
        <f t="shared" si="5"/>
        <v>70350.205677320628</v>
      </c>
      <c r="F14" s="93">
        <f t="shared" si="6"/>
        <v>70971.293020685698</v>
      </c>
      <c r="G14" s="93">
        <f t="shared" si="7"/>
        <v>71597.872254923655</v>
      </c>
      <c r="H14" s="93">
        <f t="shared" si="8"/>
        <v>72229.992017631273</v>
      </c>
      <c r="I14" s="93">
        <f t="shared" si="9"/>
        <v>72867.701377803562</v>
      </c>
      <c r="J14" s="93">
        <f t="shared" si="10"/>
        <v>73511.049839699728</v>
      </c>
      <c r="K14" s="93">
        <f t="shared" si="11"/>
        <v>74160.087346718603</v>
      </c>
      <c r="L14" s="93">
        <f t="shared" si="12"/>
        <v>70350.205677320628</v>
      </c>
      <c r="M14" s="92" t="s">
        <v>1032</v>
      </c>
      <c r="N14" s="92">
        <f>657-$AD$19</f>
        <v>642</v>
      </c>
      <c r="O14" s="92">
        <v>0</v>
      </c>
      <c r="P14" s="92">
        <v>0</v>
      </c>
      <c r="Q14" s="92">
        <v>0</v>
      </c>
      <c r="R14" s="92">
        <f t="shared" si="0"/>
        <v>21.049180327868854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1017</v>
      </c>
      <c r="B15" s="95">
        <f t="shared" si="2"/>
        <v>68639.969233476251</v>
      </c>
      <c r="C15" s="95">
        <f t="shared" si="3"/>
        <v>69124.31424725856</v>
      </c>
      <c r="D15" s="95">
        <f t="shared" si="4"/>
        <v>69734.562014883864</v>
      </c>
      <c r="E15" s="95">
        <f t="shared" si="5"/>
        <v>70350.205677320628</v>
      </c>
      <c r="F15" s="95">
        <f t="shared" si="6"/>
        <v>70971.293020685698</v>
      </c>
      <c r="G15" s="95">
        <f t="shared" si="7"/>
        <v>71597.872254923655</v>
      </c>
      <c r="H15" s="95">
        <f t="shared" si="8"/>
        <v>72229.992017631273</v>
      </c>
      <c r="I15" s="95">
        <f t="shared" si="9"/>
        <v>72867.701377803562</v>
      </c>
      <c r="J15" s="95">
        <f t="shared" si="10"/>
        <v>73511.049839699728</v>
      </c>
      <c r="K15" s="95">
        <f t="shared" si="11"/>
        <v>74160.087346718603</v>
      </c>
      <c r="L15" s="95">
        <f t="shared" si="12"/>
        <v>70350.205677320628</v>
      </c>
      <c r="M15" s="94" t="s">
        <v>1032</v>
      </c>
      <c r="N15" s="94">
        <f>657-$AD$19</f>
        <v>642</v>
      </c>
      <c r="O15" s="94">
        <v>0</v>
      </c>
      <c r="P15" s="94">
        <v>0</v>
      </c>
      <c r="Q15" s="94">
        <v>0</v>
      </c>
      <c r="R15" s="94">
        <f t="shared" si="0"/>
        <v>21.049180327868854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1018</v>
      </c>
      <c r="B16" s="97">
        <f t="shared" si="2"/>
        <v>70930.339558883774</v>
      </c>
      <c r="C16" s="97">
        <f t="shared" si="3"/>
        <v>71387.048006740995</v>
      </c>
      <c r="D16" s="97">
        <f t="shared" si="4"/>
        <v>71962.078211444052</v>
      </c>
      <c r="E16" s="97">
        <f t="shared" si="5"/>
        <v>72541.748313170901</v>
      </c>
      <c r="F16" s="97">
        <f t="shared" si="6"/>
        <v>73126.095815384499</v>
      </c>
      <c r="G16" s="97">
        <f t="shared" si="7"/>
        <v>73715.15852517329</v>
      </c>
      <c r="H16" s="97">
        <f t="shared" si="8"/>
        <v>74308.974555769833</v>
      </c>
      <c r="I16" s="97">
        <f t="shared" si="9"/>
        <v>74907.582328983408</v>
      </c>
      <c r="J16" s="97">
        <f t="shared" si="10"/>
        <v>75511.020577734598</v>
      </c>
      <c r="K16" s="97">
        <f t="shared" si="11"/>
        <v>76119.328348586307</v>
      </c>
      <c r="L16" s="97">
        <f t="shared" si="12"/>
        <v>72541.748313170901</v>
      </c>
      <c r="M16" s="96" t="s">
        <v>1022</v>
      </c>
      <c r="N16" s="96">
        <f>601-$AD$19</f>
        <v>586</v>
      </c>
      <c r="O16" s="96">
        <v>0</v>
      </c>
      <c r="P16" s="96">
        <v>0</v>
      </c>
      <c r="Q16" s="96">
        <v>0</v>
      </c>
      <c r="R16" s="96">
        <f t="shared" si="0"/>
        <v>19.21311475409836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1036</v>
      </c>
      <c r="B17" s="93">
        <f t="shared" si="2"/>
        <v>82941.832978202932</v>
      </c>
      <c r="C17" s="93">
        <f t="shared" si="3"/>
        <v>84207.399173546131</v>
      </c>
      <c r="D17" s="93">
        <f t="shared" si="4"/>
        <v>85816.566925818363</v>
      </c>
      <c r="E17" s="93">
        <f t="shared" si="5"/>
        <v>87456.507868258152</v>
      </c>
      <c r="F17" s="93">
        <f t="shared" si="6"/>
        <v>89127.810930735446</v>
      </c>
      <c r="G17" s="93">
        <f t="shared" si="7"/>
        <v>90831.076322308625</v>
      </c>
      <c r="H17" s="93">
        <f t="shared" si="8"/>
        <v>92566.915747324674</v>
      </c>
      <c r="I17" s="93">
        <f t="shared" si="9"/>
        <v>94335.952625582082</v>
      </c>
      <c r="J17" s="93">
        <f t="shared" si="10"/>
        <v>96138.822317216138</v>
      </c>
      <c r="K17" s="93">
        <f t="shared" si="11"/>
        <v>97976.172351197063</v>
      </c>
      <c r="L17" s="93">
        <f t="shared" si="12"/>
        <v>87456.507868258152</v>
      </c>
      <c r="M17" s="92" t="s">
        <v>1037</v>
      </c>
      <c r="N17" s="92">
        <f>1397-$AD$19</f>
        <v>1382</v>
      </c>
      <c r="O17" s="92">
        <v>17</v>
      </c>
      <c r="P17" s="92">
        <f>$AI$2</f>
        <v>0.54</v>
      </c>
      <c r="Q17" s="92">
        <v>6</v>
      </c>
      <c r="R17" s="92">
        <f t="shared" si="0"/>
        <v>45.311475409836063</v>
      </c>
      <c r="S17" s="93">
        <v>100000</v>
      </c>
      <c r="T17" s="93">
        <v>96000</v>
      </c>
      <c r="U17" s="93">
        <f t="shared" si="13"/>
        <v>186451.39897486725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984</v>
      </c>
      <c r="B18" s="95">
        <f>$S18/(1+($AC$2-$O18+$P18)/36500)^$N18</f>
        <v>98633.183905060199</v>
      </c>
      <c r="C18" s="95">
        <f t="shared" si="3"/>
        <v>99228.38140573485</v>
      </c>
      <c r="D18" s="95">
        <f>$S18/(1+($AC$4-$O18+$P18)/36500)^$N18</f>
        <v>99977.440905749609</v>
      </c>
      <c r="E18" s="95">
        <f t="shared" si="5"/>
        <v>100732.16531606929</v>
      </c>
      <c r="F18" s="95">
        <f t="shared" si="6"/>
        <v>101492.5975571903</v>
      </c>
      <c r="G18" s="95">
        <f t="shared" si="7"/>
        <v>102258.78087537845</v>
      </c>
      <c r="H18" s="95">
        <f t="shared" si="8"/>
        <v>103030.75884517335</v>
      </c>
      <c r="I18" s="95">
        <f t="shared" si="9"/>
        <v>103808.57537184864</v>
      </c>
      <c r="J18" s="95">
        <f t="shared" si="10"/>
        <v>104592.27469398039</v>
      </c>
      <c r="K18" s="95">
        <f t="shared" si="11"/>
        <v>105381.90138593705</v>
      </c>
      <c r="L18" s="95">
        <f t="shared" si="12"/>
        <v>100732.16531606929</v>
      </c>
      <c r="M18" s="94" t="s">
        <v>1003</v>
      </c>
      <c r="N18" s="94">
        <f>564-$AD$19</f>
        <v>549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</v>
      </c>
      <c r="S18" s="95">
        <v>100000</v>
      </c>
      <c r="T18" s="95">
        <v>100000</v>
      </c>
      <c r="U18" s="95">
        <f t="shared" si="13"/>
        <v>136073.18765197831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1034</v>
      </c>
      <c r="AD18" t="s">
        <v>1074</v>
      </c>
      <c r="AF18" s="26"/>
    </row>
    <row r="19" spans="1:32" x14ac:dyDescent="0.25">
      <c r="A19" s="96" t="s">
        <v>985</v>
      </c>
      <c r="B19" s="97">
        <f t="shared" si="2"/>
        <v>91236.460517561893</v>
      </c>
      <c r="C19" s="97">
        <f t="shared" si="3"/>
        <v>91804.046139213344</v>
      </c>
      <c r="D19" s="97">
        <f t="shared" si="4"/>
        <v>92518.505008823762</v>
      </c>
      <c r="E19" s="97">
        <f t="shared" si="5"/>
        <v>93238.534007240814</v>
      </c>
      <c r="F19" s="97">
        <f t="shared" si="6"/>
        <v>93964.176637965531</v>
      </c>
      <c r="G19" s="97">
        <f t="shared" si="7"/>
        <v>94695.47674492198</v>
      </c>
      <c r="H19" s="97">
        <f t="shared" si="8"/>
        <v>95432.478515031224</v>
      </c>
      <c r="I19" s="97">
        <f t="shared" si="9"/>
        <v>96175.226480970086</v>
      </c>
      <c r="J19" s="97">
        <f t="shared" si="10"/>
        <v>96923.765523858237</v>
      </c>
      <c r="K19" s="97">
        <f t="shared" si="11"/>
        <v>97678.140875954748</v>
      </c>
      <c r="L19" s="97">
        <f t="shared" si="12"/>
        <v>93238.534007240814</v>
      </c>
      <c r="M19" s="96" t="s">
        <v>1004</v>
      </c>
      <c r="N19" s="96">
        <f>581-$AD$19</f>
        <v>566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18.557377049180328</v>
      </c>
      <c r="S19" s="97">
        <v>100000</v>
      </c>
      <c r="T19" s="97">
        <v>92000</v>
      </c>
      <c r="U19" s="97">
        <f t="shared" si="13"/>
        <v>127129.20555448679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1083</v>
      </c>
      <c r="AD19">
        <v>15</v>
      </c>
      <c r="AF19" s="26"/>
    </row>
    <row r="20" spans="1:32" x14ac:dyDescent="0.25">
      <c r="A20" s="92" t="s">
        <v>978</v>
      </c>
      <c r="B20" s="93">
        <f>$S20/(1+($AC$2-$O20+$P20)/36500)^$N20</f>
        <v>98462.725122254575</v>
      </c>
      <c r="C20" s="93">
        <f t="shared" si="3"/>
        <v>99131.824150654589</v>
      </c>
      <c r="D20" s="93">
        <f t="shared" si="4"/>
        <v>99974.605969777622</v>
      </c>
      <c r="E20" s="93">
        <f t="shared" si="5"/>
        <v>100824.56449832191</v>
      </c>
      <c r="F20" s="93">
        <f t="shared" si="6"/>
        <v>101681.76094914519</v>
      </c>
      <c r="G20" s="93">
        <f t="shared" si="7"/>
        <v>102546.25705804567</v>
      </c>
      <c r="H20" s="93">
        <f t="shared" si="8"/>
        <v>103418.11508826716</v>
      </c>
      <c r="I20" s="93">
        <f t="shared" si="9"/>
        <v>104297.397834972</v>
      </c>
      <c r="J20" s="93">
        <f t="shared" si="10"/>
        <v>105184.1686298531</v>
      </c>
      <c r="K20" s="93">
        <f t="shared" si="11"/>
        <v>106078.49134567472</v>
      </c>
      <c r="L20" s="93">
        <f t="shared" si="12"/>
        <v>100824.56449832191</v>
      </c>
      <c r="M20" s="92" t="s">
        <v>1005</v>
      </c>
      <c r="N20" s="92">
        <f>633-$AD$19</f>
        <v>618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20.262295081967213</v>
      </c>
      <c r="S20" s="93">
        <v>100000</v>
      </c>
      <c r="T20" s="93">
        <v>100000</v>
      </c>
      <c r="U20" s="93">
        <f t="shared" si="13"/>
        <v>141444.31710534476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971</v>
      </c>
      <c r="B21" s="95">
        <f t="shared" si="2"/>
        <v>98295.024974288011</v>
      </c>
      <c r="C21" s="95">
        <f t="shared" si="3"/>
        <v>99036.758201849283</v>
      </c>
      <c r="D21" s="95">
        <f t="shared" si="4"/>
        <v>99971.812198481945</v>
      </c>
      <c r="E21" s="95">
        <f t="shared" si="5"/>
        <v>100915.70748355128</v>
      </c>
      <c r="F21" s="95">
        <f t="shared" si="6"/>
        <v>101868.52777762502</v>
      </c>
      <c r="G21" s="95">
        <f t="shared" si="7"/>
        <v>102830.35759518869</v>
      </c>
      <c r="H21" s="95">
        <f t="shared" si="8"/>
        <v>103801.28225221933</v>
      </c>
      <c r="I21" s="95">
        <f t="shared" si="9"/>
        <v>104781.38787375209</v>
      </c>
      <c r="J21" s="95">
        <f t="shared" si="10"/>
        <v>105770.76140163124</v>
      </c>
      <c r="K21" s="95">
        <f t="shared" si="11"/>
        <v>106769.49060221163</v>
      </c>
      <c r="L21" s="95">
        <f t="shared" si="12"/>
        <v>100915.70748355128</v>
      </c>
      <c r="M21" s="94" t="s">
        <v>1006</v>
      </c>
      <c r="N21" s="94">
        <f>701-$AD$19</f>
        <v>686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22.491803278688526</v>
      </c>
      <c r="S21" s="95">
        <v>100000</v>
      </c>
      <c r="T21" s="95">
        <v>100000</v>
      </c>
      <c r="U21" s="95">
        <f t="shared" si="13"/>
        <v>146944.98940670336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986</v>
      </c>
      <c r="B22" s="97">
        <f t="shared" si="2"/>
        <v>92637.841325721252</v>
      </c>
      <c r="C22" s="97">
        <f t="shared" si="3"/>
        <v>93364.44658593132</v>
      </c>
      <c r="D22" s="97">
        <f t="shared" si="4"/>
        <v>94280.734145836133</v>
      </c>
      <c r="E22" s="97">
        <f t="shared" si="5"/>
        <v>95206.026975112472</v>
      </c>
      <c r="F22" s="97">
        <f t="shared" si="6"/>
        <v>96140.413702690435</v>
      </c>
      <c r="G22" s="97">
        <f t="shared" si="7"/>
        <v>97083.983830971556</v>
      </c>
      <c r="H22" s="97">
        <f t="shared" si="8"/>
        <v>98036.827744528084</v>
      </c>
      <c r="I22" s="97">
        <f t="shared" si="9"/>
        <v>98999.036718718373</v>
      </c>
      <c r="J22" s="97">
        <f t="shared" si="10"/>
        <v>99970.702928591854</v>
      </c>
      <c r="K22" s="97">
        <f t="shared" si="11"/>
        <v>100951.91945765114</v>
      </c>
      <c r="L22" s="97">
        <f t="shared" si="12"/>
        <v>95206.026975112472</v>
      </c>
      <c r="M22" s="96" t="s">
        <v>1035</v>
      </c>
      <c r="N22" s="96">
        <f>728-$AD$19</f>
        <v>713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23.377049180327869</v>
      </c>
      <c r="S22" s="97">
        <v>100000</v>
      </c>
      <c r="T22" s="97">
        <v>95000</v>
      </c>
      <c r="U22" s="97">
        <f t="shared" si="13"/>
        <v>140696.92231231002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987</v>
      </c>
      <c r="B23" s="93">
        <f t="shared" si="2"/>
        <v>89915.546153565709</v>
      </c>
      <c r="C23" s="93">
        <f t="shared" si="3"/>
        <v>90564.17988410758</v>
      </c>
      <c r="D23" s="93">
        <f t="shared" si="4"/>
        <v>91381.566132509819</v>
      </c>
      <c r="E23" s="93">
        <f t="shared" si="5"/>
        <v>92206.341041162596</v>
      </c>
      <c r="F23" s="93">
        <f t="shared" si="6"/>
        <v>93038.571501476225</v>
      </c>
      <c r="G23" s="93">
        <f t="shared" si="7"/>
        <v>93878.325011434034</v>
      </c>
      <c r="H23" s="93">
        <f t="shared" si="8"/>
        <v>94725.669680992185</v>
      </c>
      <c r="I23" s="93">
        <f t="shared" si="9"/>
        <v>95580.674237718136</v>
      </c>
      <c r="J23" s="93">
        <f t="shared" si="10"/>
        <v>96443.408032372623</v>
      </c>
      <c r="K23" s="93">
        <f t="shared" si="11"/>
        <v>97313.941044529856</v>
      </c>
      <c r="L23" s="93">
        <f t="shared" si="12"/>
        <v>92206.341041162596</v>
      </c>
      <c r="M23" s="92" t="s">
        <v>1007</v>
      </c>
      <c r="N23" s="92">
        <f>671-$AD$19</f>
        <v>656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21.508196721311474</v>
      </c>
      <c r="S23" s="93">
        <v>100000</v>
      </c>
      <c r="T23" s="93">
        <v>90600</v>
      </c>
      <c r="U23" s="93">
        <f t="shared" si="13"/>
        <v>132075.25141421924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974</v>
      </c>
      <c r="AD23" t="s">
        <v>1084</v>
      </c>
      <c r="AE23" s="25"/>
      <c r="AF23" s="26"/>
    </row>
    <row r="24" spans="1:32" x14ac:dyDescent="0.25">
      <c r="A24" s="94" t="s">
        <v>988</v>
      </c>
      <c r="B24" s="95">
        <f t="shared" si="2"/>
        <v>83159.033505082218</v>
      </c>
      <c r="C24" s="95">
        <f t="shared" si="3"/>
        <v>84047.575643688004</v>
      </c>
      <c r="D24" s="95">
        <f>$S24/(1+($AC$4-$O24+$P24)/36500)^$N24</f>
        <v>85171.629986266926</v>
      </c>
      <c r="E24" s="95">
        <f t="shared" si="5"/>
        <v>86310.733164570629</v>
      </c>
      <c r="F24" s="95">
        <f t="shared" si="6"/>
        <v>87465.086862637239</v>
      </c>
      <c r="G24" s="95">
        <f t="shared" si="7"/>
        <v>88634.895470309668</v>
      </c>
      <c r="H24" s="95">
        <f t="shared" si="8"/>
        <v>89820.366119471335</v>
      </c>
      <c r="I24" s="95">
        <f t="shared" si="9"/>
        <v>91021.708721042043</v>
      </c>
      <c r="J24" s="95">
        <f t="shared" si="10"/>
        <v>92239.136002125146</v>
      </c>
      <c r="K24" s="95">
        <f t="shared" si="11"/>
        <v>93472.863543981992</v>
      </c>
      <c r="L24" s="95">
        <f t="shared" si="12"/>
        <v>86310.733164570629</v>
      </c>
      <c r="M24" s="94" t="s">
        <v>1008</v>
      </c>
      <c r="N24" s="94">
        <f>985-$AD$19</f>
        <v>970</v>
      </c>
      <c r="O24" s="94">
        <v>15</v>
      </c>
      <c r="P24" s="94">
        <f>$AI$2</f>
        <v>0.54</v>
      </c>
      <c r="Q24" s="94">
        <v>6</v>
      </c>
      <c r="R24" s="94">
        <f t="shared" si="0"/>
        <v>31.803278688524589</v>
      </c>
      <c r="S24" s="95">
        <v>100000</v>
      </c>
      <c r="T24" s="95">
        <v>85800</v>
      </c>
      <c r="U24" s="95">
        <f t="shared" si="13"/>
        <v>146833.67980105733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962</v>
      </c>
      <c r="B25" s="97">
        <f t="shared" si="2"/>
        <v>81548.431744793794</v>
      </c>
      <c r="C25" s="97">
        <f t="shared" si="3"/>
        <v>81859.845453117217</v>
      </c>
      <c r="D25" s="97">
        <f t="shared" si="4"/>
        <v>82250.790280404239</v>
      </c>
      <c r="E25" s="97">
        <f t="shared" si="5"/>
        <v>82643.607566021703</v>
      </c>
      <c r="F25" s="97">
        <f t="shared" si="6"/>
        <v>83038.306304072627</v>
      </c>
      <c r="G25" s="97">
        <f t="shared" si="7"/>
        <v>83434.895531967195</v>
      </c>
      <c r="H25" s="97">
        <f t="shared" si="8"/>
        <v>83833.384330669738</v>
      </c>
      <c r="I25" s="97">
        <f t="shared" si="9"/>
        <v>84233.78182487507</v>
      </c>
      <c r="J25" s="97">
        <f t="shared" si="10"/>
        <v>84636.097183241291</v>
      </c>
      <c r="K25" s="97">
        <f t="shared" si="11"/>
        <v>85040.339618607148</v>
      </c>
      <c r="L25" s="97">
        <f t="shared" si="12"/>
        <v>82643.607566021703</v>
      </c>
      <c r="M25" s="96" t="s">
        <v>1009</v>
      </c>
      <c r="N25" s="96">
        <f>363-$AD$19</f>
        <v>348</v>
      </c>
      <c r="O25" s="96">
        <v>0</v>
      </c>
      <c r="P25" s="96">
        <v>0</v>
      </c>
      <c r="Q25" s="96">
        <v>0</v>
      </c>
      <c r="R25" s="96">
        <f t="shared" si="0"/>
        <v>11.409836065573771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997</v>
      </c>
      <c r="B26" s="93">
        <f t="shared" si="2"/>
        <v>93547.361581136487</v>
      </c>
      <c r="C26" s="93">
        <f t="shared" si="3"/>
        <v>94842.784246386334</v>
      </c>
      <c r="D26" s="93">
        <f t="shared" si="4"/>
        <v>96487.338386929434</v>
      </c>
      <c r="E26" s="93">
        <f t="shared" si="5"/>
        <v>98160.431869833745</v>
      </c>
      <c r="F26" s="93">
        <f t="shared" si="6"/>
        <v>99862.560363689452</v>
      </c>
      <c r="G26" s="93">
        <f t="shared" si="7"/>
        <v>101594.2281527345</v>
      </c>
      <c r="H26" s="93">
        <f t="shared" si="8"/>
        <v>103355.94828681489</v>
      </c>
      <c r="I26" s="93">
        <f t="shared" si="9"/>
        <v>105148.24273381602</v>
      </c>
      <c r="J26" s="93">
        <f t="shared" si="10"/>
        <v>106971.64253480727</v>
      </c>
      <c r="K26" s="93">
        <f t="shared" si="11"/>
        <v>108826.68796194743</v>
      </c>
      <c r="L26" s="93">
        <f t="shared" si="12"/>
        <v>98160.431869833745</v>
      </c>
      <c r="M26" s="92" t="s">
        <v>1000</v>
      </c>
      <c r="N26" s="92">
        <f>1270-$AD$19</f>
        <v>1255</v>
      </c>
      <c r="O26" s="92">
        <v>20</v>
      </c>
      <c r="P26" s="92">
        <f>$AI$2</f>
        <v>0.54</v>
      </c>
      <c r="Q26" s="92">
        <v>6</v>
      </c>
      <c r="R26" s="92">
        <f t="shared" si="0"/>
        <v>41.147540983606561</v>
      </c>
      <c r="S26" s="93">
        <v>100000</v>
      </c>
      <c r="T26" s="93">
        <v>100000</v>
      </c>
      <c r="U26" s="93">
        <f t="shared" si="13"/>
        <v>195206.98356315895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1001</v>
      </c>
      <c r="B27" s="95">
        <f t="shared" si="2"/>
        <v>100078.97646740364</v>
      </c>
      <c r="C27" s="95">
        <f t="shared" si="3"/>
        <v>100451.47112137931</v>
      </c>
      <c r="D27" s="95">
        <f t="shared" si="4"/>
        <v>100919.04548518985</v>
      </c>
      <c r="E27" s="95">
        <f t="shared" si="5"/>
        <v>101388.80273100879</v>
      </c>
      <c r="F27" s="95">
        <f t="shared" si="6"/>
        <v>101860.75307979053</v>
      </c>
      <c r="G27" s="95">
        <f t="shared" si="7"/>
        <v>102334.90680047404</v>
      </c>
      <c r="H27" s="95">
        <f t="shared" si="8"/>
        <v>102811.27421024113</v>
      </c>
      <c r="I27" s="95">
        <f t="shared" si="9"/>
        <v>103289.86567471654</v>
      </c>
      <c r="J27" s="95">
        <f t="shared" si="10"/>
        <v>103770.69160820403</v>
      </c>
      <c r="K27" s="95">
        <f t="shared" si="11"/>
        <v>104253.76247391955</v>
      </c>
      <c r="L27" s="95">
        <f t="shared" si="12"/>
        <v>101388.80273100879</v>
      </c>
      <c r="M27" s="94" t="s">
        <v>1002</v>
      </c>
      <c r="N27" s="94">
        <f>354-$AD$19</f>
        <v>339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11.114754098360656</v>
      </c>
      <c r="S27" s="95">
        <v>100000</v>
      </c>
      <c r="T27" s="95">
        <v>103000</v>
      </c>
      <c r="U27" s="95">
        <f t="shared" si="13"/>
        <v>122077.6796557815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1027</v>
      </c>
      <c r="B28" s="97">
        <f t="shared" si="2"/>
        <v>99170.586622395625</v>
      </c>
      <c r="C28" s="97">
        <f t="shared" si="3"/>
        <v>100000</v>
      </c>
      <c r="D28" s="97">
        <f t="shared" si="4"/>
        <v>101046.54135527824</v>
      </c>
      <c r="E28" s="97">
        <f t="shared" si="5"/>
        <v>102104.04976069152</v>
      </c>
      <c r="F28" s="97">
        <f t="shared" si="6"/>
        <v>103172.64029617385</v>
      </c>
      <c r="G28" s="97">
        <f t="shared" si="7"/>
        <v>104252.42925078013</v>
      </c>
      <c r="H28" s="97">
        <f t="shared" si="8"/>
        <v>105343.53413551213</v>
      </c>
      <c r="I28" s="97">
        <f t="shared" si="9"/>
        <v>106446.07369606142</v>
      </c>
      <c r="J28" s="97">
        <f t="shared" si="10"/>
        <v>107560.16792587448</v>
      </c>
      <c r="K28" s="97">
        <f t="shared" si="11"/>
        <v>108685.93807923938</v>
      </c>
      <c r="L28" s="97">
        <f t="shared" si="12"/>
        <v>102104.04976069152</v>
      </c>
      <c r="M28" s="96" t="s">
        <v>1028</v>
      </c>
      <c r="N28" s="96">
        <f>775-$AD$19</f>
        <v>760</v>
      </c>
      <c r="O28" s="96">
        <v>21</v>
      </c>
      <c r="P28" s="96">
        <v>0</v>
      </c>
      <c r="Q28" s="96">
        <v>1</v>
      </c>
      <c r="R28" s="96">
        <f t="shared" si="0"/>
        <v>24.918032786885245</v>
      </c>
      <c r="S28" s="97">
        <v>100000</v>
      </c>
      <c r="T28" s="97">
        <v>104000</v>
      </c>
      <c r="U28" s="97">
        <f t="shared" si="13"/>
        <v>154825.6944033567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1078</v>
      </c>
      <c r="B29" s="93">
        <f t="shared" si="2"/>
        <v>83685.987737635602</v>
      </c>
      <c r="C29" s="93">
        <f t="shared" si="3"/>
        <v>84901.486170474644</v>
      </c>
      <c r="D29" s="93">
        <f t="shared" si="4"/>
        <v>86445.735065088593</v>
      </c>
      <c r="E29" s="93">
        <f t="shared" si="5"/>
        <v>88018.093593338752</v>
      </c>
      <c r="F29" s="93">
        <f t="shared" si="6"/>
        <v>89619.073824421183</v>
      </c>
      <c r="G29" s="93">
        <f t="shared" si="7"/>
        <v>91249.197163117904</v>
      </c>
      <c r="H29" s="93">
        <f t="shared" si="8"/>
        <v>92908.994520051725</v>
      </c>
      <c r="I29" s="93">
        <f t="shared" si="9"/>
        <v>94599.006484971353</v>
      </c>
      <c r="J29" s="93">
        <f t="shared" si="10"/>
        <v>96319.783503678511</v>
      </c>
      <c r="K29" s="93">
        <f t="shared" si="11"/>
        <v>98071.886057515861</v>
      </c>
      <c r="L29" s="93">
        <f t="shared" si="12"/>
        <v>88018.093593338752</v>
      </c>
      <c r="M29" s="92" t="s">
        <v>1079</v>
      </c>
      <c r="N29" s="92">
        <f>1331-$AD$19</f>
        <v>1316</v>
      </c>
      <c r="O29" s="92">
        <v>17</v>
      </c>
      <c r="P29" s="92">
        <f>AI2</f>
        <v>0.54</v>
      </c>
      <c r="Q29" s="92">
        <v>6</v>
      </c>
      <c r="R29" s="92">
        <f t="shared" si="0"/>
        <v>43.147540983606561</v>
      </c>
      <c r="S29" s="93">
        <v>100000</v>
      </c>
      <c r="T29" s="93"/>
      <c r="U29" s="93">
        <f t="shared" si="13"/>
        <v>180985.7062244642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1091</v>
      </c>
    </row>
    <row r="2" spans="1:1" x14ac:dyDescent="0.25">
      <c r="A2" t="s">
        <v>1092</v>
      </c>
    </row>
    <row r="3" spans="1:1" x14ac:dyDescent="0.25">
      <c r="A3" t="s">
        <v>1093</v>
      </c>
    </row>
    <row r="4" spans="1:1" x14ac:dyDescent="0.25">
      <c r="A4" t="s">
        <v>1094</v>
      </c>
    </row>
    <row r="5" spans="1:1" x14ac:dyDescent="0.25">
      <c r="A5" t="s">
        <v>1095</v>
      </c>
    </row>
    <row r="6" spans="1:1" x14ac:dyDescent="0.25">
      <c r="A6" t="s">
        <v>1139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C115" sqref="C11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491</v>
      </c>
      <c r="F2" s="11">
        <f>IF(B2&gt;0,1,0)</f>
        <v>1</v>
      </c>
      <c r="G2" s="11">
        <f>B2*(E2-F2)</f>
        <v>24500000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487</v>
      </c>
      <c r="F3" s="11">
        <f t="shared" ref="F3:F38" si="1">IF(B3&gt;0,1,0)</f>
        <v>1</v>
      </c>
      <c r="G3" s="11">
        <f t="shared" ref="G3:G23" si="2">B3*(E3-F3)</f>
        <v>1458000000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486</v>
      </c>
      <c r="F4" s="11">
        <f t="shared" si="1"/>
        <v>1</v>
      </c>
      <c r="G4" s="11">
        <f t="shared" si="2"/>
        <v>1455000000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486</v>
      </c>
      <c r="F5" s="11">
        <f t="shared" si="1"/>
        <v>1</v>
      </c>
      <c r="G5" s="11">
        <f t="shared" si="2"/>
        <v>7275000000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485</v>
      </c>
      <c r="F6" s="11">
        <f t="shared" si="1"/>
        <v>1</v>
      </c>
      <c r="G6" s="11">
        <f t="shared" si="2"/>
        <v>1452000000</v>
      </c>
      <c r="K6" t="s">
        <v>288</v>
      </c>
      <c r="L6" s="34">
        <v>410023079974</v>
      </c>
      <c r="M6" s="33" t="s">
        <v>871</v>
      </c>
      <c r="N6" t="s">
        <v>1101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484</v>
      </c>
      <c r="F7" s="11">
        <f t="shared" si="1"/>
        <v>0</v>
      </c>
      <c r="G7" s="11">
        <f t="shared" si="2"/>
        <v>-1452000000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484</v>
      </c>
      <c r="F8" s="11">
        <f t="shared" si="1"/>
        <v>0</v>
      </c>
      <c r="G8" s="11">
        <f t="shared" si="2"/>
        <v>-96800000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484</v>
      </c>
      <c r="F9" s="11">
        <f t="shared" si="1"/>
        <v>1</v>
      </c>
      <c r="G9" s="11">
        <f>B9*(E9-F9)</f>
        <v>1449000000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483</v>
      </c>
      <c r="F10" s="11">
        <f t="shared" si="1"/>
        <v>1</v>
      </c>
      <c r="G10" s="11">
        <f t="shared" si="2"/>
        <v>1446000000</v>
      </c>
      <c r="K10" t="s">
        <v>1102</v>
      </c>
      <c r="L10" s="34">
        <v>410021484671</v>
      </c>
      <c r="M10" s="33" t="s">
        <v>1103</v>
      </c>
      <c r="N10" t="s">
        <v>1106</v>
      </c>
      <c r="O10" t="s">
        <v>1107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483</v>
      </c>
      <c r="F11" s="11">
        <f t="shared" si="1"/>
        <v>1</v>
      </c>
      <c r="G11" s="11">
        <f t="shared" si="2"/>
        <v>12050000000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480</v>
      </c>
      <c r="F12" s="11">
        <f t="shared" si="1"/>
        <v>1</v>
      </c>
      <c r="G12" s="11">
        <f t="shared" si="2"/>
        <v>478200070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480</v>
      </c>
      <c r="F13" s="11">
        <f t="shared" si="1"/>
        <v>1</v>
      </c>
      <c r="G13" s="11">
        <f t="shared" si="2"/>
        <v>1437000000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480</v>
      </c>
      <c r="F14" s="11">
        <f t="shared" si="1"/>
        <v>1</v>
      </c>
      <c r="G14" s="11">
        <f t="shared" si="2"/>
        <v>570534984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468</v>
      </c>
      <c r="F15" s="11">
        <f t="shared" si="1"/>
        <v>1</v>
      </c>
      <c r="G15" s="11">
        <f t="shared" si="2"/>
        <v>934000000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456</v>
      </c>
      <c r="F16" s="11">
        <f t="shared" si="1"/>
        <v>1</v>
      </c>
      <c r="G16" s="11">
        <f t="shared" si="2"/>
        <v>1365000000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455</v>
      </c>
      <c r="F17" s="11">
        <f t="shared" si="1"/>
        <v>1</v>
      </c>
      <c r="G17" s="11">
        <f t="shared" si="2"/>
        <v>1362000000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454</v>
      </c>
      <c r="F18" s="11">
        <f t="shared" si="1"/>
        <v>1</v>
      </c>
      <c r="G18" s="11">
        <f t="shared" si="2"/>
        <v>860700000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439</v>
      </c>
      <c r="F19" s="11">
        <f t="shared" si="1"/>
        <v>1</v>
      </c>
      <c r="G19" s="11">
        <f t="shared" si="2"/>
        <v>352376694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438</v>
      </c>
      <c r="F20" s="11">
        <f t="shared" si="1"/>
        <v>1</v>
      </c>
      <c r="G20" s="11">
        <f t="shared" si="2"/>
        <v>1311000000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432</v>
      </c>
      <c r="F21" s="11">
        <f t="shared" si="1"/>
        <v>1</v>
      </c>
      <c r="G21" s="11">
        <f t="shared" si="2"/>
        <v>215500000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418</v>
      </c>
      <c r="F22" s="11">
        <f t="shared" si="1"/>
        <v>0</v>
      </c>
      <c r="G22" s="11">
        <f t="shared" si="2"/>
        <v>-1254000000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410</v>
      </c>
      <c r="F23" s="11">
        <f t="shared" si="1"/>
        <v>1</v>
      </c>
      <c r="G23" s="11">
        <f t="shared" si="2"/>
        <v>1227000000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410</v>
      </c>
      <c r="F24" s="11">
        <f t="shared" si="1"/>
        <v>1</v>
      </c>
      <c r="G24" s="11">
        <f>B24*(E24-F24)</f>
        <v>258014787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408</v>
      </c>
      <c r="F25" s="11">
        <f t="shared" si="1"/>
        <v>0</v>
      </c>
      <c r="G25" s="11">
        <f t="shared" ref="G25:G30" si="3">B25*(E25-F25)</f>
        <v>-1305967200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406</v>
      </c>
      <c r="F26" s="11">
        <f t="shared" si="1"/>
        <v>0</v>
      </c>
      <c r="G26" s="11">
        <f t="shared" si="3"/>
        <v>-1218365400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404</v>
      </c>
      <c r="F27" s="11">
        <f t="shared" si="1"/>
        <v>1</v>
      </c>
      <c r="G27" s="11">
        <f t="shared" si="3"/>
        <v>403000000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404</v>
      </c>
      <c r="F28" s="11">
        <f t="shared" si="1"/>
        <v>1</v>
      </c>
      <c r="G28" s="11">
        <f t="shared" si="3"/>
        <v>2418000000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404</v>
      </c>
      <c r="F29" s="11">
        <f t="shared" si="1"/>
        <v>1</v>
      </c>
      <c r="G29" s="11">
        <f t="shared" si="3"/>
        <v>2337400000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404</v>
      </c>
      <c r="F30" s="11">
        <f t="shared" si="1"/>
        <v>0</v>
      </c>
      <c r="G30" s="11">
        <f t="shared" si="3"/>
        <v>-2020000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403</v>
      </c>
      <c r="F31" s="11">
        <f t="shared" si="1"/>
        <v>0</v>
      </c>
      <c r="G31" s="11">
        <f>B31*(E31-F31)</f>
        <v>-10478000000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401</v>
      </c>
      <c r="F32" s="11">
        <f t="shared" si="1"/>
        <v>0</v>
      </c>
      <c r="G32" s="11">
        <f>B32*(E32-F32)</f>
        <v>-10506200000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382</v>
      </c>
      <c r="F33" s="11">
        <f t="shared" si="1"/>
        <v>1</v>
      </c>
      <c r="G33" s="11">
        <f>B33*(E33-F33)</f>
        <v>124588905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364</v>
      </c>
      <c r="F34" s="11">
        <f t="shared" si="1"/>
        <v>1</v>
      </c>
      <c r="G34" s="11">
        <f t="shared" ref="G34:G126" si="4">B34*(E34-F34)</f>
        <v>10309200000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364</v>
      </c>
      <c r="F35" s="11">
        <f t="shared" si="1"/>
        <v>1</v>
      </c>
      <c r="G35" s="12">
        <f t="shared" si="4"/>
        <v>3993000000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349</v>
      </c>
      <c r="F36" s="11">
        <f t="shared" si="1"/>
        <v>1</v>
      </c>
      <c r="G36" s="11">
        <f t="shared" si="4"/>
        <v>145707948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349</v>
      </c>
      <c r="F37" s="11">
        <f t="shared" si="1"/>
        <v>0</v>
      </c>
      <c r="G37" s="11">
        <f t="shared" si="4"/>
        <v>-314100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348</v>
      </c>
      <c r="F38" s="11">
        <f t="shared" si="1"/>
        <v>1</v>
      </c>
      <c r="G38" s="12">
        <f t="shared" si="4"/>
        <v>694000000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348</v>
      </c>
      <c r="F39" s="11">
        <f>IF(B39&gt;0,1,0)</f>
        <v>1</v>
      </c>
      <c r="G39" s="11">
        <f t="shared" si="4"/>
        <v>694000000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334</v>
      </c>
      <c r="F40" s="11">
        <f>IF(B40&gt;0,1,0)</f>
        <v>0</v>
      </c>
      <c r="G40" s="11">
        <f t="shared" si="4"/>
        <v>-66800000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334</v>
      </c>
      <c r="F41" s="11">
        <f>IF(B41&gt;0,1,0)</f>
        <v>0</v>
      </c>
      <c r="G41" s="11">
        <f t="shared" si="4"/>
        <v>-207080000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334</v>
      </c>
      <c r="F42" s="11">
        <f t="shared" ref="F42:F126" si="5">IF(B42&gt;0,1,0)</f>
        <v>0</v>
      </c>
      <c r="G42" s="11">
        <f t="shared" si="4"/>
        <v>-40080000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332</v>
      </c>
      <c r="F43" s="11">
        <f t="shared" si="5"/>
        <v>1</v>
      </c>
      <c r="G43" s="11">
        <f t="shared" si="4"/>
        <v>215150000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332</v>
      </c>
      <c r="F44" s="11">
        <f t="shared" si="5"/>
        <v>0</v>
      </c>
      <c r="G44" s="11">
        <f t="shared" si="4"/>
        <v>-1660000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332</v>
      </c>
      <c r="F45" s="11">
        <f t="shared" si="5"/>
        <v>1</v>
      </c>
      <c r="G45" s="11">
        <f t="shared" si="4"/>
        <v>9599000000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328</v>
      </c>
      <c r="F46" s="11">
        <f t="shared" si="5"/>
        <v>0</v>
      </c>
      <c r="G46" s="11">
        <f t="shared" si="4"/>
        <v>-65600000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325</v>
      </c>
      <c r="F47" s="11">
        <f t="shared" si="5"/>
        <v>0</v>
      </c>
      <c r="G47" s="11">
        <f t="shared" si="4"/>
        <v>-65000000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324</v>
      </c>
      <c r="F48" s="11">
        <f t="shared" si="5"/>
        <v>0</v>
      </c>
      <c r="G48" s="11">
        <f t="shared" si="4"/>
        <v>-64800000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319</v>
      </c>
      <c r="F49" s="11">
        <f t="shared" si="5"/>
        <v>1</v>
      </c>
      <c r="G49" s="11">
        <f t="shared" si="4"/>
        <v>954000000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319</v>
      </c>
      <c r="F50" s="11">
        <f t="shared" si="5"/>
        <v>1</v>
      </c>
      <c r="G50" s="12">
        <f t="shared" si="4"/>
        <v>954000000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318</v>
      </c>
      <c r="F51" s="11">
        <f t="shared" si="5"/>
        <v>1</v>
      </c>
      <c r="G51" s="11">
        <f t="shared" si="4"/>
        <v>242757649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318</v>
      </c>
      <c r="F52" s="11">
        <f t="shared" si="5"/>
        <v>0</v>
      </c>
      <c r="G52" s="11">
        <f t="shared" si="4"/>
        <v>-63600000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311</v>
      </c>
      <c r="F53" s="11">
        <f t="shared" si="5"/>
        <v>0</v>
      </c>
      <c r="G53" s="11">
        <f t="shared" si="4"/>
        <v>-124555500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302</v>
      </c>
      <c r="F54" s="11">
        <f t="shared" si="5"/>
        <v>0</v>
      </c>
      <c r="G54" s="11">
        <f t="shared" si="4"/>
        <v>-302119592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296</v>
      </c>
      <c r="F55" s="11">
        <f t="shared" si="5"/>
        <v>0</v>
      </c>
      <c r="G55" s="11">
        <f t="shared" si="4"/>
        <v>-11840000000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287</v>
      </c>
      <c r="F56" s="11">
        <f t="shared" si="5"/>
        <v>1</v>
      </c>
      <c r="G56" s="11">
        <f t="shared" si="4"/>
        <v>247576472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260</v>
      </c>
      <c r="F57" s="11">
        <f t="shared" si="5"/>
        <v>0</v>
      </c>
      <c r="G57" s="11">
        <f t="shared" si="4"/>
        <v>-13052000000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259</v>
      </c>
      <c r="F58" s="11">
        <f t="shared" si="5"/>
        <v>0</v>
      </c>
      <c r="G58" s="11">
        <f t="shared" si="4"/>
        <v>-3159929500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256</v>
      </c>
      <c r="F59" s="11">
        <f t="shared" si="5"/>
        <v>1</v>
      </c>
      <c r="G59" s="11">
        <f t="shared" si="4"/>
        <v>136401030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255</v>
      </c>
      <c r="F60" s="11">
        <f t="shared" si="5"/>
        <v>0</v>
      </c>
      <c r="G60" s="11">
        <f t="shared" si="4"/>
        <v>-86190000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253</v>
      </c>
      <c r="F61" s="11">
        <f t="shared" si="5"/>
        <v>0</v>
      </c>
      <c r="G61" s="11">
        <f t="shared" si="4"/>
        <v>-37950000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249</v>
      </c>
      <c r="F62" s="11">
        <f t="shared" si="5"/>
        <v>0</v>
      </c>
      <c r="G62" s="11">
        <f t="shared" si="4"/>
        <v>-24900000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245</v>
      </c>
      <c r="F63" s="11">
        <f t="shared" si="5"/>
        <v>0</v>
      </c>
      <c r="G63" s="11">
        <f t="shared" si="4"/>
        <v>-49000000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245</v>
      </c>
      <c r="F64" s="11">
        <f t="shared" si="5"/>
        <v>0</v>
      </c>
      <c r="G64" s="11">
        <f t="shared" si="4"/>
        <v>-21315000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241</v>
      </c>
      <c r="F65" s="11">
        <f t="shared" si="5"/>
        <v>0</v>
      </c>
      <c r="G65" s="11">
        <f t="shared" si="4"/>
        <v>-6620270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240</v>
      </c>
      <c r="F66" s="11">
        <f t="shared" si="5"/>
        <v>0</v>
      </c>
      <c r="G66" s="11">
        <f t="shared" si="4"/>
        <v>-80160000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235</v>
      </c>
      <c r="F67" s="11">
        <f t="shared" si="5"/>
        <v>0</v>
      </c>
      <c r="G67" s="11">
        <f t="shared" si="4"/>
        <v>-4700000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234</v>
      </c>
      <c r="F68" s="11">
        <f t="shared" si="5"/>
        <v>0</v>
      </c>
      <c r="G68" s="11">
        <f t="shared" si="4"/>
        <v>-70317000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234</v>
      </c>
      <c r="F69" s="11">
        <f t="shared" si="5"/>
        <v>0</v>
      </c>
      <c r="G69" s="11">
        <f t="shared" si="4"/>
        <v>-23400000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229</v>
      </c>
      <c r="F70" s="11">
        <f t="shared" si="5"/>
        <v>0</v>
      </c>
      <c r="G70" s="11">
        <f t="shared" si="4"/>
        <v>-45800000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225</v>
      </c>
      <c r="F71" s="11">
        <f t="shared" si="5"/>
        <v>1</v>
      </c>
      <c r="G71" s="11">
        <f t="shared" si="4"/>
        <v>3447136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225</v>
      </c>
      <c r="F72" s="11">
        <f t="shared" si="5"/>
        <v>1</v>
      </c>
      <c r="G72" s="11">
        <f t="shared" si="4"/>
        <v>896000000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225</v>
      </c>
      <c r="F73" s="11">
        <f t="shared" si="5"/>
        <v>1</v>
      </c>
      <c r="G73" s="11">
        <f t="shared" si="4"/>
        <v>582400000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225</v>
      </c>
      <c r="F74" s="11">
        <f t="shared" si="5"/>
        <v>1</v>
      </c>
      <c r="G74" s="11">
        <f t="shared" si="4"/>
        <v>672000000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222</v>
      </c>
      <c r="F75" s="11">
        <f t="shared" si="5"/>
        <v>0</v>
      </c>
      <c r="G75" s="11">
        <f t="shared" si="4"/>
        <v>-44400000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219</v>
      </c>
      <c r="F76" s="11">
        <f t="shared" si="5"/>
        <v>0</v>
      </c>
      <c r="G76" s="11">
        <f t="shared" si="4"/>
        <v>-438153300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219</v>
      </c>
      <c r="F77" s="11">
        <f t="shared" si="5"/>
        <v>0</v>
      </c>
      <c r="G77" s="11">
        <f t="shared" si="4"/>
        <v>-43800000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215</v>
      </c>
      <c r="F78" s="11">
        <f t="shared" si="5"/>
        <v>1</v>
      </c>
      <c r="G78" s="11">
        <f t="shared" si="4"/>
        <v>428000000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207</v>
      </c>
      <c r="F79" s="11">
        <f t="shared" si="5"/>
        <v>0</v>
      </c>
      <c r="G79" s="11">
        <f t="shared" si="4"/>
        <v>-207103500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207</v>
      </c>
      <c r="F80" s="11">
        <f t="shared" si="5"/>
        <v>0</v>
      </c>
      <c r="G80" s="11">
        <f t="shared" si="4"/>
        <v>-29383650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204</v>
      </c>
      <c r="F81" s="11">
        <f t="shared" si="5"/>
        <v>0</v>
      </c>
      <c r="G81" s="11">
        <f t="shared" si="4"/>
        <v>-183702000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194</v>
      </c>
      <c r="F82" s="11">
        <f t="shared" si="5"/>
        <v>1</v>
      </c>
      <c r="G82" s="11">
        <f t="shared" si="4"/>
        <v>15681443</v>
      </c>
    </row>
    <row r="83" spans="1:7" x14ac:dyDescent="0.25">
      <c r="A83" s="11" t="s">
        <v>725</v>
      </c>
      <c r="B83" s="38">
        <v>50000000</v>
      </c>
      <c r="C83" s="11" t="s">
        <v>728</v>
      </c>
      <c r="D83" s="11">
        <v>1</v>
      </c>
      <c r="E83" s="11">
        <f t="shared" si="6"/>
        <v>172</v>
      </c>
      <c r="F83" s="11">
        <f t="shared" si="5"/>
        <v>1</v>
      </c>
      <c r="G83" s="11">
        <f t="shared" si="4"/>
        <v>8550000000</v>
      </c>
    </row>
    <row r="84" spans="1:7" x14ac:dyDescent="0.25">
      <c r="A84" s="11" t="s">
        <v>723</v>
      </c>
      <c r="B84" s="38">
        <v>30000000</v>
      </c>
      <c r="C84" s="11" t="s">
        <v>729</v>
      </c>
      <c r="D84" s="11">
        <v>0</v>
      </c>
      <c r="E84" s="11">
        <f t="shared" si="6"/>
        <v>171</v>
      </c>
      <c r="F84" s="11">
        <f t="shared" si="5"/>
        <v>1</v>
      </c>
      <c r="G84" s="11">
        <f t="shared" si="4"/>
        <v>5100000000</v>
      </c>
    </row>
    <row r="85" spans="1:7" x14ac:dyDescent="0.25">
      <c r="A85" s="11" t="s">
        <v>723</v>
      </c>
      <c r="B85" s="38">
        <v>-72500000</v>
      </c>
      <c r="C85" s="11" t="s">
        <v>730</v>
      </c>
      <c r="D85" s="11">
        <v>1</v>
      </c>
      <c r="E85" s="11">
        <f t="shared" si="6"/>
        <v>171</v>
      </c>
      <c r="F85" s="11">
        <f t="shared" si="5"/>
        <v>0</v>
      </c>
      <c r="G85" s="11">
        <f t="shared" si="4"/>
        <v>-12397500000</v>
      </c>
    </row>
    <row r="86" spans="1:7" x14ac:dyDescent="0.25">
      <c r="A86" s="11" t="s">
        <v>731</v>
      </c>
      <c r="B86" s="38">
        <v>-281000</v>
      </c>
      <c r="C86" s="11" t="s">
        <v>743</v>
      </c>
      <c r="D86" s="11">
        <v>5</v>
      </c>
      <c r="E86" s="11">
        <f t="shared" si="6"/>
        <v>170</v>
      </c>
      <c r="F86" s="11">
        <f t="shared" si="5"/>
        <v>0</v>
      </c>
      <c r="G86" s="11">
        <f t="shared" si="4"/>
        <v>-47770000</v>
      </c>
    </row>
    <row r="87" spans="1:7" x14ac:dyDescent="0.25">
      <c r="A87" s="11" t="s">
        <v>736</v>
      </c>
      <c r="B87" s="38">
        <v>2500000</v>
      </c>
      <c r="C87" s="11" t="s">
        <v>740</v>
      </c>
      <c r="D87" s="11">
        <v>1</v>
      </c>
      <c r="E87" s="11">
        <f t="shared" si="6"/>
        <v>165</v>
      </c>
      <c r="F87" s="11">
        <f t="shared" si="5"/>
        <v>1</v>
      </c>
      <c r="G87" s="11">
        <f t="shared" si="4"/>
        <v>410000000</v>
      </c>
    </row>
    <row r="88" spans="1:7" x14ac:dyDescent="0.25">
      <c r="A88" s="11" t="s">
        <v>632</v>
      </c>
      <c r="B88" s="38">
        <v>78340</v>
      </c>
      <c r="C88" s="11" t="s">
        <v>741</v>
      </c>
      <c r="D88" s="11">
        <v>5</v>
      </c>
      <c r="E88" s="11">
        <f t="shared" si="6"/>
        <v>164</v>
      </c>
      <c r="F88" s="11">
        <f t="shared" si="5"/>
        <v>1</v>
      </c>
      <c r="G88" s="11">
        <f t="shared" si="4"/>
        <v>12769420</v>
      </c>
    </row>
    <row r="89" spans="1:7" x14ac:dyDescent="0.25">
      <c r="A89" s="11" t="s">
        <v>748</v>
      </c>
      <c r="B89" s="38">
        <v>15000000</v>
      </c>
      <c r="C89" s="11" t="s">
        <v>749</v>
      </c>
      <c r="D89" s="11">
        <v>25</v>
      </c>
      <c r="E89" s="11">
        <f t="shared" si="6"/>
        <v>159</v>
      </c>
      <c r="F89" s="11">
        <f t="shared" si="5"/>
        <v>1</v>
      </c>
      <c r="G89" s="11">
        <f t="shared" si="4"/>
        <v>2370000000</v>
      </c>
    </row>
    <row r="90" spans="1:7" x14ac:dyDescent="0.25">
      <c r="A90" s="11" t="s">
        <v>633</v>
      </c>
      <c r="B90" s="38">
        <v>244846</v>
      </c>
      <c r="C90" s="11" t="s">
        <v>783</v>
      </c>
      <c r="D90" s="11">
        <v>29</v>
      </c>
      <c r="E90" s="11">
        <f t="shared" si="6"/>
        <v>134</v>
      </c>
      <c r="F90" s="11">
        <f t="shared" si="5"/>
        <v>1</v>
      </c>
      <c r="G90" s="11">
        <f t="shared" si="4"/>
        <v>32564518</v>
      </c>
    </row>
    <row r="91" spans="1:7" x14ac:dyDescent="0.25">
      <c r="A91" s="11" t="s">
        <v>827</v>
      </c>
      <c r="B91" s="38">
        <v>272155</v>
      </c>
      <c r="C91" s="11" t="s">
        <v>829</v>
      </c>
      <c r="D91" s="11">
        <v>30</v>
      </c>
      <c r="E91" s="11">
        <f t="shared" si="6"/>
        <v>105</v>
      </c>
      <c r="F91" s="11">
        <f t="shared" si="5"/>
        <v>1</v>
      </c>
      <c r="G91" s="11">
        <f t="shared" si="4"/>
        <v>28304120</v>
      </c>
    </row>
    <row r="92" spans="1:7" x14ac:dyDescent="0.25">
      <c r="A92" s="11" t="s">
        <v>868</v>
      </c>
      <c r="B92" s="38">
        <v>3000000</v>
      </c>
      <c r="C92" s="11" t="s">
        <v>870</v>
      </c>
      <c r="D92" s="11">
        <v>0</v>
      </c>
      <c r="E92" s="11">
        <f t="shared" si="6"/>
        <v>75</v>
      </c>
      <c r="F92" s="11">
        <f t="shared" si="5"/>
        <v>1</v>
      </c>
      <c r="G92" s="11">
        <f t="shared" si="4"/>
        <v>222000000</v>
      </c>
    </row>
    <row r="93" spans="1:7" x14ac:dyDescent="0.25">
      <c r="A93" s="11" t="s">
        <v>868</v>
      </c>
      <c r="B93" s="35">
        <v>274385</v>
      </c>
      <c r="C93" s="11" t="s">
        <v>264</v>
      </c>
      <c r="D93" s="11">
        <v>1</v>
      </c>
      <c r="E93" s="11">
        <f t="shared" si="6"/>
        <v>75</v>
      </c>
      <c r="F93" s="11">
        <f t="shared" si="5"/>
        <v>1</v>
      </c>
      <c r="G93" s="11">
        <f t="shared" si="4"/>
        <v>20304490</v>
      </c>
    </row>
    <row r="94" spans="1:7" x14ac:dyDescent="0.25">
      <c r="A94" s="11" t="s">
        <v>877</v>
      </c>
      <c r="B94" s="38">
        <v>5500000</v>
      </c>
      <c r="C94" s="11" t="s">
        <v>878</v>
      </c>
      <c r="D94" s="11">
        <v>1</v>
      </c>
      <c r="E94" s="11">
        <f t="shared" si="6"/>
        <v>74</v>
      </c>
      <c r="F94" s="11">
        <f t="shared" si="5"/>
        <v>1</v>
      </c>
      <c r="G94" s="11">
        <f t="shared" si="4"/>
        <v>401500000</v>
      </c>
    </row>
    <row r="95" spans="1:7" x14ac:dyDescent="0.25">
      <c r="A95" s="11" t="s">
        <v>879</v>
      </c>
      <c r="B95" s="38">
        <v>3000000</v>
      </c>
      <c r="C95" s="11" t="s">
        <v>880</v>
      </c>
      <c r="D95" s="11">
        <v>1</v>
      </c>
      <c r="E95" s="11">
        <f t="shared" si="6"/>
        <v>73</v>
      </c>
      <c r="F95" s="11">
        <f t="shared" si="5"/>
        <v>1</v>
      </c>
      <c r="G95" s="11">
        <f t="shared" si="4"/>
        <v>216000000</v>
      </c>
    </row>
    <row r="96" spans="1:7" x14ac:dyDescent="0.25">
      <c r="A96" s="11" t="s">
        <v>881</v>
      </c>
      <c r="B96" s="38">
        <v>3000000</v>
      </c>
      <c r="C96" s="11" t="s">
        <v>882</v>
      </c>
      <c r="D96" s="11">
        <v>1</v>
      </c>
      <c r="E96" s="11">
        <f t="shared" si="6"/>
        <v>72</v>
      </c>
      <c r="F96" s="11">
        <f t="shared" si="5"/>
        <v>1</v>
      </c>
      <c r="G96" s="11">
        <f t="shared" si="4"/>
        <v>213000000</v>
      </c>
    </row>
    <row r="97" spans="1:7" x14ac:dyDescent="0.25">
      <c r="A97" s="11" t="s">
        <v>883</v>
      </c>
      <c r="B97" s="38">
        <v>3000000</v>
      </c>
      <c r="C97" s="11" t="s">
        <v>884</v>
      </c>
      <c r="D97" s="11">
        <v>1</v>
      </c>
      <c r="E97" s="11">
        <f t="shared" si="6"/>
        <v>71</v>
      </c>
      <c r="F97" s="11">
        <f t="shared" si="5"/>
        <v>1</v>
      </c>
      <c r="G97" s="11">
        <f t="shared" si="4"/>
        <v>210000000</v>
      </c>
    </row>
    <row r="98" spans="1:7" x14ac:dyDescent="0.25">
      <c r="A98" s="11" t="s">
        <v>885</v>
      </c>
      <c r="B98" s="38">
        <v>3000000</v>
      </c>
      <c r="C98" s="11" t="s">
        <v>886</v>
      </c>
      <c r="D98" s="11">
        <v>1</v>
      </c>
      <c r="E98" s="11">
        <f t="shared" si="6"/>
        <v>70</v>
      </c>
      <c r="F98" s="11">
        <f t="shared" si="5"/>
        <v>1</v>
      </c>
      <c r="G98" s="11">
        <f t="shared" si="4"/>
        <v>207000000</v>
      </c>
    </row>
    <row r="99" spans="1:7" x14ac:dyDescent="0.25">
      <c r="A99" s="11" t="s">
        <v>887</v>
      </c>
      <c r="B99" s="38">
        <v>3000000</v>
      </c>
      <c r="C99" s="11" t="s">
        <v>888</v>
      </c>
      <c r="D99" s="11">
        <v>2</v>
      </c>
      <c r="E99" s="11">
        <f t="shared" si="6"/>
        <v>69</v>
      </c>
      <c r="F99" s="11">
        <f t="shared" si="5"/>
        <v>1</v>
      </c>
      <c r="G99" s="11">
        <f t="shared" si="4"/>
        <v>204000000</v>
      </c>
    </row>
    <row r="100" spans="1:7" x14ac:dyDescent="0.25">
      <c r="A100" s="11" t="s">
        <v>889</v>
      </c>
      <c r="B100" s="38">
        <v>999500</v>
      </c>
      <c r="C100" s="11" t="s">
        <v>903</v>
      </c>
      <c r="D100" s="11">
        <v>1</v>
      </c>
      <c r="E100" s="11">
        <f t="shared" si="6"/>
        <v>67</v>
      </c>
      <c r="F100" s="11">
        <f t="shared" si="5"/>
        <v>1</v>
      </c>
      <c r="G100" s="11">
        <f t="shared" si="4"/>
        <v>65967000</v>
      </c>
    </row>
    <row r="101" spans="1:7" ht="30" x14ac:dyDescent="0.25">
      <c r="A101" s="11" t="s">
        <v>902</v>
      </c>
      <c r="B101" s="38">
        <v>-1986700</v>
      </c>
      <c r="C101" s="73" t="s">
        <v>904</v>
      </c>
      <c r="D101" s="11">
        <v>21</v>
      </c>
      <c r="E101" s="11">
        <f t="shared" si="6"/>
        <v>66</v>
      </c>
      <c r="F101" s="11">
        <f t="shared" si="5"/>
        <v>0</v>
      </c>
      <c r="G101" s="11">
        <f t="shared" si="4"/>
        <v>-131122200</v>
      </c>
    </row>
    <row r="102" spans="1:7" ht="30" x14ac:dyDescent="0.25">
      <c r="A102" s="11" t="s">
        <v>906</v>
      </c>
      <c r="B102" s="38">
        <v>3000000</v>
      </c>
      <c r="C102" s="73" t="s">
        <v>907</v>
      </c>
      <c r="D102" s="11">
        <v>0</v>
      </c>
      <c r="E102" s="11">
        <f t="shared" si="6"/>
        <v>45</v>
      </c>
      <c r="F102" s="11">
        <f t="shared" si="5"/>
        <v>1</v>
      </c>
      <c r="G102" s="11">
        <f t="shared" si="4"/>
        <v>132000000</v>
      </c>
    </row>
    <row r="103" spans="1:7" x14ac:dyDescent="0.25">
      <c r="A103" s="11" t="s">
        <v>1046</v>
      </c>
      <c r="B103" s="38">
        <v>295500</v>
      </c>
      <c r="C103" s="73" t="s">
        <v>1047</v>
      </c>
      <c r="D103" s="11">
        <v>15</v>
      </c>
      <c r="E103" s="11">
        <f t="shared" si="6"/>
        <v>45</v>
      </c>
      <c r="F103" s="11">
        <f t="shared" si="5"/>
        <v>1</v>
      </c>
      <c r="G103" s="11">
        <f t="shared" si="4"/>
        <v>13002000</v>
      </c>
    </row>
    <row r="104" spans="1:7" x14ac:dyDescent="0.25">
      <c r="A104" s="11" t="s">
        <v>931</v>
      </c>
      <c r="B104" s="38">
        <v>-10000</v>
      </c>
      <c r="C104" s="73" t="s">
        <v>937</v>
      </c>
      <c r="D104" s="11">
        <v>6</v>
      </c>
      <c r="E104" s="11">
        <f t="shared" si="6"/>
        <v>30</v>
      </c>
      <c r="F104" s="11">
        <f t="shared" si="5"/>
        <v>0</v>
      </c>
      <c r="G104" s="11">
        <f t="shared" si="4"/>
        <v>-300000</v>
      </c>
    </row>
    <row r="105" spans="1:7" x14ac:dyDescent="0.25">
      <c r="A105" s="11" t="s">
        <v>939</v>
      </c>
      <c r="B105" s="38">
        <v>1999000</v>
      </c>
      <c r="C105" s="73" t="s">
        <v>940</v>
      </c>
      <c r="D105" s="11">
        <v>5</v>
      </c>
      <c r="E105" s="11">
        <f t="shared" si="6"/>
        <v>24</v>
      </c>
      <c r="F105" s="11">
        <f t="shared" si="5"/>
        <v>1</v>
      </c>
      <c r="G105" s="11">
        <f t="shared" si="4"/>
        <v>45977000</v>
      </c>
    </row>
    <row r="106" spans="1:7" x14ac:dyDescent="0.25">
      <c r="A106" s="11" t="s">
        <v>958</v>
      </c>
      <c r="B106" s="38">
        <v>-60000000</v>
      </c>
      <c r="C106" s="73" t="s">
        <v>1042</v>
      </c>
      <c r="D106" s="11">
        <v>0</v>
      </c>
      <c r="E106" s="11">
        <f t="shared" si="6"/>
        <v>19</v>
      </c>
      <c r="F106" s="11">
        <f t="shared" si="5"/>
        <v>0</v>
      </c>
      <c r="G106" s="11">
        <f t="shared" si="4"/>
        <v>-1140000000</v>
      </c>
    </row>
    <row r="107" spans="1:7" x14ac:dyDescent="0.25">
      <c r="A107" s="11" t="s">
        <v>958</v>
      </c>
      <c r="B107" s="38">
        <v>5850000</v>
      </c>
      <c r="C107" s="73" t="s">
        <v>1044</v>
      </c>
      <c r="D107" s="11">
        <v>1</v>
      </c>
      <c r="E107" s="11">
        <f t="shared" si="6"/>
        <v>19</v>
      </c>
      <c r="F107" s="11">
        <f t="shared" si="5"/>
        <v>1</v>
      </c>
      <c r="G107" s="11">
        <f t="shared" si="4"/>
        <v>105300000</v>
      </c>
    </row>
    <row r="108" spans="1:7" x14ac:dyDescent="0.25">
      <c r="A108" s="11" t="s">
        <v>1051</v>
      </c>
      <c r="B108" s="38">
        <v>3000000</v>
      </c>
      <c r="C108" s="73" t="s">
        <v>1061</v>
      </c>
      <c r="D108" s="11">
        <v>1</v>
      </c>
      <c r="E108" s="11">
        <f t="shared" si="6"/>
        <v>18</v>
      </c>
      <c r="F108" s="11">
        <f t="shared" si="5"/>
        <v>1</v>
      </c>
      <c r="G108" s="11">
        <f t="shared" si="4"/>
        <v>51000000</v>
      </c>
    </row>
    <row r="109" spans="1:7" x14ac:dyDescent="0.25">
      <c r="A109" s="11" t="s">
        <v>1062</v>
      </c>
      <c r="B109" s="38">
        <v>2000000</v>
      </c>
      <c r="C109" s="73" t="s">
        <v>1061</v>
      </c>
      <c r="D109" s="11">
        <v>0</v>
      </c>
      <c r="E109" s="11">
        <f t="shared" si="6"/>
        <v>17</v>
      </c>
      <c r="F109" s="11">
        <f t="shared" si="5"/>
        <v>1</v>
      </c>
      <c r="G109" s="11">
        <f t="shared" si="4"/>
        <v>32000000</v>
      </c>
    </row>
    <row r="110" spans="1:7" x14ac:dyDescent="0.25">
      <c r="A110" s="11" t="s">
        <v>1062</v>
      </c>
      <c r="B110" s="38">
        <v>-5000000</v>
      </c>
      <c r="C110" s="73" t="s">
        <v>1042</v>
      </c>
      <c r="D110" s="11">
        <v>1</v>
      </c>
      <c r="E110" s="11">
        <f t="shared" si="6"/>
        <v>17</v>
      </c>
      <c r="F110" s="11">
        <f t="shared" si="5"/>
        <v>0</v>
      </c>
      <c r="G110" s="11">
        <f t="shared" si="4"/>
        <v>-85000000</v>
      </c>
    </row>
    <row r="111" spans="1:7" x14ac:dyDescent="0.25">
      <c r="A111" s="11" t="s">
        <v>1068</v>
      </c>
      <c r="B111" s="38">
        <v>412668</v>
      </c>
      <c r="C111" s="73" t="s">
        <v>1069</v>
      </c>
      <c r="D111" s="11">
        <v>8</v>
      </c>
      <c r="E111" s="11">
        <f t="shared" si="6"/>
        <v>16</v>
      </c>
      <c r="F111" s="11">
        <f t="shared" si="5"/>
        <v>1</v>
      </c>
      <c r="G111" s="11">
        <f t="shared" si="4"/>
        <v>6190020</v>
      </c>
    </row>
    <row r="112" spans="1:7" x14ac:dyDescent="0.25">
      <c r="A112" s="11" t="s">
        <v>1108</v>
      </c>
      <c r="B112" s="38">
        <v>42000000</v>
      </c>
      <c r="C112" s="73" t="s">
        <v>1109</v>
      </c>
      <c r="D112" s="11">
        <v>7</v>
      </c>
      <c r="E112" s="11">
        <f t="shared" si="6"/>
        <v>8</v>
      </c>
      <c r="F112" s="11">
        <f t="shared" si="5"/>
        <v>1</v>
      </c>
      <c r="G112" s="11">
        <f t="shared" si="4"/>
        <v>294000000</v>
      </c>
    </row>
    <row r="113" spans="1:7" x14ac:dyDescent="0.25">
      <c r="A113" s="11" t="s">
        <v>1127</v>
      </c>
      <c r="B113" s="38">
        <v>-25000000</v>
      </c>
      <c r="C113" s="73" t="s">
        <v>1132</v>
      </c>
      <c r="D113" s="11">
        <v>1</v>
      </c>
      <c r="E113" s="11">
        <f t="shared" si="6"/>
        <v>1</v>
      </c>
      <c r="F113" s="11">
        <f t="shared" si="5"/>
        <v>0</v>
      </c>
      <c r="G113" s="11">
        <f t="shared" si="4"/>
        <v>-25000000</v>
      </c>
    </row>
    <row r="114" spans="1:7" x14ac:dyDescent="0.25">
      <c r="A114" s="11" t="s">
        <v>1129</v>
      </c>
      <c r="B114" s="38">
        <v>-200000</v>
      </c>
      <c r="C114" s="73" t="s">
        <v>1154</v>
      </c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24527461</v>
      </c>
      <c r="C127" s="11"/>
      <c r="D127" s="11"/>
      <c r="E127" s="11"/>
      <c r="F127" s="11"/>
      <c r="G127" s="29">
        <f>SUM(G2:G126)</f>
        <v>21398537474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43581542.716904275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872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936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936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936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936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936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936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936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936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936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814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920</v>
      </c>
      <c r="B13" s="3">
        <v>436</v>
      </c>
      <c r="C13" s="11" t="s">
        <v>829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832</v>
      </c>
      <c r="B14" s="3">
        <v>1000000</v>
      </c>
      <c r="C14" s="11" t="s">
        <v>835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837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837</v>
      </c>
      <c r="B16" s="3">
        <v>-70600</v>
      </c>
      <c r="C16" s="11" t="s">
        <v>838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837</v>
      </c>
      <c r="B17" s="3">
        <v>-450030</v>
      </c>
      <c r="C17" s="11" t="s">
        <v>839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840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843</v>
      </c>
      <c r="B19" s="3">
        <v>-26000</v>
      </c>
      <c r="C19" s="11" t="s">
        <v>844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848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850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853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856</v>
      </c>
      <c r="B23" s="3">
        <v>-95500</v>
      </c>
      <c r="C23" s="11" t="s">
        <v>857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858</v>
      </c>
      <c r="B24" s="3">
        <v>2000000</v>
      </c>
      <c r="C24" s="11" t="s">
        <v>859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858</v>
      </c>
      <c r="B25" s="3">
        <v>-131450</v>
      </c>
      <c r="C25" s="11" t="s">
        <v>861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863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864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865</v>
      </c>
      <c r="B28" s="3">
        <v>-180500</v>
      </c>
      <c r="C28" s="11" t="s">
        <v>866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868</v>
      </c>
      <c r="B29" s="35">
        <v>7117</v>
      </c>
      <c r="C29" s="11" t="s">
        <v>875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883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889</v>
      </c>
      <c r="B31" s="3">
        <v>-47053</v>
      </c>
      <c r="C31" s="11" t="s">
        <v>890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891</v>
      </c>
      <c r="B32" s="3">
        <v>-33870</v>
      </c>
      <c r="C32" s="11" t="s">
        <v>892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893</v>
      </c>
      <c r="B33" s="3">
        <v>-22000</v>
      </c>
      <c r="C33" s="11" t="s">
        <v>894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893</v>
      </c>
      <c r="B34" s="3">
        <v>-250000</v>
      </c>
      <c r="C34" s="11" t="s">
        <v>895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893</v>
      </c>
      <c r="B35" s="3">
        <v>-650500</v>
      </c>
      <c r="C35" s="11" t="s">
        <v>896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897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898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921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922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923</v>
      </c>
      <c r="B40" s="3">
        <v>-30000</v>
      </c>
      <c r="C40" s="11" t="s">
        <v>924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906</v>
      </c>
      <c r="B41" s="3">
        <v>7481</v>
      </c>
      <c r="C41" s="11" t="s">
        <v>925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909</v>
      </c>
      <c r="B42" s="3">
        <v>1000000</v>
      </c>
      <c r="C42" s="11" t="s">
        <v>910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926</v>
      </c>
      <c r="B43" s="3">
        <v>-39330</v>
      </c>
      <c r="C43" s="11" t="s">
        <v>912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927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911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913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928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929</v>
      </c>
      <c r="B48" s="3">
        <v>-83000</v>
      </c>
      <c r="C48" s="11" t="s">
        <v>930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931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932</v>
      </c>
      <c r="B50" s="3">
        <v>-180000</v>
      </c>
      <c r="C50" s="11" t="s">
        <v>933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934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935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945</v>
      </c>
      <c r="B53" s="3">
        <v>-22000</v>
      </c>
      <c r="C53" s="11" t="s">
        <v>946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939</v>
      </c>
      <c r="B54" s="3">
        <v>999000</v>
      </c>
      <c r="C54" s="11" t="s">
        <v>943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939</v>
      </c>
      <c r="B55" s="3">
        <v>106900</v>
      </c>
      <c r="C55" s="11" t="s">
        <v>944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939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950</v>
      </c>
      <c r="B57" s="3">
        <v>-18400</v>
      </c>
      <c r="C57" s="11" t="s">
        <v>890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959</v>
      </c>
      <c r="B58" s="3">
        <v>-457777</v>
      </c>
      <c r="C58" s="11" t="s">
        <v>952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1072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1051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1068</v>
      </c>
      <c r="B61" s="3">
        <v>4172</v>
      </c>
      <c r="C61" s="11" t="s">
        <v>1070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1074</v>
      </c>
      <c r="B62" s="3">
        <v>-161000</v>
      </c>
      <c r="C62" s="11" t="s">
        <v>1082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1087</v>
      </c>
      <c r="B63" s="3">
        <v>-149505</v>
      </c>
      <c r="C63" s="11" t="s">
        <v>1088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1100</v>
      </c>
      <c r="B64" s="3">
        <v>-4940</v>
      </c>
      <c r="C64" s="11" t="s">
        <v>1104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721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723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724</v>
      </c>
    </row>
    <row r="153" spans="1:11" x14ac:dyDescent="0.25">
      <c r="A153" s="11" t="s">
        <v>731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732</v>
      </c>
    </row>
    <row r="154" spans="1:11" x14ac:dyDescent="0.25">
      <c r="A154" s="11" t="s">
        <v>731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733</v>
      </c>
    </row>
    <row r="155" spans="1:11" x14ac:dyDescent="0.25">
      <c r="A155" s="11" t="s">
        <v>736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737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738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739</v>
      </c>
    </row>
    <row r="158" spans="1:11" x14ac:dyDescent="0.25">
      <c r="A158" s="11" t="s">
        <v>759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753</v>
      </c>
    </row>
    <row r="159" spans="1:11" x14ac:dyDescent="0.25">
      <c r="A159" s="11" t="s">
        <v>759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766</v>
      </c>
    </row>
    <row r="160" spans="1:11" x14ac:dyDescent="0.25">
      <c r="A160" s="11" t="s">
        <v>767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768</v>
      </c>
    </row>
    <row r="161" spans="1:7" x14ac:dyDescent="0.25">
      <c r="A161" s="11" t="s">
        <v>774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768</v>
      </c>
    </row>
    <row r="162" spans="1:7" x14ac:dyDescent="0.25">
      <c r="A162" s="11" t="s">
        <v>776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768</v>
      </c>
    </row>
    <row r="163" spans="1:7" x14ac:dyDescent="0.25">
      <c r="A163" s="11" t="s">
        <v>777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768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781</v>
      </c>
    </row>
    <row r="165" spans="1:7" x14ac:dyDescent="0.25">
      <c r="A165" s="11" t="s">
        <v>786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787</v>
      </c>
    </row>
    <row r="166" spans="1:7" x14ac:dyDescent="0.25">
      <c r="A166" s="11" t="s">
        <v>786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788</v>
      </c>
    </row>
    <row r="167" spans="1:7" x14ac:dyDescent="0.25">
      <c r="A167" s="11" t="s">
        <v>801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803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805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810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810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811</v>
      </c>
    </row>
    <row r="172" spans="1:7" x14ac:dyDescent="0.25">
      <c r="A172" s="11" t="s">
        <v>813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813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816</v>
      </c>
    </row>
    <row r="174" spans="1:7" x14ac:dyDescent="0.25">
      <c r="A174" s="11" t="s">
        <v>814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817</v>
      </c>
    </row>
    <row r="175" spans="1:7" x14ac:dyDescent="0.25">
      <c r="A175" s="11" t="s">
        <v>814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818</v>
      </c>
    </row>
    <row r="176" spans="1:7" x14ac:dyDescent="0.25">
      <c r="A176" s="11" t="s">
        <v>822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768</v>
      </c>
    </row>
    <row r="177" spans="1:7" x14ac:dyDescent="0.25">
      <c r="A177" s="11" t="s">
        <v>822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823</v>
      </c>
    </row>
    <row r="178" spans="1:7" x14ac:dyDescent="0.25">
      <c r="A178" s="11" t="s">
        <v>824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827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832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836</v>
      </c>
    </row>
    <row r="181" spans="1:7" x14ac:dyDescent="0.25">
      <c r="A181" s="11" t="s">
        <v>845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846</v>
      </c>
    </row>
    <row r="182" spans="1:7" x14ac:dyDescent="0.25">
      <c r="A182" s="11" t="s">
        <v>858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860</v>
      </c>
    </row>
    <row r="183" spans="1:7" x14ac:dyDescent="0.25">
      <c r="A183" s="11" t="s">
        <v>868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906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931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937</v>
      </c>
    </row>
    <row r="186" spans="1:7" x14ac:dyDescent="0.25">
      <c r="A186" s="11" t="s">
        <v>950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1052</v>
      </c>
    </row>
    <row r="187" spans="1:7" x14ac:dyDescent="0.25">
      <c r="A187" s="11" t="s">
        <v>1051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1052</v>
      </c>
    </row>
    <row r="188" spans="1:7" x14ac:dyDescent="0.25">
      <c r="A188" s="11" t="s">
        <v>1051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1063</v>
      </c>
    </row>
    <row r="189" spans="1:7" x14ac:dyDescent="0.25">
      <c r="A189" s="11" t="s">
        <v>1062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1063</v>
      </c>
    </row>
    <row r="190" spans="1:7" x14ac:dyDescent="0.25">
      <c r="A190" s="11" t="s">
        <v>1062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1052</v>
      </c>
    </row>
    <row r="191" spans="1:7" x14ac:dyDescent="0.25">
      <c r="A191" s="11" t="s">
        <v>1068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1070</v>
      </c>
    </row>
    <row r="192" spans="1:7" x14ac:dyDescent="0.25">
      <c r="A192" s="11" t="s">
        <v>1096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1097</v>
      </c>
    </row>
    <row r="193" spans="1:7" x14ac:dyDescent="0.25">
      <c r="A193" s="11" t="s">
        <v>1108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1109</v>
      </c>
    </row>
    <row r="194" spans="1:7" x14ac:dyDescent="0.25">
      <c r="A194" s="11" t="s">
        <v>1127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1133</v>
      </c>
    </row>
    <row r="195" spans="1:7" x14ac:dyDescent="0.25">
      <c r="A195" s="11" t="s">
        <v>1127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1134</v>
      </c>
    </row>
    <row r="196" spans="1:7" x14ac:dyDescent="0.25">
      <c r="A196" s="11" t="s">
        <v>1127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1135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G28" sqref="G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953</v>
      </c>
      <c r="N1" s="11" t="s">
        <v>452</v>
      </c>
      <c r="O1" s="11" t="s">
        <v>754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957</v>
      </c>
      <c r="S2" s="29" t="s">
        <v>723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760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714</v>
      </c>
      <c r="N3" s="29">
        <v>46000000</v>
      </c>
      <c r="O3" s="29">
        <v>40000000</v>
      </c>
      <c r="P3" s="11" t="s">
        <v>955</v>
      </c>
      <c r="S3" s="29" t="s">
        <v>759</v>
      </c>
      <c r="T3" s="29">
        <v>6000000</v>
      </c>
      <c r="U3" s="11">
        <v>25</v>
      </c>
      <c r="V3" s="29">
        <f t="shared" si="1"/>
        <v>150000000</v>
      </c>
      <c r="W3" s="11" t="s">
        <v>761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786</v>
      </c>
      <c r="T4" s="29">
        <v>3500000</v>
      </c>
      <c r="U4" s="11">
        <v>19</v>
      </c>
      <c r="V4" s="29">
        <f t="shared" si="1"/>
        <v>66500000</v>
      </c>
      <c r="W4" s="11" t="s">
        <v>789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715</v>
      </c>
      <c r="N5" s="29">
        <v>27000000</v>
      </c>
      <c r="O5" s="29">
        <v>41000000</v>
      </c>
      <c r="P5" s="11" t="s">
        <v>715</v>
      </c>
      <c r="S5" s="29" t="s">
        <v>812</v>
      </c>
      <c r="T5" s="29">
        <v>500000</v>
      </c>
      <c r="U5" s="11">
        <v>3</v>
      </c>
      <c r="V5" s="29">
        <f t="shared" si="1"/>
        <v>1500000</v>
      </c>
      <c r="W5" s="11" t="s">
        <v>815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-L58*12</f>
        <v>-37560000</v>
      </c>
      <c r="O6" s="29">
        <v>-25000000</v>
      </c>
      <c r="P6" s="11" t="s">
        <v>956</v>
      </c>
      <c r="S6" s="29" t="s">
        <v>814</v>
      </c>
      <c r="T6" s="29">
        <v>-2500000</v>
      </c>
      <c r="U6" s="11">
        <v>1</v>
      </c>
      <c r="V6" s="29">
        <f t="shared" si="1"/>
        <v>-2500000</v>
      </c>
      <c r="W6" s="11" t="s">
        <v>819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720</v>
      </c>
      <c r="M7" s="11" t="s">
        <v>716</v>
      </c>
      <c r="N7" s="29">
        <v>57000000</v>
      </c>
      <c r="O7" s="29"/>
      <c r="P7" s="11"/>
      <c r="S7" s="29" t="s">
        <v>820</v>
      </c>
      <c r="T7" s="29">
        <v>-5800000</v>
      </c>
      <c r="U7" s="11">
        <v>2</v>
      </c>
      <c r="V7" s="29">
        <f t="shared" si="1"/>
        <v>-11600000</v>
      </c>
      <c r="W7" s="11" t="s">
        <v>821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954</v>
      </c>
      <c r="N8" s="29">
        <f>L55*12</f>
        <v>9960000</v>
      </c>
      <c r="O8" s="29"/>
      <c r="P8" s="11"/>
      <c r="S8" s="29" t="s">
        <v>824</v>
      </c>
      <c r="T8" s="29">
        <v>-7500000</v>
      </c>
      <c r="U8" s="11">
        <v>4</v>
      </c>
      <c r="V8" s="29">
        <f t="shared" si="1"/>
        <v>-30000000</v>
      </c>
      <c r="W8" s="11" t="s">
        <v>825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735</v>
      </c>
      <c r="M9" s="11" t="s">
        <v>25</v>
      </c>
      <c r="N9" s="29"/>
      <c r="O9" s="29"/>
      <c r="P9" s="11"/>
      <c r="S9" s="29" t="s">
        <v>832</v>
      </c>
      <c r="T9" s="29">
        <v>-8500000</v>
      </c>
      <c r="U9" s="11">
        <v>7</v>
      </c>
      <c r="V9" s="29">
        <f>T9*U9</f>
        <v>-59500000</v>
      </c>
      <c r="W9" s="11" t="s">
        <v>834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785</v>
      </c>
      <c r="M10" s="11" t="s">
        <v>718</v>
      </c>
      <c r="N10" s="29">
        <f>SUM(N2:N6)</f>
        <v>126440000</v>
      </c>
      <c r="O10" s="29"/>
      <c r="P10" s="11"/>
      <c r="S10" s="29" t="s">
        <v>845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847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831</v>
      </c>
      <c r="M11" s="11" t="s">
        <v>719</v>
      </c>
      <c r="N11" s="29">
        <f>SUM(N2:N9)</f>
        <v>193400000</v>
      </c>
      <c r="O11" s="29">
        <f>SUM(O2:O9)</f>
        <v>210000000</v>
      </c>
      <c r="P11" s="11"/>
      <c r="S11" s="29" t="s">
        <v>868</v>
      </c>
      <c r="T11" s="29">
        <v>-7500000</v>
      </c>
      <c r="U11" s="11">
        <v>30</v>
      </c>
      <c r="V11" s="29">
        <f t="shared" si="5"/>
        <v>-225000000</v>
      </c>
      <c r="W11" s="75" t="s">
        <v>869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876</v>
      </c>
      <c r="S12" s="29" t="s">
        <v>906</v>
      </c>
      <c r="T12" s="29">
        <v>-4500000</v>
      </c>
      <c r="U12" s="11">
        <v>21</v>
      </c>
      <c r="V12" s="29">
        <f t="shared" si="5"/>
        <v>-94500000</v>
      </c>
      <c r="W12" s="11" t="s">
        <v>947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914</v>
      </c>
      <c r="O13" t="s">
        <v>25</v>
      </c>
      <c r="S13" s="29" t="s">
        <v>939</v>
      </c>
      <c r="T13" s="29">
        <v>-3500000</v>
      </c>
      <c r="U13" s="11">
        <v>5</v>
      </c>
      <c r="V13" s="29">
        <f t="shared" si="5"/>
        <v>-17500000</v>
      </c>
      <c r="W13" s="11" t="s">
        <v>948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1098</v>
      </c>
      <c r="L14" s="25"/>
      <c r="O14" s="25"/>
      <c r="R14" s="25"/>
      <c r="S14" s="29" t="s">
        <v>958</v>
      </c>
      <c r="T14" s="29">
        <v>-500000</v>
      </c>
      <c r="U14" s="11">
        <v>100</v>
      </c>
      <c r="V14" s="29">
        <f t="shared" si="5"/>
        <v>-50000000</v>
      </c>
      <c r="W14" s="11" t="s">
        <v>1045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91034358</v>
      </c>
      <c r="G15" s="29">
        <f t="shared" si="0"/>
        <v>3518642</v>
      </c>
      <c r="H15" s="11"/>
      <c r="K15" s="2" t="s">
        <v>451</v>
      </c>
      <c r="L15" s="2" t="s">
        <v>452</v>
      </c>
      <c r="M15" s="2"/>
      <c r="N15" s="2" t="s">
        <v>754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755</v>
      </c>
      <c r="N16" s="3">
        <f>'مسکن مریم یاران'!B127</f>
        <v>24527461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756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763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764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734</v>
      </c>
      <c r="L21" s="43">
        <v>0</v>
      </c>
      <c r="M21" s="2" t="s">
        <v>765</v>
      </c>
      <c r="N21" s="3">
        <f>-1*L19</f>
        <v>7200000</v>
      </c>
      <c r="S21" s="29"/>
      <c r="T21" s="11"/>
      <c r="U21" s="11"/>
      <c r="V21" s="11"/>
      <c r="W21" s="11" t="s">
        <v>722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938</v>
      </c>
      <c r="L22" s="43">
        <v>4800000</v>
      </c>
      <c r="M22" s="2" t="s">
        <v>757</v>
      </c>
      <c r="N22" s="3">
        <v>980000</v>
      </c>
      <c r="P22" t="s">
        <v>25</v>
      </c>
      <c r="S22" s="11"/>
      <c r="T22" s="11"/>
      <c r="U22" s="11"/>
      <c r="V22" s="11"/>
      <c r="W22" s="11" t="s">
        <v>758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951</v>
      </c>
      <c r="L23" s="43">
        <v>0</v>
      </c>
      <c r="M23" s="2" t="s">
        <v>769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1136</v>
      </c>
      <c r="L24" s="43">
        <f>سکه!T22</f>
        <v>91000000</v>
      </c>
      <c r="M24" s="2" t="s">
        <v>905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/>
      <c r="L25" s="43"/>
      <c r="M25" s="2" t="s">
        <v>1136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/>
      <c r="L26" s="43"/>
      <c r="M26" s="2"/>
      <c r="N26" s="3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91034358</v>
      </c>
      <c r="M27" s="2"/>
      <c r="N27" s="3">
        <f>SUM(N16:N25)</f>
        <v>154166200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1434358</v>
      </c>
      <c r="M28" s="2"/>
      <c r="N28" s="3">
        <f>N16+N17+N22</f>
        <v>26766200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717</v>
      </c>
      <c r="L29" s="1">
        <f>L27+N7</f>
        <v>148034358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798</v>
      </c>
      <c r="L65" s="48" t="s">
        <v>476</v>
      </c>
    </row>
    <row r="66" spans="1:12" x14ac:dyDescent="0.25">
      <c r="K66" s="47">
        <v>1440000</v>
      </c>
      <c r="L66" s="48" t="s">
        <v>1073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180000</v>
      </c>
      <c r="L68" s="48" t="s">
        <v>558</v>
      </c>
    </row>
    <row r="69" spans="1:12" x14ac:dyDescent="0.25">
      <c r="K69" s="47">
        <v>300000</v>
      </c>
      <c r="L69" s="48" t="s">
        <v>794</v>
      </c>
    </row>
    <row r="70" spans="1:12" x14ac:dyDescent="0.25">
      <c r="K70" s="47">
        <v>250000</v>
      </c>
      <c r="L70" s="48" t="s">
        <v>795</v>
      </c>
    </row>
    <row r="71" spans="1:12" x14ac:dyDescent="0.25">
      <c r="K71" s="47">
        <v>500000</v>
      </c>
      <c r="L71" s="48" t="s">
        <v>796</v>
      </c>
    </row>
    <row r="72" spans="1:12" x14ac:dyDescent="0.25">
      <c r="K72" s="47">
        <v>75000</v>
      </c>
      <c r="L72" s="48" t="s">
        <v>797</v>
      </c>
    </row>
    <row r="73" spans="1:12" x14ac:dyDescent="0.25">
      <c r="K73" s="47">
        <v>450000</v>
      </c>
      <c r="L73" s="48" t="s">
        <v>799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802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4385000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814</v>
      </c>
      <c r="B9" s="3">
        <v>-80000</v>
      </c>
      <c r="C9" t="s">
        <v>826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909</v>
      </c>
      <c r="B10" s="3">
        <v>850000</v>
      </c>
      <c r="C10" t="s">
        <v>915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931</v>
      </c>
      <c r="B11" s="3">
        <v>-700000</v>
      </c>
      <c r="C11" t="s">
        <v>941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939</v>
      </c>
      <c r="B12" s="3">
        <v>1000000</v>
      </c>
      <c r="C12" t="s">
        <v>942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1068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1074</v>
      </c>
      <c r="B14" s="3">
        <v>-191000</v>
      </c>
      <c r="C14" t="s">
        <v>941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1129</v>
      </c>
      <c r="B15" s="3">
        <v>-200000</v>
      </c>
      <c r="C15" t="s">
        <v>826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1074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804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1156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1074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1156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747</v>
      </c>
      <c r="I39" s="11">
        <v>190000</v>
      </c>
      <c r="J39" s="11" t="s">
        <v>746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745</v>
      </c>
      <c r="I40" s="11">
        <v>225000</v>
      </c>
      <c r="J40" s="11" t="s">
        <v>744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1156</v>
      </c>
      <c r="I41" s="11">
        <v>231000</v>
      </c>
      <c r="J41" s="11" t="s">
        <v>791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792</v>
      </c>
      <c r="I42" s="11">
        <v>216000</v>
      </c>
      <c r="J42" s="11" t="s">
        <v>793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827</v>
      </c>
      <c r="I43" s="11">
        <v>227000</v>
      </c>
      <c r="J43" s="11" t="s">
        <v>828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893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1156</v>
      </c>
      <c r="I45" s="11">
        <v>231000</v>
      </c>
      <c r="J45" s="11" t="s">
        <v>1155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2018-04-06T15:49:23Z</dcterms:modified>
</cp:coreProperties>
</file>